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1ce74685c4b149/Desktop/STUDY/Financial Model/"/>
    </mc:Choice>
  </mc:AlternateContent>
  <xr:revisionPtr revIDLastSave="18" documentId="13_ncr:1_{7A70A674-090A-4320-BF3F-982244CE592E}" xr6:coauthVersionLast="47" xr6:coauthVersionMax="47" xr10:uidLastSave="{58E30F98-15CD-46D4-98B8-11B2D3C7DA26}"/>
  <bookViews>
    <workbookView xWindow="-108" yWindow="-108" windowWidth="23256" windowHeight="12576" firstSheet="9" activeTab="14" xr2:uid="{5D48217F-857C-4D16-BF5C-66FF1283F8DE}"/>
  </bookViews>
  <sheets>
    <sheet name="Cover" sheetId="2" r:id="rId1"/>
    <sheet name="Notes" sheetId="1" r:id="rId2"/>
    <sheet name="Historical FS" sheetId="4" r:id="rId3"/>
    <sheet name="Ratio Analysis" sheetId="5" r:id="rId4"/>
    <sheet name="Common Size Statement" sheetId="6" r:id="rId5"/>
    <sheet name="Automated Forcasting" sheetId="7" r:id="rId6"/>
    <sheet name="Manual Forecasting" sheetId="9" r:id="rId7"/>
    <sheet name="WACC Calculation&gt;&gt;" sheetId="14" r:id="rId8"/>
    <sheet name="Beta-Regression" sheetId="12" r:id="rId9"/>
    <sheet name="Equity Risk Premium" sheetId="13" r:id="rId10"/>
    <sheet name="WACC" sheetId="10" r:id="rId11"/>
    <sheet name="DCF Calculation&gt;&gt;" sheetId="15" r:id="rId12"/>
    <sheet name="Intrinsic Growth" sheetId="17" r:id="rId13"/>
    <sheet name="DCF" sheetId="16" r:id="rId14"/>
    <sheet name="Comps Valuations" sheetId="19" r:id="rId15"/>
    <sheet name="Data Sheet" sheetId="3" r:id="rId16"/>
  </sheets>
  <definedNames>
    <definedName name="_xlnm.Print_Area" localSheetId="15">'Data Sheet'!$B$1:$O$237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6" l="1"/>
  <c r="C3" i="9"/>
  <c r="H5" i="7"/>
  <c r="H6" i="7" s="1"/>
  <c r="H7" i="7" s="1"/>
  <c r="H8" i="7" s="1"/>
  <c r="H9" i="7" s="1"/>
  <c r="H10" i="7" s="1"/>
  <c r="H11" i="7" s="1"/>
  <c r="H12" i="7" s="1"/>
  <c r="H13" i="7" s="1"/>
  <c r="C6" i="7"/>
  <c r="C7" i="7" s="1"/>
  <c r="C8" i="7" s="1"/>
  <c r="C9" i="7" s="1"/>
  <c r="C10" i="7" s="1"/>
  <c r="C11" i="7" s="1"/>
  <c r="C12" i="7" s="1"/>
  <c r="C13" i="7" s="1"/>
  <c r="C5" i="7"/>
  <c r="M38" i="19"/>
  <c r="L38" i="19"/>
  <c r="K38" i="19"/>
  <c r="M36" i="19"/>
  <c r="L36" i="19"/>
  <c r="K36" i="19"/>
  <c r="M33" i="19"/>
  <c r="L31" i="19"/>
  <c r="L33" i="19" s="1"/>
  <c r="K31" i="19"/>
  <c r="M32" i="19"/>
  <c r="L32" i="19"/>
  <c r="K32" i="19"/>
  <c r="M34" i="19"/>
  <c r="L34" i="19"/>
  <c r="K34" i="19"/>
  <c r="M27" i="19"/>
  <c r="L27" i="19"/>
  <c r="M26" i="19"/>
  <c r="L26" i="19"/>
  <c r="M25" i="19"/>
  <c r="L25" i="19"/>
  <c r="M24" i="19"/>
  <c r="L24" i="19"/>
  <c r="M23" i="19"/>
  <c r="L23" i="19"/>
  <c r="M22" i="19"/>
  <c r="L22" i="19"/>
  <c r="K27" i="19"/>
  <c r="K26" i="19"/>
  <c r="K25" i="19"/>
  <c r="K24" i="19"/>
  <c r="K23" i="19"/>
  <c r="K22" i="19"/>
  <c r="L15" i="19"/>
  <c r="L14" i="19"/>
  <c r="L13" i="19"/>
  <c r="L12" i="19"/>
  <c r="L11" i="19"/>
  <c r="L10" i="19"/>
  <c r="L16" i="19"/>
  <c r="K16" i="19"/>
  <c r="B29" i="19"/>
  <c r="K33" i="19" l="1"/>
  <c r="M19" i="19" l="1"/>
  <c r="L19" i="19"/>
  <c r="K19" i="19"/>
  <c r="M18" i="19"/>
  <c r="L18" i="19"/>
  <c r="K18" i="19"/>
  <c r="M17" i="19"/>
  <c r="L17" i="19"/>
  <c r="K17" i="19"/>
  <c r="M16" i="19"/>
  <c r="M15" i="19"/>
  <c r="K15" i="19"/>
  <c r="M14" i="19"/>
  <c r="K14" i="19"/>
  <c r="M13" i="19"/>
  <c r="K13" i="19"/>
  <c r="M12" i="19"/>
  <c r="K12" i="19"/>
  <c r="M11" i="19"/>
  <c r="K11" i="19"/>
  <c r="M10" i="19"/>
  <c r="K10" i="19"/>
  <c r="C14" i="19"/>
  <c r="C13" i="19"/>
  <c r="C12" i="19"/>
  <c r="C11" i="19"/>
  <c r="C10" i="19"/>
  <c r="B14" i="19"/>
  <c r="B13" i="19"/>
  <c r="B12" i="19"/>
  <c r="B11" i="19"/>
  <c r="B10" i="19"/>
  <c r="J42" i="16"/>
  <c r="J40" i="16"/>
  <c r="J39" i="16"/>
  <c r="O13" i="16"/>
  <c r="L7" i="16"/>
  <c r="M7" i="16" s="1"/>
  <c r="N7" i="16" s="1"/>
  <c r="O7" i="16" s="1"/>
  <c r="K7" i="16"/>
  <c r="M17" i="16"/>
  <c r="N17" i="16" s="1"/>
  <c r="O17" i="16" s="1"/>
  <c r="L17" i="16"/>
  <c r="J30" i="16"/>
  <c r="J7" i="16"/>
  <c r="O56" i="17"/>
  <c r="N56" i="17"/>
  <c r="M56" i="17"/>
  <c r="L56" i="17"/>
  <c r="O53" i="17"/>
  <c r="N53" i="17"/>
  <c r="M53" i="17"/>
  <c r="L53" i="17"/>
  <c r="K53" i="17"/>
  <c r="K37" i="17"/>
  <c r="O47" i="17"/>
  <c r="N47" i="17"/>
  <c r="M47" i="17"/>
  <c r="L47" i="17"/>
  <c r="O40" i="17"/>
  <c r="N40" i="17"/>
  <c r="M40" i="17"/>
  <c r="L40" i="17"/>
  <c r="O39" i="17"/>
  <c r="N39" i="17"/>
  <c r="M39" i="17"/>
  <c r="L39" i="17"/>
  <c r="K39" i="17"/>
  <c r="O43" i="17"/>
  <c r="N43" i="17"/>
  <c r="M43" i="17"/>
  <c r="L43" i="17"/>
  <c r="K43" i="17"/>
  <c r="O37" i="17"/>
  <c r="N37" i="17"/>
  <c r="M37" i="17"/>
  <c r="L37" i="17"/>
  <c r="O34" i="17"/>
  <c r="N34" i="17"/>
  <c r="M34" i="17"/>
  <c r="L34" i="17"/>
  <c r="K34" i="17"/>
  <c r="O32" i="17"/>
  <c r="N32" i="17"/>
  <c r="M32" i="17"/>
  <c r="L32" i="17"/>
  <c r="K32" i="17"/>
  <c r="O31" i="17"/>
  <c r="N31" i="17"/>
  <c r="M31" i="17"/>
  <c r="L31" i="17"/>
  <c r="K31" i="17"/>
  <c r="O29" i="17"/>
  <c r="N29" i="17"/>
  <c r="M29" i="17"/>
  <c r="L29" i="17"/>
  <c r="K29" i="17"/>
  <c r="O28" i="17"/>
  <c r="N28" i="17"/>
  <c r="M28" i="17"/>
  <c r="L28" i="17"/>
  <c r="K28" i="17"/>
  <c r="O27" i="17"/>
  <c r="N27" i="17"/>
  <c r="M27" i="17"/>
  <c r="L27" i="17"/>
  <c r="K27" i="17"/>
  <c r="O26" i="17"/>
  <c r="N26" i="17"/>
  <c r="M26" i="17"/>
  <c r="L26" i="17"/>
  <c r="K26" i="17"/>
  <c r="O25" i="17"/>
  <c r="N25" i="17"/>
  <c r="M25" i="17"/>
  <c r="L25" i="17"/>
  <c r="K25" i="17"/>
  <c r="B29" i="17"/>
  <c r="B28" i="17"/>
  <c r="B27" i="17"/>
  <c r="B26" i="17"/>
  <c r="B25" i="17"/>
  <c r="O22" i="17"/>
  <c r="N22" i="17"/>
  <c r="M22" i="17"/>
  <c r="L22" i="17"/>
  <c r="K22" i="17"/>
  <c r="O20" i="17"/>
  <c r="N20" i="17"/>
  <c r="M20" i="17"/>
  <c r="L20" i="17"/>
  <c r="K20" i="17"/>
  <c r="O19" i="17"/>
  <c r="N19" i="17"/>
  <c r="M19" i="17"/>
  <c r="L19" i="17"/>
  <c r="K19" i="17"/>
  <c r="O18" i="17"/>
  <c r="N18" i="17"/>
  <c r="M18" i="17"/>
  <c r="L18" i="17"/>
  <c r="K18" i="17"/>
  <c r="O17" i="17"/>
  <c r="N17" i="17"/>
  <c r="M17" i="17"/>
  <c r="L17" i="17"/>
  <c r="K17" i="17"/>
  <c r="O16" i="17"/>
  <c r="N16" i="17"/>
  <c r="M16" i="17"/>
  <c r="L16" i="17"/>
  <c r="K16" i="17"/>
  <c r="O15" i="17"/>
  <c r="N15" i="17"/>
  <c r="M15" i="17"/>
  <c r="L15" i="17"/>
  <c r="K15" i="17"/>
  <c r="B20" i="17"/>
  <c r="B19" i="17"/>
  <c r="B18" i="17"/>
  <c r="B17" i="17"/>
  <c r="B16" i="17"/>
  <c r="B15" i="17"/>
  <c r="O12" i="17"/>
  <c r="N12" i="17"/>
  <c r="M12" i="17"/>
  <c r="L12" i="17"/>
  <c r="K12" i="17"/>
  <c r="O11" i="17"/>
  <c r="N11" i="17"/>
  <c r="M11" i="17"/>
  <c r="L11" i="17"/>
  <c r="K11" i="17"/>
  <c r="O10" i="17"/>
  <c r="N10" i="17"/>
  <c r="M10" i="17"/>
  <c r="L10" i="17"/>
  <c r="K10" i="17"/>
  <c r="O9" i="17"/>
  <c r="N9" i="17"/>
  <c r="M9" i="17"/>
  <c r="L9" i="17"/>
  <c r="K9" i="17"/>
  <c r="O8" i="17"/>
  <c r="N8" i="17"/>
  <c r="M8" i="17"/>
  <c r="L8" i="17"/>
  <c r="K8" i="17"/>
  <c r="B12" i="17"/>
  <c r="B11" i="17"/>
  <c r="B10" i="17"/>
  <c r="B9" i="17"/>
  <c r="B8" i="17"/>
  <c r="O5" i="17"/>
  <c r="K5" i="16" s="1"/>
  <c r="L5" i="16" s="1"/>
  <c r="M5" i="16" s="1"/>
  <c r="N5" i="16" s="1"/>
  <c r="O5" i="16" s="1"/>
  <c r="N5" i="17"/>
  <c r="M5" i="17"/>
  <c r="L5" i="17"/>
  <c r="K5" i="17"/>
  <c r="J34" i="10"/>
  <c r="G10" i="13"/>
  <c r="G8" i="13"/>
  <c r="E25" i="10"/>
  <c r="E24" i="10"/>
  <c r="E23" i="10"/>
  <c r="E22" i="10"/>
  <c r="E21" i="10"/>
  <c r="C43" i="10"/>
  <c r="D43" i="10" s="1"/>
  <c r="E43" i="10" s="1"/>
  <c r="E33" i="10"/>
  <c r="C42" i="10"/>
  <c r="D42" i="10" s="1"/>
  <c r="C41" i="10"/>
  <c r="D41" i="10" s="1"/>
  <c r="D45" i="10" s="1"/>
  <c r="F28" i="10" l="1"/>
  <c r="F27" i="10"/>
  <c r="I25" i="10"/>
  <c r="I24" i="10"/>
  <c r="I23" i="10"/>
  <c r="I22" i="10"/>
  <c r="I21" i="10"/>
  <c r="V278" i="12"/>
  <c r="S278" i="12"/>
  <c r="P278" i="12"/>
  <c r="M278" i="12"/>
  <c r="J278" i="12"/>
  <c r="G278" i="12"/>
  <c r="V275" i="12"/>
  <c r="S275" i="12"/>
  <c r="P275" i="12"/>
  <c r="M275" i="12"/>
  <c r="J275" i="12"/>
  <c r="G272" i="12"/>
  <c r="J272" i="12"/>
  <c r="M272" i="12"/>
  <c r="P272" i="12"/>
  <c r="S272" i="12"/>
  <c r="V272" i="12"/>
  <c r="C272" i="12"/>
  <c r="V273" i="12"/>
  <c r="S273" i="12"/>
  <c r="P273" i="12"/>
  <c r="M273" i="12"/>
  <c r="J273" i="12"/>
  <c r="V276" i="12"/>
  <c r="S276" i="12"/>
  <c r="P276" i="12"/>
  <c r="M276" i="12"/>
  <c r="J276" i="12"/>
  <c r="C274" i="12"/>
  <c r="C273" i="12"/>
  <c r="V44" i="12"/>
  <c r="V268" i="12"/>
  <c r="V267" i="12"/>
  <c r="V266" i="12"/>
  <c r="V265" i="12"/>
  <c r="V264" i="12"/>
  <c r="V263" i="12"/>
  <c r="V262" i="12"/>
  <c r="V261" i="12"/>
  <c r="V260" i="12"/>
  <c r="V259" i="12"/>
  <c r="V258" i="12"/>
  <c r="V257" i="12"/>
  <c r="V256" i="12"/>
  <c r="V255" i="12"/>
  <c r="V254" i="12"/>
  <c r="V253" i="12"/>
  <c r="V252" i="12"/>
  <c r="V251" i="12"/>
  <c r="V250" i="12"/>
  <c r="V249" i="12"/>
  <c r="V248" i="12"/>
  <c r="V247" i="12"/>
  <c r="V246" i="12"/>
  <c r="V245" i="12"/>
  <c r="V244" i="12"/>
  <c r="V243" i="12"/>
  <c r="V242" i="12"/>
  <c r="V241" i="12"/>
  <c r="V240" i="12"/>
  <c r="V239" i="12"/>
  <c r="V238" i="12"/>
  <c r="V237" i="12"/>
  <c r="V236" i="12"/>
  <c r="V235" i="12"/>
  <c r="V234" i="12"/>
  <c r="V233" i="12"/>
  <c r="V232" i="12"/>
  <c r="V231" i="12"/>
  <c r="V230" i="12"/>
  <c r="V229" i="12"/>
  <c r="V228" i="12"/>
  <c r="V227" i="12"/>
  <c r="V226" i="12"/>
  <c r="V225" i="12"/>
  <c r="V224" i="12"/>
  <c r="V223" i="12"/>
  <c r="V222" i="12"/>
  <c r="V221" i="12"/>
  <c r="V220" i="12"/>
  <c r="V219" i="12"/>
  <c r="V218" i="12"/>
  <c r="V217" i="12"/>
  <c r="V216" i="12"/>
  <c r="V215" i="12"/>
  <c r="V214" i="12"/>
  <c r="V213" i="12"/>
  <c r="V212" i="12"/>
  <c r="V211" i="12"/>
  <c r="V210" i="12"/>
  <c r="V209" i="12"/>
  <c r="V208" i="12"/>
  <c r="V207" i="12"/>
  <c r="V206" i="12"/>
  <c r="V205" i="12"/>
  <c r="V204" i="12"/>
  <c r="V203" i="12"/>
  <c r="V202" i="12"/>
  <c r="V201" i="12"/>
  <c r="V200" i="12"/>
  <c r="V199" i="12"/>
  <c r="V198" i="12"/>
  <c r="V197" i="12"/>
  <c r="V196" i="12"/>
  <c r="V195" i="12"/>
  <c r="V194" i="12"/>
  <c r="V193" i="12"/>
  <c r="V192" i="12"/>
  <c r="V191" i="12"/>
  <c r="V190" i="12"/>
  <c r="V189" i="12"/>
  <c r="V188" i="12"/>
  <c r="V187" i="12"/>
  <c r="V186" i="12"/>
  <c r="V185" i="12"/>
  <c r="V184" i="12"/>
  <c r="V183" i="12"/>
  <c r="V182" i="12"/>
  <c r="V181" i="12"/>
  <c r="V180" i="12"/>
  <c r="V179" i="12"/>
  <c r="V178" i="12"/>
  <c r="V177" i="12"/>
  <c r="V176" i="12"/>
  <c r="V175" i="12"/>
  <c r="V174" i="12"/>
  <c r="V173" i="12"/>
  <c r="V172" i="12"/>
  <c r="V171" i="12"/>
  <c r="V170" i="12"/>
  <c r="V169" i="12"/>
  <c r="V168" i="12"/>
  <c r="V167" i="12"/>
  <c r="V166" i="12"/>
  <c r="V165" i="12"/>
  <c r="V164" i="12"/>
  <c r="V163" i="12"/>
  <c r="V162" i="12"/>
  <c r="V161" i="12"/>
  <c r="V160" i="12"/>
  <c r="V159" i="12"/>
  <c r="V158" i="12"/>
  <c r="V157" i="12"/>
  <c r="V156" i="12"/>
  <c r="V155" i="12"/>
  <c r="V154" i="12"/>
  <c r="V153" i="12"/>
  <c r="V152" i="12"/>
  <c r="V151" i="12"/>
  <c r="V150" i="12"/>
  <c r="V149" i="12"/>
  <c r="V148" i="12"/>
  <c r="V147" i="12"/>
  <c r="V146" i="12"/>
  <c r="V145" i="12"/>
  <c r="V144" i="12"/>
  <c r="V143" i="12"/>
  <c r="V142" i="12"/>
  <c r="V141" i="12"/>
  <c r="V140" i="12"/>
  <c r="V139" i="12"/>
  <c r="V138" i="12"/>
  <c r="V137" i="12"/>
  <c r="V136" i="12"/>
  <c r="V135" i="12"/>
  <c r="V134" i="12"/>
  <c r="V133" i="12"/>
  <c r="V132" i="12"/>
  <c r="V131" i="12"/>
  <c r="V130" i="12"/>
  <c r="V129" i="12"/>
  <c r="V128" i="12"/>
  <c r="V127" i="12"/>
  <c r="V126" i="12"/>
  <c r="V125" i="12"/>
  <c r="V124" i="12"/>
  <c r="V123" i="12"/>
  <c r="V122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V109" i="12"/>
  <c r="V108" i="12"/>
  <c r="V107" i="12"/>
  <c r="V106" i="12"/>
  <c r="V105" i="12"/>
  <c r="V104" i="12"/>
  <c r="V103" i="12"/>
  <c r="V102" i="12"/>
  <c r="V101" i="12"/>
  <c r="V100" i="12"/>
  <c r="V99" i="12"/>
  <c r="V98" i="12"/>
  <c r="V97" i="12"/>
  <c r="V96" i="12"/>
  <c r="V95" i="12"/>
  <c r="V94" i="12"/>
  <c r="V93" i="12"/>
  <c r="V92" i="12"/>
  <c r="V91" i="12"/>
  <c r="V90" i="12"/>
  <c r="V89" i="12"/>
  <c r="V88" i="12"/>
  <c r="V87" i="12"/>
  <c r="V86" i="12"/>
  <c r="V85" i="12"/>
  <c r="V84" i="12"/>
  <c r="V83" i="12"/>
  <c r="V82" i="12"/>
  <c r="V81" i="12"/>
  <c r="V80" i="12"/>
  <c r="V79" i="12"/>
  <c r="V78" i="12"/>
  <c r="V77" i="12"/>
  <c r="V76" i="12"/>
  <c r="V75" i="12"/>
  <c r="V74" i="12"/>
  <c r="V73" i="12"/>
  <c r="V72" i="12"/>
  <c r="V71" i="12"/>
  <c r="V70" i="12"/>
  <c r="V69" i="12"/>
  <c r="V68" i="12"/>
  <c r="V67" i="12"/>
  <c r="V66" i="12"/>
  <c r="V65" i="12"/>
  <c r="V64" i="12"/>
  <c r="V63" i="12"/>
  <c r="V62" i="12"/>
  <c r="V61" i="12"/>
  <c r="V60" i="12"/>
  <c r="V59" i="12"/>
  <c r="V58" i="12"/>
  <c r="V57" i="12"/>
  <c r="V56" i="12"/>
  <c r="V55" i="12"/>
  <c r="V54" i="12"/>
  <c r="V53" i="12"/>
  <c r="V52" i="12"/>
  <c r="V51" i="12"/>
  <c r="V50" i="12"/>
  <c r="V49" i="12"/>
  <c r="V48" i="12"/>
  <c r="V47" i="12"/>
  <c r="V46" i="12"/>
  <c r="V45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S268" i="12"/>
  <c r="S267" i="12"/>
  <c r="S266" i="12"/>
  <c r="S265" i="12"/>
  <c r="S264" i="12"/>
  <c r="S263" i="12"/>
  <c r="S262" i="12"/>
  <c r="S261" i="12"/>
  <c r="S260" i="12"/>
  <c r="S259" i="12"/>
  <c r="S258" i="12"/>
  <c r="S257" i="12"/>
  <c r="S256" i="12"/>
  <c r="S255" i="12"/>
  <c r="S254" i="12"/>
  <c r="S253" i="12"/>
  <c r="S252" i="12"/>
  <c r="S251" i="12"/>
  <c r="S250" i="12"/>
  <c r="S249" i="12"/>
  <c r="S248" i="12"/>
  <c r="S247" i="12"/>
  <c r="S246" i="12"/>
  <c r="S245" i="12"/>
  <c r="S244" i="12"/>
  <c r="S243" i="12"/>
  <c r="S242" i="12"/>
  <c r="S241" i="12"/>
  <c r="S240" i="12"/>
  <c r="S239" i="12"/>
  <c r="S238" i="12"/>
  <c r="S237" i="12"/>
  <c r="S236" i="12"/>
  <c r="S235" i="12"/>
  <c r="S234" i="12"/>
  <c r="S233" i="12"/>
  <c r="S232" i="12"/>
  <c r="S231" i="12"/>
  <c r="S230" i="12"/>
  <c r="S229" i="12"/>
  <c r="S228" i="12"/>
  <c r="S227" i="12"/>
  <c r="S226" i="12"/>
  <c r="S225" i="12"/>
  <c r="S224" i="12"/>
  <c r="S223" i="12"/>
  <c r="S222" i="12"/>
  <c r="S221" i="12"/>
  <c r="S220" i="12"/>
  <c r="S219" i="12"/>
  <c r="S218" i="12"/>
  <c r="S217" i="12"/>
  <c r="S216" i="12"/>
  <c r="S215" i="12"/>
  <c r="S214" i="12"/>
  <c r="S213" i="12"/>
  <c r="S212" i="12"/>
  <c r="S211" i="12"/>
  <c r="S210" i="12"/>
  <c r="S209" i="12"/>
  <c r="S208" i="12"/>
  <c r="S207" i="12"/>
  <c r="S206" i="12"/>
  <c r="S205" i="12"/>
  <c r="S204" i="12"/>
  <c r="S203" i="12"/>
  <c r="S202" i="12"/>
  <c r="S201" i="12"/>
  <c r="S200" i="12"/>
  <c r="S199" i="12"/>
  <c r="S198" i="12"/>
  <c r="S197" i="12"/>
  <c r="S196" i="12"/>
  <c r="S195" i="12"/>
  <c r="S194" i="12"/>
  <c r="S193" i="12"/>
  <c r="S192" i="12"/>
  <c r="S191" i="12"/>
  <c r="S190" i="12"/>
  <c r="S189" i="12"/>
  <c r="S188" i="12"/>
  <c r="S187" i="12"/>
  <c r="S186" i="12"/>
  <c r="S185" i="12"/>
  <c r="S184" i="12"/>
  <c r="S183" i="12"/>
  <c r="S182" i="12"/>
  <c r="S181" i="12"/>
  <c r="S180" i="12"/>
  <c r="S179" i="12"/>
  <c r="S178" i="12"/>
  <c r="S177" i="12"/>
  <c r="S176" i="12"/>
  <c r="S175" i="12"/>
  <c r="S174" i="12"/>
  <c r="S173" i="12"/>
  <c r="S172" i="12"/>
  <c r="S171" i="12"/>
  <c r="S170" i="12"/>
  <c r="S169" i="12"/>
  <c r="S168" i="12"/>
  <c r="S167" i="12"/>
  <c r="S166" i="12"/>
  <c r="S165" i="12"/>
  <c r="S164" i="12"/>
  <c r="S163" i="12"/>
  <c r="S162" i="12"/>
  <c r="S161" i="12"/>
  <c r="S160" i="12"/>
  <c r="S159" i="12"/>
  <c r="S158" i="12"/>
  <c r="S157" i="12"/>
  <c r="S156" i="12"/>
  <c r="S155" i="12"/>
  <c r="S154" i="12"/>
  <c r="S153" i="12"/>
  <c r="S152" i="12"/>
  <c r="S151" i="12"/>
  <c r="S150" i="12"/>
  <c r="S149" i="12"/>
  <c r="S148" i="12"/>
  <c r="S147" i="12"/>
  <c r="S146" i="12"/>
  <c r="S145" i="12"/>
  <c r="S144" i="12"/>
  <c r="S143" i="12"/>
  <c r="S142" i="12"/>
  <c r="S141" i="12"/>
  <c r="S140" i="12"/>
  <c r="S139" i="12"/>
  <c r="S138" i="12"/>
  <c r="S137" i="12"/>
  <c r="S136" i="12"/>
  <c r="S135" i="12"/>
  <c r="S134" i="12"/>
  <c r="S133" i="12"/>
  <c r="S132" i="12"/>
  <c r="S131" i="12"/>
  <c r="S130" i="12"/>
  <c r="S129" i="12"/>
  <c r="S128" i="12"/>
  <c r="S127" i="12"/>
  <c r="S126" i="12"/>
  <c r="S125" i="12"/>
  <c r="S124" i="12"/>
  <c r="S123" i="12"/>
  <c r="S122" i="12"/>
  <c r="S121" i="12"/>
  <c r="S120" i="12"/>
  <c r="S119" i="12"/>
  <c r="S118" i="12"/>
  <c r="S117" i="12"/>
  <c r="S116" i="12"/>
  <c r="S115" i="12"/>
  <c r="S114" i="12"/>
  <c r="S113" i="12"/>
  <c r="S112" i="12"/>
  <c r="S111" i="12"/>
  <c r="S110" i="12"/>
  <c r="S109" i="12"/>
  <c r="S108" i="12"/>
  <c r="S107" i="12"/>
  <c r="S106" i="12"/>
  <c r="S105" i="12"/>
  <c r="S104" i="12"/>
  <c r="S103" i="12"/>
  <c r="S102" i="12"/>
  <c r="S101" i="12"/>
  <c r="S100" i="12"/>
  <c r="S99" i="12"/>
  <c r="S98" i="12"/>
  <c r="S97" i="12"/>
  <c r="S96" i="12"/>
  <c r="S95" i="12"/>
  <c r="S94" i="12"/>
  <c r="S93" i="12"/>
  <c r="S92" i="12"/>
  <c r="S91" i="12"/>
  <c r="S90" i="12"/>
  <c r="S89" i="12"/>
  <c r="S88" i="12"/>
  <c r="S87" i="12"/>
  <c r="S86" i="12"/>
  <c r="S85" i="12"/>
  <c r="S84" i="12"/>
  <c r="S83" i="12"/>
  <c r="S82" i="12"/>
  <c r="S81" i="12"/>
  <c r="S80" i="12"/>
  <c r="S79" i="12"/>
  <c r="S78" i="12"/>
  <c r="S77" i="12"/>
  <c r="S76" i="12"/>
  <c r="S75" i="12"/>
  <c r="S74" i="12"/>
  <c r="S73" i="12"/>
  <c r="S72" i="12"/>
  <c r="S71" i="12"/>
  <c r="S70" i="12"/>
  <c r="S69" i="12"/>
  <c r="S68" i="12"/>
  <c r="S67" i="12"/>
  <c r="S66" i="12"/>
  <c r="S65" i="12"/>
  <c r="S64" i="12"/>
  <c r="S63" i="12"/>
  <c r="S62" i="12"/>
  <c r="S61" i="12"/>
  <c r="S60" i="12"/>
  <c r="S59" i="12"/>
  <c r="S58" i="12"/>
  <c r="S57" i="12"/>
  <c r="S56" i="12"/>
  <c r="S55" i="12"/>
  <c r="S54" i="12"/>
  <c r="S53" i="12"/>
  <c r="S52" i="12"/>
  <c r="S51" i="12"/>
  <c r="S50" i="12"/>
  <c r="S49" i="12"/>
  <c r="S48" i="12"/>
  <c r="S47" i="12"/>
  <c r="S46" i="12"/>
  <c r="S45" i="12"/>
  <c r="S44" i="12"/>
  <c r="S43" i="12"/>
  <c r="S42" i="12"/>
  <c r="S41" i="12"/>
  <c r="S40" i="12"/>
  <c r="S39" i="12"/>
  <c r="S38" i="12"/>
  <c r="S37" i="12"/>
  <c r="S36" i="12"/>
  <c r="S35" i="12"/>
  <c r="S34" i="12"/>
  <c r="S33" i="12"/>
  <c r="S32" i="12"/>
  <c r="S31" i="12"/>
  <c r="S30" i="12"/>
  <c r="S29" i="12"/>
  <c r="S28" i="12"/>
  <c r="S27" i="12"/>
  <c r="S26" i="12"/>
  <c r="S25" i="12"/>
  <c r="S24" i="12"/>
  <c r="S23" i="12"/>
  <c r="S22" i="12"/>
  <c r="S21" i="12"/>
  <c r="S20" i="12"/>
  <c r="S19" i="12"/>
  <c r="S18" i="12"/>
  <c r="S17" i="12"/>
  <c r="S16" i="12"/>
  <c r="S15" i="12"/>
  <c r="S14" i="12"/>
  <c r="S13" i="12"/>
  <c r="S12" i="12"/>
  <c r="S11" i="12"/>
  <c r="S10" i="12"/>
  <c r="S9" i="12"/>
  <c r="P268" i="12"/>
  <c r="P267" i="12"/>
  <c r="P266" i="12"/>
  <c r="P265" i="12"/>
  <c r="P264" i="12"/>
  <c r="P263" i="12"/>
  <c r="P262" i="12"/>
  <c r="P261" i="12"/>
  <c r="P260" i="12"/>
  <c r="P259" i="12"/>
  <c r="P258" i="12"/>
  <c r="P257" i="12"/>
  <c r="P256" i="12"/>
  <c r="P255" i="12"/>
  <c r="P254" i="12"/>
  <c r="P253" i="12"/>
  <c r="P252" i="12"/>
  <c r="P251" i="12"/>
  <c r="P250" i="12"/>
  <c r="P249" i="12"/>
  <c r="P248" i="12"/>
  <c r="P247" i="12"/>
  <c r="P246" i="12"/>
  <c r="P245" i="12"/>
  <c r="P244" i="12"/>
  <c r="P243" i="12"/>
  <c r="P242" i="12"/>
  <c r="P241" i="12"/>
  <c r="P240" i="12"/>
  <c r="P239" i="12"/>
  <c r="P238" i="12"/>
  <c r="P237" i="12"/>
  <c r="P236" i="12"/>
  <c r="P235" i="12"/>
  <c r="P234" i="12"/>
  <c r="P233" i="12"/>
  <c r="P232" i="12"/>
  <c r="P231" i="12"/>
  <c r="P230" i="12"/>
  <c r="P229" i="12"/>
  <c r="P228" i="12"/>
  <c r="P227" i="12"/>
  <c r="P226" i="12"/>
  <c r="P225" i="12"/>
  <c r="P224" i="12"/>
  <c r="P223" i="12"/>
  <c r="P222" i="12"/>
  <c r="P221" i="12"/>
  <c r="P220" i="12"/>
  <c r="P219" i="12"/>
  <c r="P218" i="12"/>
  <c r="P217" i="12"/>
  <c r="P216" i="12"/>
  <c r="P215" i="12"/>
  <c r="P214" i="12"/>
  <c r="P213" i="12"/>
  <c r="P212" i="12"/>
  <c r="P211" i="12"/>
  <c r="P210" i="12"/>
  <c r="P209" i="12"/>
  <c r="P208" i="12"/>
  <c r="P207" i="12"/>
  <c r="P206" i="12"/>
  <c r="P205" i="12"/>
  <c r="P204" i="12"/>
  <c r="P203" i="12"/>
  <c r="P202" i="12"/>
  <c r="P201" i="12"/>
  <c r="P200" i="12"/>
  <c r="P199" i="12"/>
  <c r="P198" i="12"/>
  <c r="P197" i="12"/>
  <c r="P196" i="12"/>
  <c r="P195" i="12"/>
  <c r="P194" i="12"/>
  <c r="P193" i="12"/>
  <c r="P192" i="12"/>
  <c r="P191" i="12"/>
  <c r="P190" i="12"/>
  <c r="P189" i="12"/>
  <c r="P188" i="12"/>
  <c r="P187" i="12"/>
  <c r="P186" i="12"/>
  <c r="P185" i="12"/>
  <c r="P184" i="12"/>
  <c r="P183" i="12"/>
  <c r="P182" i="12"/>
  <c r="P181" i="12"/>
  <c r="P180" i="12"/>
  <c r="P179" i="12"/>
  <c r="P178" i="12"/>
  <c r="P177" i="12"/>
  <c r="P176" i="12"/>
  <c r="P175" i="12"/>
  <c r="P174" i="12"/>
  <c r="P173" i="12"/>
  <c r="P172" i="12"/>
  <c r="P171" i="12"/>
  <c r="P170" i="12"/>
  <c r="P169" i="12"/>
  <c r="P168" i="12"/>
  <c r="P167" i="12"/>
  <c r="P166" i="12"/>
  <c r="P165" i="12"/>
  <c r="P164" i="12"/>
  <c r="P163" i="12"/>
  <c r="P162" i="12"/>
  <c r="P161" i="12"/>
  <c r="P160" i="12"/>
  <c r="P159" i="12"/>
  <c r="P158" i="12"/>
  <c r="P157" i="12"/>
  <c r="P156" i="12"/>
  <c r="P155" i="12"/>
  <c r="P154" i="12"/>
  <c r="P153" i="12"/>
  <c r="P152" i="12"/>
  <c r="P151" i="12"/>
  <c r="P150" i="12"/>
  <c r="P149" i="12"/>
  <c r="P148" i="12"/>
  <c r="P147" i="12"/>
  <c r="P146" i="12"/>
  <c r="P145" i="12"/>
  <c r="P144" i="12"/>
  <c r="P143" i="12"/>
  <c r="P142" i="12"/>
  <c r="P141" i="12"/>
  <c r="P140" i="12"/>
  <c r="P139" i="12"/>
  <c r="P138" i="12"/>
  <c r="P137" i="12"/>
  <c r="P136" i="12"/>
  <c r="P135" i="12"/>
  <c r="P134" i="12"/>
  <c r="P133" i="12"/>
  <c r="P132" i="12"/>
  <c r="P131" i="12"/>
  <c r="P130" i="12"/>
  <c r="P129" i="12"/>
  <c r="P128" i="12"/>
  <c r="P127" i="12"/>
  <c r="P126" i="12"/>
  <c r="P125" i="12"/>
  <c r="P124" i="12"/>
  <c r="P123" i="12"/>
  <c r="P122" i="12"/>
  <c r="P121" i="12"/>
  <c r="P120" i="12"/>
  <c r="P119" i="12"/>
  <c r="P118" i="12"/>
  <c r="P117" i="12"/>
  <c r="P116" i="12"/>
  <c r="P115" i="12"/>
  <c r="P114" i="12"/>
  <c r="P113" i="12"/>
  <c r="P112" i="12"/>
  <c r="P111" i="12"/>
  <c r="P110" i="12"/>
  <c r="P109" i="12"/>
  <c r="P108" i="12"/>
  <c r="P107" i="12"/>
  <c r="P106" i="12"/>
  <c r="P105" i="12"/>
  <c r="P104" i="12"/>
  <c r="P103" i="12"/>
  <c r="P102" i="12"/>
  <c r="P101" i="12"/>
  <c r="P100" i="12"/>
  <c r="P99" i="12"/>
  <c r="P98" i="12"/>
  <c r="P97" i="12"/>
  <c r="P96" i="12"/>
  <c r="P95" i="12"/>
  <c r="P94" i="12"/>
  <c r="P93" i="12"/>
  <c r="P92" i="12"/>
  <c r="P91" i="12"/>
  <c r="P90" i="12"/>
  <c r="P89" i="12"/>
  <c r="P88" i="12"/>
  <c r="P87" i="12"/>
  <c r="P86" i="12"/>
  <c r="P85" i="12"/>
  <c r="P84" i="12"/>
  <c r="P83" i="12"/>
  <c r="P82" i="12"/>
  <c r="P81" i="12"/>
  <c r="P80" i="12"/>
  <c r="P79" i="12"/>
  <c r="P78" i="12"/>
  <c r="P77" i="12"/>
  <c r="P76" i="12"/>
  <c r="P75" i="12"/>
  <c r="P74" i="12"/>
  <c r="P73" i="12"/>
  <c r="P72" i="12"/>
  <c r="P71" i="12"/>
  <c r="P70" i="12"/>
  <c r="P69" i="12"/>
  <c r="P68" i="12"/>
  <c r="P67" i="12"/>
  <c r="P66" i="12"/>
  <c r="P65" i="12"/>
  <c r="P64" i="12"/>
  <c r="P63" i="12"/>
  <c r="P62" i="12"/>
  <c r="P61" i="12"/>
  <c r="P60" i="12"/>
  <c r="P59" i="12"/>
  <c r="P58" i="12"/>
  <c r="P57" i="12"/>
  <c r="P56" i="12"/>
  <c r="P55" i="12"/>
  <c r="P54" i="12"/>
  <c r="P53" i="12"/>
  <c r="P52" i="12"/>
  <c r="P51" i="12"/>
  <c r="P50" i="12"/>
  <c r="P49" i="12"/>
  <c r="P48" i="12"/>
  <c r="P47" i="12"/>
  <c r="P46" i="12"/>
  <c r="P45" i="12"/>
  <c r="P44" i="12"/>
  <c r="P43" i="12"/>
  <c r="P42" i="12"/>
  <c r="P41" i="12"/>
  <c r="P40" i="12"/>
  <c r="P39" i="12"/>
  <c r="P38" i="12"/>
  <c r="P37" i="12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P12" i="12"/>
  <c r="P11" i="12"/>
  <c r="P10" i="12"/>
  <c r="P9" i="12"/>
  <c r="M268" i="12"/>
  <c r="M267" i="12"/>
  <c r="M266" i="12"/>
  <c r="M265" i="12"/>
  <c r="M264" i="12"/>
  <c r="M263" i="12"/>
  <c r="M262" i="12"/>
  <c r="M261" i="12"/>
  <c r="M260" i="12"/>
  <c r="M259" i="12"/>
  <c r="M258" i="12"/>
  <c r="M257" i="12"/>
  <c r="M256" i="12"/>
  <c r="M255" i="12"/>
  <c r="M254" i="12"/>
  <c r="M253" i="12"/>
  <c r="M252" i="12"/>
  <c r="M251" i="12"/>
  <c r="M250" i="12"/>
  <c r="M249" i="12"/>
  <c r="M248" i="12"/>
  <c r="M247" i="12"/>
  <c r="M246" i="12"/>
  <c r="M245" i="12"/>
  <c r="M244" i="12"/>
  <c r="M243" i="12"/>
  <c r="M242" i="12"/>
  <c r="M241" i="12"/>
  <c r="M240" i="12"/>
  <c r="M239" i="12"/>
  <c r="M238" i="12"/>
  <c r="M237" i="12"/>
  <c r="M236" i="12"/>
  <c r="M235" i="12"/>
  <c r="M234" i="12"/>
  <c r="M233" i="12"/>
  <c r="M232" i="12"/>
  <c r="M231" i="12"/>
  <c r="M230" i="12"/>
  <c r="M229" i="12"/>
  <c r="M228" i="12"/>
  <c r="M227" i="12"/>
  <c r="M226" i="12"/>
  <c r="M225" i="12"/>
  <c r="M224" i="12"/>
  <c r="M223" i="12"/>
  <c r="M222" i="12"/>
  <c r="M221" i="12"/>
  <c r="M220" i="12"/>
  <c r="M219" i="12"/>
  <c r="M218" i="12"/>
  <c r="M217" i="12"/>
  <c r="M216" i="12"/>
  <c r="M215" i="12"/>
  <c r="M214" i="12"/>
  <c r="M213" i="12"/>
  <c r="M212" i="12"/>
  <c r="M211" i="12"/>
  <c r="M210" i="12"/>
  <c r="M209" i="12"/>
  <c r="M208" i="12"/>
  <c r="M207" i="12"/>
  <c r="M206" i="12"/>
  <c r="M205" i="12"/>
  <c r="M204" i="12"/>
  <c r="M203" i="12"/>
  <c r="M202" i="12"/>
  <c r="M201" i="12"/>
  <c r="M200" i="12"/>
  <c r="M199" i="12"/>
  <c r="M198" i="12"/>
  <c r="M197" i="12"/>
  <c r="M196" i="12"/>
  <c r="M195" i="12"/>
  <c r="M194" i="12"/>
  <c r="M193" i="12"/>
  <c r="M192" i="12"/>
  <c r="M191" i="12"/>
  <c r="M190" i="12"/>
  <c r="M189" i="12"/>
  <c r="M188" i="12"/>
  <c r="M187" i="12"/>
  <c r="M186" i="12"/>
  <c r="M185" i="12"/>
  <c r="M184" i="12"/>
  <c r="M183" i="12"/>
  <c r="M182" i="12"/>
  <c r="M181" i="12"/>
  <c r="M180" i="12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J268" i="12"/>
  <c r="J267" i="12"/>
  <c r="J266" i="12"/>
  <c r="J265" i="12"/>
  <c r="J264" i="12"/>
  <c r="J263" i="12"/>
  <c r="J262" i="12"/>
  <c r="J261" i="12"/>
  <c r="J260" i="12"/>
  <c r="J259" i="12"/>
  <c r="J258" i="12"/>
  <c r="J257" i="12"/>
  <c r="J256" i="12"/>
  <c r="J255" i="12"/>
  <c r="J254" i="12"/>
  <c r="J253" i="12"/>
  <c r="J252" i="12"/>
  <c r="J251" i="12"/>
  <c r="J250" i="12"/>
  <c r="J249" i="12"/>
  <c r="J248" i="12"/>
  <c r="J247" i="12"/>
  <c r="J246" i="12"/>
  <c r="J245" i="12"/>
  <c r="J244" i="12"/>
  <c r="J243" i="12"/>
  <c r="J242" i="12"/>
  <c r="J241" i="12"/>
  <c r="J240" i="12"/>
  <c r="J239" i="12"/>
  <c r="J238" i="12"/>
  <c r="J237" i="12"/>
  <c r="J236" i="12"/>
  <c r="J235" i="12"/>
  <c r="J234" i="12"/>
  <c r="J233" i="12"/>
  <c r="J232" i="12"/>
  <c r="J231" i="12"/>
  <c r="J230" i="12"/>
  <c r="J229" i="12"/>
  <c r="J228" i="12"/>
  <c r="J227" i="12"/>
  <c r="J226" i="12"/>
  <c r="J225" i="12"/>
  <c r="J224" i="12"/>
  <c r="J223" i="12"/>
  <c r="J222" i="12"/>
  <c r="J221" i="12"/>
  <c r="J220" i="12"/>
  <c r="J219" i="12"/>
  <c r="J218" i="12"/>
  <c r="J217" i="12"/>
  <c r="J216" i="12"/>
  <c r="J215" i="12"/>
  <c r="J214" i="12"/>
  <c r="J213" i="12"/>
  <c r="J212" i="12"/>
  <c r="J211" i="12"/>
  <c r="J210" i="12"/>
  <c r="J209" i="12"/>
  <c r="J208" i="12"/>
  <c r="J207" i="12"/>
  <c r="J206" i="12"/>
  <c r="J205" i="12"/>
  <c r="J204" i="12"/>
  <c r="J203" i="12"/>
  <c r="J202" i="12"/>
  <c r="J201" i="12"/>
  <c r="J200" i="12"/>
  <c r="J199" i="12"/>
  <c r="J198" i="12"/>
  <c r="J197" i="12"/>
  <c r="J196" i="12"/>
  <c r="J195" i="12"/>
  <c r="J194" i="12"/>
  <c r="J193" i="12"/>
  <c r="J192" i="12"/>
  <c r="J191" i="12"/>
  <c r="J190" i="12"/>
  <c r="J189" i="12"/>
  <c r="J188" i="12"/>
  <c r="J187" i="12"/>
  <c r="J186" i="12"/>
  <c r="J185" i="12"/>
  <c r="J184" i="12"/>
  <c r="J183" i="12"/>
  <c r="J182" i="12"/>
  <c r="J181" i="12"/>
  <c r="J180" i="12"/>
  <c r="J179" i="12"/>
  <c r="J178" i="12"/>
  <c r="J177" i="12"/>
  <c r="J176" i="12"/>
  <c r="J175" i="12"/>
  <c r="J174" i="12"/>
  <c r="J173" i="12"/>
  <c r="J172" i="12"/>
  <c r="J171" i="12"/>
  <c r="J170" i="12"/>
  <c r="J169" i="12"/>
  <c r="J168" i="12"/>
  <c r="J167" i="12"/>
  <c r="J166" i="12"/>
  <c r="J165" i="12"/>
  <c r="J164" i="12"/>
  <c r="J163" i="12"/>
  <c r="J162" i="12"/>
  <c r="J161" i="12"/>
  <c r="J160" i="12"/>
  <c r="J159" i="12"/>
  <c r="J158" i="12"/>
  <c r="J157" i="12"/>
  <c r="J156" i="12"/>
  <c r="J155" i="12"/>
  <c r="J154" i="12"/>
  <c r="J153" i="12"/>
  <c r="J152" i="12"/>
  <c r="J151" i="12"/>
  <c r="J150" i="12"/>
  <c r="J149" i="12"/>
  <c r="J148" i="12"/>
  <c r="J147" i="12"/>
  <c r="J146" i="12"/>
  <c r="J145" i="12"/>
  <c r="J144" i="12"/>
  <c r="J143" i="12"/>
  <c r="J142" i="12"/>
  <c r="J141" i="12"/>
  <c r="J140" i="12"/>
  <c r="J139" i="12"/>
  <c r="J138" i="12"/>
  <c r="J137" i="12"/>
  <c r="J136" i="12"/>
  <c r="J135" i="12"/>
  <c r="J134" i="12"/>
  <c r="J133" i="12"/>
  <c r="J132" i="12"/>
  <c r="J131" i="12"/>
  <c r="J130" i="12"/>
  <c r="J129" i="12"/>
  <c r="J128" i="12"/>
  <c r="J127" i="12"/>
  <c r="J126" i="12"/>
  <c r="J125" i="12"/>
  <c r="J124" i="12"/>
  <c r="J123" i="12"/>
  <c r="J122" i="12"/>
  <c r="J121" i="12"/>
  <c r="J120" i="12"/>
  <c r="J119" i="12"/>
  <c r="J118" i="12"/>
  <c r="J117" i="12"/>
  <c r="J116" i="12"/>
  <c r="J115" i="12"/>
  <c r="J114" i="12"/>
  <c r="J113" i="12"/>
  <c r="J112" i="12"/>
  <c r="J111" i="12"/>
  <c r="J110" i="12"/>
  <c r="J109" i="12"/>
  <c r="J108" i="12"/>
  <c r="J107" i="12"/>
  <c r="J106" i="12"/>
  <c r="J105" i="12"/>
  <c r="J104" i="12"/>
  <c r="J103" i="12"/>
  <c r="J102" i="12"/>
  <c r="J101" i="12"/>
  <c r="J100" i="12"/>
  <c r="J99" i="12"/>
  <c r="J98" i="12"/>
  <c r="J97" i="12"/>
  <c r="J96" i="12"/>
  <c r="J95" i="12"/>
  <c r="J94" i="12"/>
  <c r="J93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9" i="12"/>
  <c r="J78" i="12"/>
  <c r="J77" i="12"/>
  <c r="J76" i="12"/>
  <c r="J75" i="12"/>
  <c r="J74" i="12"/>
  <c r="J73" i="12"/>
  <c r="J72" i="12"/>
  <c r="J71" i="12"/>
  <c r="J70" i="12"/>
  <c r="J69" i="12"/>
  <c r="J68" i="12"/>
  <c r="J67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G268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5" i="12"/>
  <c r="G254" i="12"/>
  <c r="G253" i="12"/>
  <c r="G252" i="12"/>
  <c r="G251" i="12"/>
  <c r="G250" i="12"/>
  <c r="G249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U5" i="12"/>
  <c r="R5" i="12"/>
  <c r="O5" i="12"/>
  <c r="L5" i="12"/>
  <c r="I5" i="12"/>
  <c r="F5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25" i="10"/>
  <c r="G25" i="10" s="1"/>
  <c r="D24" i="10"/>
  <c r="H24" i="10" s="1"/>
  <c r="D23" i="10"/>
  <c r="D22" i="10"/>
  <c r="D21" i="10"/>
  <c r="H21" i="10" s="1"/>
  <c r="C25" i="10"/>
  <c r="B25" i="10"/>
  <c r="C24" i="10"/>
  <c r="B24" i="10"/>
  <c r="C23" i="10"/>
  <c r="B23" i="10"/>
  <c r="C22" i="10"/>
  <c r="B22" i="10"/>
  <c r="C21" i="10"/>
  <c r="B21" i="10"/>
  <c r="G13" i="10"/>
  <c r="G12" i="10"/>
  <c r="G11" i="10"/>
  <c r="G10" i="10"/>
  <c r="G9" i="10"/>
  <c r="B2" i="10"/>
  <c r="I28" i="10" l="1"/>
  <c r="J35" i="10" s="1"/>
  <c r="J36" i="10" s="1"/>
  <c r="J47" i="10" s="1"/>
  <c r="E34" i="10"/>
  <c r="E35" i="10" s="1"/>
  <c r="J50" i="10" s="1"/>
  <c r="J42" i="10"/>
  <c r="H23" i="10"/>
  <c r="G23" i="10"/>
  <c r="J23" i="10" s="1"/>
  <c r="J25" i="10"/>
  <c r="G22" i="10"/>
  <c r="J22" i="10" s="1"/>
  <c r="H22" i="10"/>
  <c r="H27" i="10" s="1"/>
  <c r="G24" i="10"/>
  <c r="J24" i="10" s="1"/>
  <c r="G21" i="10"/>
  <c r="J21" i="10" s="1"/>
  <c r="H25" i="10"/>
  <c r="I27" i="10"/>
  <c r="E7" i="9"/>
  <c r="E6" i="9"/>
  <c r="E5" i="9"/>
  <c r="E4" i="9"/>
  <c r="B4" i="9"/>
  <c r="B5" i="9" s="1"/>
  <c r="B6" i="9" s="1"/>
  <c r="B7" i="9" s="1"/>
  <c r="B8" i="9" s="1"/>
  <c r="I13" i="7"/>
  <c r="J13" i="7" s="1"/>
  <c r="I12" i="7"/>
  <c r="I11" i="7"/>
  <c r="I10" i="7"/>
  <c r="I9" i="7"/>
  <c r="I4" i="7" a="1"/>
  <c r="I4" i="7" s="1"/>
  <c r="J12" i="7"/>
  <c r="D4" i="7" a="1"/>
  <c r="D4" i="7" s="1"/>
  <c r="G5" i="7"/>
  <c r="G6" i="7" s="1"/>
  <c r="G7" i="7" s="1"/>
  <c r="G8" i="7" s="1"/>
  <c r="G9" i="7" s="1"/>
  <c r="G10" i="7" s="1"/>
  <c r="G11" i="7" s="1"/>
  <c r="G12" i="7" s="1"/>
  <c r="G13" i="7" s="1"/>
  <c r="B5" i="7"/>
  <c r="B6" i="7" s="1"/>
  <c r="B7" i="7" s="1"/>
  <c r="B8" i="7" s="1"/>
  <c r="B9" i="7" s="1"/>
  <c r="G2" i="7"/>
  <c r="B2" i="7"/>
  <c r="G40" i="6"/>
  <c r="F40" i="6"/>
  <c r="E40" i="6"/>
  <c r="D40" i="6"/>
  <c r="C40" i="6"/>
  <c r="G39" i="6"/>
  <c r="F39" i="6"/>
  <c r="E39" i="6"/>
  <c r="D39" i="6"/>
  <c r="C39" i="6"/>
  <c r="G38" i="6"/>
  <c r="F38" i="6"/>
  <c r="E38" i="6"/>
  <c r="D38" i="6"/>
  <c r="C38" i="6"/>
  <c r="G37" i="6"/>
  <c r="F37" i="6"/>
  <c r="E37" i="6"/>
  <c r="D37" i="6"/>
  <c r="C37" i="6"/>
  <c r="G36" i="6"/>
  <c r="F36" i="6"/>
  <c r="E36" i="6"/>
  <c r="D36" i="6"/>
  <c r="C36" i="6"/>
  <c r="G35" i="6"/>
  <c r="F35" i="6"/>
  <c r="E35" i="6"/>
  <c r="D35" i="6"/>
  <c r="C35" i="6"/>
  <c r="G34" i="6"/>
  <c r="F34" i="6"/>
  <c r="E34" i="6"/>
  <c r="D34" i="6"/>
  <c r="C34" i="6"/>
  <c r="G32" i="6"/>
  <c r="F32" i="6"/>
  <c r="E32" i="6"/>
  <c r="D32" i="6"/>
  <c r="C32" i="6"/>
  <c r="G31" i="6"/>
  <c r="F31" i="6"/>
  <c r="E31" i="6"/>
  <c r="D31" i="6"/>
  <c r="C31" i="6"/>
  <c r="G30" i="6"/>
  <c r="F30" i="6"/>
  <c r="E30" i="6"/>
  <c r="D30" i="6"/>
  <c r="C30" i="6"/>
  <c r="G29" i="6"/>
  <c r="F29" i="6"/>
  <c r="E29" i="6"/>
  <c r="D29" i="6"/>
  <c r="C29" i="6"/>
  <c r="G28" i="6"/>
  <c r="F28" i="6"/>
  <c r="E28" i="6"/>
  <c r="D28" i="6"/>
  <c r="C28" i="6"/>
  <c r="G27" i="6"/>
  <c r="F27" i="6"/>
  <c r="E27" i="6"/>
  <c r="D27" i="6"/>
  <c r="C27" i="6"/>
  <c r="G26" i="6"/>
  <c r="F26" i="6"/>
  <c r="E26" i="6"/>
  <c r="D26" i="6"/>
  <c r="C26" i="6"/>
  <c r="G25" i="6"/>
  <c r="F25" i="6"/>
  <c r="E25" i="6"/>
  <c r="D25" i="6"/>
  <c r="C25" i="6"/>
  <c r="B40" i="6"/>
  <c r="B39" i="6"/>
  <c r="B38" i="6"/>
  <c r="B37" i="6"/>
  <c r="B36" i="6"/>
  <c r="B35" i="6"/>
  <c r="B34" i="6"/>
  <c r="B32" i="6"/>
  <c r="B31" i="6"/>
  <c r="B30" i="6"/>
  <c r="B29" i="6"/>
  <c r="B28" i="6"/>
  <c r="B27" i="6"/>
  <c r="B26" i="6"/>
  <c r="B25" i="6"/>
  <c r="B22" i="6"/>
  <c r="B2" i="6"/>
  <c r="B23" i="6"/>
  <c r="G10" i="6"/>
  <c r="F10" i="6"/>
  <c r="E10" i="6"/>
  <c r="D10" i="6"/>
  <c r="C10" i="6"/>
  <c r="B10" i="6"/>
  <c r="G7" i="6"/>
  <c r="F7" i="6"/>
  <c r="E7" i="6"/>
  <c r="D7" i="6"/>
  <c r="C7" i="6"/>
  <c r="B6" i="6"/>
  <c r="B7" i="6"/>
  <c r="B8" i="6"/>
  <c r="B9" i="6"/>
  <c r="B11" i="6"/>
  <c r="B12" i="6"/>
  <c r="B13" i="6"/>
  <c r="B14" i="6"/>
  <c r="B15" i="6"/>
  <c r="B16" i="6"/>
  <c r="B17" i="6"/>
  <c r="B18" i="6"/>
  <c r="B19" i="6"/>
  <c r="C5" i="6"/>
  <c r="D5" i="6"/>
  <c r="E5" i="6"/>
  <c r="F5" i="6"/>
  <c r="G5" i="6"/>
  <c r="C6" i="6"/>
  <c r="D6" i="6"/>
  <c r="E6" i="6"/>
  <c r="F6" i="6"/>
  <c r="G6" i="6"/>
  <c r="C8" i="6"/>
  <c r="D8" i="6"/>
  <c r="E8" i="6"/>
  <c r="F8" i="6"/>
  <c r="G8" i="6"/>
  <c r="C9" i="6"/>
  <c r="D9" i="6"/>
  <c r="E9" i="6"/>
  <c r="F9" i="6"/>
  <c r="G9" i="6"/>
  <c r="C11" i="6"/>
  <c r="D11" i="6"/>
  <c r="E11" i="6"/>
  <c r="F11" i="6"/>
  <c r="G11" i="6"/>
  <c r="C12" i="6"/>
  <c r="D12" i="6"/>
  <c r="E12" i="6"/>
  <c r="F12" i="6"/>
  <c r="G12" i="6"/>
  <c r="C13" i="6"/>
  <c r="D13" i="6"/>
  <c r="E13" i="6"/>
  <c r="F13" i="6"/>
  <c r="G13" i="6"/>
  <c r="C14" i="6"/>
  <c r="D14" i="6"/>
  <c r="E14" i="6"/>
  <c r="F14" i="6"/>
  <c r="G14" i="6"/>
  <c r="C15" i="6"/>
  <c r="D15" i="6"/>
  <c r="E15" i="6"/>
  <c r="F15" i="6"/>
  <c r="G15" i="6"/>
  <c r="C16" i="6"/>
  <c r="D16" i="6"/>
  <c r="E16" i="6"/>
  <c r="F16" i="6"/>
  <c r="G16" i="6"/>
  <c r="C17" i="6"/>
  <c r="D17" i="6"/>
  <c r="E17" i="6"/>
  <c r="F17" i="6"/>
  <c r="G17" i="6"/>
  <c r="C18" i="6"/>
  <c r="D18" i="6"/>
  <c r="E18" i="6"/>
  <c r="F18" i="6"/>
  <c r="G18" i="6"/>
  <c r="C19" i="6"/>
  <c r="D19" i="6"/>
  <c r="E19" i="6"/>
  <c r="F19" i="6"/>
  <c r="G19" i="6"/>
  <c r="B5" i="6"/>
  <c r="B3" i="6"/>
  <c r="B3" i="5"/>
  <c r="B2" i="5"/>
  <c r="O44" i="17" l="1"/>
  <c r="K44" i="17"/>
  <c r="K45" i="17" s="1"/>
  <c r="N44" i="17"/>
  <c r="N45" i="17" s="1"/>
  <c r="N48" i="17" s="1"/>
  <c r="N55" i="17" s="1"/>
  <c r="N58" i="17" s="1"/>
  <c r="L44" i="17"/>
  <c r="L45" i="17" s="1"/>
  <c r="L48" i="17" s="1"/>
  <c r="M44" i="17"/>
  <c r="M45" i="17" s="1"/>
  <c r="M48" i="17" s="1"/>
  <c r="M55" i="17" s="1"/>
  <c r="M58" i="17" s="1"/>
  <c r="H28" i="10"/>
  <c r="G27" i="10"/>
  <c r="E41" i="10" s="1"/>
  <c r="G28" i="10"/>
  <c r="J28" i="10"/>
  <c r="J40" i="10" s="1"/>
  <c r="J27" i="10"/>
  <c r="B9" i="9"/>
  <c r="D8" i="9"/>
  <c r="E8" i="9" s="1"/>
  <c r="J11" i="7"/>
  <c r="J5" i="7"/>
  <c r="B10" i="7"/>
  <c r="D9" i="7"/>
  <c r="E9" i="7" s="1"/>
  <c r="E8" i="7"/>
  <c r="J7" i="7"/>
  <c r="E5" i="7"/>
  <c r="E6" i="7"/>
  <c r="J9" i="7"/>
  <c r="J8" i="7"/>
  <c r="E7" i="7"/>
  <c r="J6" i="7"/>
  <c r="J10" i="7"/>
  <c r="L55" i="17" l="1"/>
  <c r="L58" i="17" s="1"/>
  <c r="J43" i="10"/>
  <c r="E42" i="10"/>
  <c r="J48" i="10" s="1"/>
  <c r="E45" i="10"/>
  <c r="J41" i="10" s="1"/>
  <c r="J51" i="10"/>
  <c r="J9" i="16"/>
  <c r="O45" i="17"/>
  <c r="O48" i="17" s="1"/>
  <c r="O50" i="17" s="1"/>
  <c r="B10" i="9"/>
  <c r="D9" i="9"/>
  <c r="E9" i="9" s="1"/>
  <c r="B11" i="7"/>
  <c r="D10" i="7"/>
  <c r="E10" i="7" s="1"/>
  <c r="O51" i="17" l="1"/>
  <c r="K9" i="16"/>
  <c r="J11" i="16"/>
  <c r="J13" i="16"/>
  <c r="K13" i="16" s="1"/>
  <c r="L13" i="16" s="1"/>
  <c r="M13" i="16" s="1"/>
  <c r="O55" i="17"/>
  <c r="O58" i="17" s="1"/>
  <c r="O60" i="17" s="1"/>
  <c r="J22" i="16" s="1"/>
  <c r="J53" i="10"/>
  <c r="J24" i="16" s="1"/>
  <c r="O61" i="17"/>
  <c r="B11" i="9"/>
  <c r="D10" i="9"/>
  <c r="E10" i="9" s="1"/>
  <c r="B12" i="7"/>
  <c r="D11" i="7"/>
  <c r="J15" i="16" l="1"/>
  <c r="N18" i="16"/>
  <c r="M18" i="16"/>
  <c r="O18" i="16"/>
  <c r="K18" i="16"/>
  <c r="J29" i="16"/>
  <c r="L18" i="16"/>
  <c r="L9" i="16"/>
  <c r="K11" i="16"/>
  <c r="K15" i="16" s="1"/>
  <c r="K20" i="16" s="1"/>
  <c r="B12" i="9"/>
  <c r="D12" i="9" s="1"/>
  <c r="E12" i="9" s="1"/>
  <c r="D11" i="9"/>
  <c r="E11" i="9" s="1"/>
  <c r="E11" i="7"/>
  <c r="B13" i="7"/>
  <c r="D13" i="7" s="1"/>
  <c r="D12" i="7"/>
  <c r="E12" i="7" s="1"/>
  <c r="M9" i="16" l="1"/>
  <c r="L11" i="16"/>
  <c r="L15" i="16" s="1"/>
  <c r="L20" i="16" s="1"/>
  <c r="E13" i="7"/>
  <c r="N9" i="16" l="1"/>
  <c r="M11" i="16"/>
  <c r="M15" i="16" s="1"/>
  <c r="M20" i="16" s="1"/>
  <c r="G41" i="5"/>
  <c r="D41" i="5"/>
  <c r="G39" i="5"/>
  <c r="G31" i="5"/>
  <c r="F31" i="5"/>
  <c r="G30" i="5"/>
  <c r="G36" i="5" s="1"/>
  <c r="F30" i="5"/>
  <c r="F36" i="5" s="1"/>
  <c r="G28" i="5"/>
  <c r="G34" i="5" s="1"/>
  <c r="F28" i="5"/>
  <c r="F34" i="5" s="1"/>
  <c r="C31" i="5"/>
  <c r="C28" i="5"/>
  <c r="C34" i="5" s="1"/>
  <c r="G10" i="5"/>
  <c r="F10" i="5"/>
  <c r="H86" i="4"/>
  <c r="G86" i="4"/>
  <c r="F86" i="4"/>
  <c r="E86" i="4"/>
  <c r="D86" i="4"/>
  <c r="H84" i="4"/>
  <c r="H88" i="4" s="1"/>
  <c r="G84" i="4"/>
  <c r="F84" i="4"/>
  <c r="E84" i="4"/>
  <c r="D84" i="4"/>
  <c r="D88" i="4" s="1"/>
  <c r="H82" i="4"/>
  <c r="G82" i="4"/>
  <c r="F82" i="4"/>
  <c r="F41" i="5" s="1"/>
  <c r="E82" i="4"/>
  <c r="E41" i="5" s="1"/>
  <c r="D82" i="4"/>
  <c r="C88" i="4"/>
  <c r="C86" i="4"/>
  <c r="C84" i="4"/>
  <c r="C82" i="4"/>
  <c r="B86" i="4"/>
  <c r="B84" i="4"/>
  <c r="B82" i="4"/>
  <c r="G71" i="4"/>
  <c r="F71" i="4"/>
  <c r="E71" i="4"/>
  <c r="D71" i="4"/>
  <c r="G70" i="4"/>
  <c r="F70" i="4"/>
  <c r="E70" i="4"/>
  <c r="D70" i="4"/>
  <c r="G69" i="4"/>
  <c r="F69" i="4"/>
  <c r="E69" i="4"/>
  <c r="D69" i="4"/>
  <c r="G68" i="4"/>
  <c r="G32" i="5" s="1"/>
  <c r="F68" i="4"/>
  <c r="F32" i="5" s="1"/>
  <c r="E68" i="4"/>
  <c r="D68" i="4"/>
  <c r="C71" i="4"/>
  <c r="C70" i="4"/>
  <c r="C69" i="4"/>
  <c r="C68" i="4"/>
  <c r="C32" i="5" s="1"/>
  <c r="G62" i="4"/>
  <c r="F62" i="4"/>
  <c r="E62" i="4"/>
  <c r="D62" i="4"/>
  <c r="C62" i="4"/>
  <c r="C64" i="4"/>
  <c r="G63" i="4"/>
  <c r="F63" i="4"/>
  <c r="E63" i="4"/>
  <c r="D63" i="4"/>
  <c r="C63" i="4"/>
  <c r="G56" i="4"/>
  <c r="F56" i="4"/>
  <c r="E56" i="4"/>
  <c r="D56" i="4"/>
  <c r="C56" i="4"/>
  <c r="G55" i="4"/>
  <c r="F55" i="4"/>
  <c r="E55" i="4"/>
  <c r="D55" i="4"/>
  <c r="C55" i="4"/>
  <c r="G53" i="4"/>
  <c r="F53" i="4"/>
  <c r="E53" i="4"/>
  <c r="D53" i="4"/>
  <c r="C53" i="4"/>
  <c r="G54" i="4"/>
  <c r="F54" i="4"/>
  <c r="E54" i="4"/>
  <c r="D54" i="4"/>
  <c r="C54" i="4"/>
  <c r="G73" i="4"/>
  <c r="F73" i="4"/>
  <c r="E73" i="4"/>
  <c r="D73" i="4"/>
  <c r="G72" i="4"/>
  <c r="G74" i="4" s="1"/>
  <c r="F72" i="4"/>
  <c r="F74" i="4" s="1"/>
  <c r="E72" i="4"/>
  <c r="E74" i="4" s="1"/>
  <c r="D72" i="4"/>
  <c r="D74" i="4" s="1"/>
  <c r="C73" i="4"/>
  <c r="C72" i="4"/>
  <c r="C41" i="5" s="1"/>
  <c r="J41" i="5" s="1"/>
  <c r="G65" i="4"/>
  <c r="F65" i="4"/>
  <c r="E65" i="4"/>
  <c r="D65" i="4"/>
  <c r="G64" i="4"/>
  <c r="F64" i="4"/>
  <c r="E64" i="4"/>
  <c r="D64" i="4"/>
  <c r="C65" i="4"/>
  <c r="G61" i="4"/>
  <c r="G29" i="5" s="1"/>
  <c r="G35" i="5" s="1"/>
  <c r="F61" i="4"/>
  <c r="F29" i="5" s="1"/>
  <c r="F35" i="5" s="1"/>
  <c r="E61" i="4"/>
  <c r="D61" i="4"/>
  <c r="C61" i="4"/>
  <c r="C29" i="5" s="1"/>
  <c r="G50" i="4"/>
  <c r="F50" i="4"/>
  <c r="E50" i="4"/>
  <c r="D50" i="4"/>
  <c r="C50" i="4"/>
  <c r="G49" i="4"/>
  <c r="F49" i="4"/>
  <c r="E49" i="4"/>
  <c r="D49" i="4"/>
  <c r="C49" i="4"/>
  <c r="G48" i="4"/>
  <c r="F48" i="4"/>
  <c r="E48" i="4"/>
  <c r="D48" i="4"/>
  <c r="C48" i="4"/>
  <c r="G47" i="4"/>
  <c r="F47" i="4"/>
  <c r="E47" i="4"/>
  <c r="D47" i="4"/>
  <c r="C47" i="4"/>
  <c r="H36" i="4"/>
  <c r="H41" i="4" s="1"/>
  <c r="G36" i="4"/>
  <c r="G41" i="4" s="1"/>
  <c r="F36" i="4"/>
  <c r="F41" i="4" s="1"/>
  <c r="E36" i="4"/>
  <c r="E41" i="4" s="1"/>
  <c r="E10" i="5" s="1"/>
  <c r="D36" i="4"/>
  <c r="D41" i="4" s="1"/>
  <c r="D10" i="5" s="1"/>
  <c r="C36" i="4"/>
  <c r="C41" i="4" s="1"/>
  <c r="C30" i="4"/>
  <c r="H30" i="4"/>
  <c r="G30" i="4"/>
  <c r="F30" i="4"/>
  <c r="E30" i="4"/>
  <c r="D30" i="4"/>
  <c r="H24" i="4"/>
  <c r="G24" i="4"/>
  <c r="F24" i="4"/>
  <c r="E24" i="4"/>
  <c r="D24" i="4"/>
  <c r="C24" i="4"/>
  <c r="H21" i="4"/>
  <c r="G21" i="4"/>
  <c r="F21" i="4"/>
  <c r="E21" i="4"/>
  <c r="D21" i="4"/>
  <c r="C21" i="4"/>
  <c r="H15" i="4"/>
  <c r="G15" i="4"/>
  <c r="F15" i="4"/>
  <c r="E15" i="4"/>
  <c r="D15" i="4"/>
  <c r="C15" i="4"/>
  <c r="H9" i="4"/>
  <c r="G9" i="4"/>
  <c r="F9" i="4"/>
  <c r="E9" i="4"/>
  <c r="D9" i="4"/>
  <c r="C9" i="4"/>
  <c r="H6" i="4"/>
  <c r="G6" i="4"/>
  <c r="F6" i="4"/>
  <c r="E6" i="4"/>
  <c r="E32" i="5" s="1"/>
  <c r="D6" i="4"/>
  <c r="D39" i="5" s="1"/>
  <c r="C6" i="4"/>
  <c r="C30" i="5" s="1"/>
  <c r="C36" i="5" s="1"/>
  <c r="H3" i="4"/>
  <c r="G3" i="4"/>
  <c r="G23" i="6" s="1"/>
  <c r="F3" i="4"/>
  <c r="F23" i="6" s="1"/>
  <c r="E3" i="4"/>
  <c r="E23" i="6" s="1"/>
  <c r="D3" i="4"/>
  <c r="D23" i="6" s="1"/>
  <c r="C3" i="4"/>
  <c r="C23" i="6" s="1"/>
  <c r="B2" i="3"/>
  <c r="B2" i="4" s="1"/>
  <c r="B11" i="2"/>
  <c r="O9" i="16" l="1"/>
  <c r="O11" i="16" s="1"/>
  <c r="O15" i="16" s="1"/>
  <c r="N11" i="16"/>
  <c r="N15" i="16" s="1"/>
  <c r="N20" i="16" s="1"/>
  <c r="C74" i="4"/>
  <c r="D3" i="6"/>
  <c r="D3" i="5"/>
  <c r="D28" i="5"/>
  <c r="D34" i="5" s="1"/>
  <c r="D29" i="5"/>
  <c r="D35" i="5" s="1"/>
  <c r="D30" i="5"/>
  <c r="D36" i="5" s="1"/>
  <c r="J36" i="5" s="1"/>
  <c r="D31" i="5"/>
  <c r="J31" i="5" s="1"/>
  <c r="D32" i="5"/>
  <c r="C39" i="5"/>
  <c r="E39" i="5"/>
  <c r="J39" i="5" s="1"/>
  <c r="F3" i="6"/>
  <c r="F3" i="5"/>
  <c r="C3" i="6"/>
  <c r="C3" i="5"/>
  <c r="G3" i="6"/>
  <c r="G3" i="5"/>
  <c r="G88" i="4"/>
  <c r="F88" i="4"/>
  <c r="E88" i="4"/>
  <c r="E3" i="5"/>
  <c r="E3" i="6"/>
  <c r="E28" i="5"/>
  <c r="E34" i="5" s="1"/>
  <c r="E29" i="5"/>
  <c r="E35" i="5" s="1"/>
  <c r="E30" i="5"/>
  <c r="E36" i="5" s="1"/>
  <c r="E31" i="5"/>
  <c r="F39" i="5"/>
  <c r="I39" i="5"/>
  <c r="J32" i="5"/>
  <c r="J34" i="5"/>
  <c r="J29" i="5"/>
  <c r="J10" i="5"/>
  <c r="I10" i="5"/>
  <c r="I28" i="5"/>
  <c r="I32" i="5"/>
  <c r="C35" i="5"/>
  <c r="J28" i="5"/>
  <c r="I30" i="5"/>
  <c r="I29" i="5"/>
  <c r="I34" i="5"/>
  <c r="I41" i="5"/>
  <c r="C37" i="5"/>
  <c r="F37" i="5"/>
  <c r="D37" i="5"/>
  <c r="G37" i="5"/>
  <c r="G57" i="4"/>
  <c r="C10" i="4"/>
  <c r="G10" i="4"/>
  <c r="E16" i="4"/>
  <c r="E18" i="5" s="1"/>
  <c r="C22" i="4"/>
  <c r="F66" i="4"/>
  <c r="F76" i="4" s="1"/>
  <c r="D10" i="4"/>
  <c r="H10" i="4"/>
  <c r="F16" i="4"/>
  <c r="F18" i="5" s="1"/>
  <c r="E66" i="4"/>
  <c r="E76" i="4" s="1"/>
  <c r="D22" i="4"/>
  <c r="D66" i="4"/>
  <c r="D76" i="4" s="1"/>
  <c r="F51" i="4"/>
  <c r="G51" i="4"/>
  <c r="G59" i="4" s="1"/>
  <c r="G40" i="5" s="1"/>
  <c r="H22" i="4"/>
  <c r="D51" i="4"/>
  <c r="C51" i="4"/>
  <c r="E51" i="4"/>
  <c r="C66" i="4"/>
  <c r="G66" i="4"/>
  <c r="G76" i="4" s="1"/>
  <c r="E57" i="4"/>
  <c r="F57" i="4"/>
  <c r="D57" i="4"/>
  <c r="E7" i="4"/>
  <c r="E5" i="5" s="1"/>
  <c r="F7" i="4"/>
  <c r="F5" i="5" s="1"/>
  <c r="C57" i="4"/>
  <c r="C12" i="4"/>
  <c r="C18" i="4" s="1"/>
  <c r="G12" i="4"/>
  <c r="G18" i="4" s="1"/>
  <c r="E10" i="4"/>
  <c r="C16" i="4"/>
  <c r="C18" i="5" s="1"/>
  <c r="J18" i="5" s="1"/>
  <c r="G16" i="4"/>
  <c r="G18" i="5" s="1"/>
  <c r="E22" i="4"/>
  <c r="C25" i="4"/>
  <c r="C19" i="5" s="1"/>
  <c r="G25" i="4"/>
  <c r="G19" i="5" s="1"/>
  <c r="F10" i="4"/>
  <c r="D16" i="4"/>
  <c r="D18" i="5" s="1"/>
  <c r="H16" i="4"/>
  <c r="F22" i="4"/>
  <c r="D25" i="4"/>
  <c r="D19" i="5" s="1"/>
  <c r="I19" i="5" s="1"/>
  <c r="H25" i="4"/>
  <c r="G22" i="4"/>
  <c r="E25" i="4"/>
  <c r="E19" i="5" s="1"/>
  <c r="F25" i="4"/>
  <c r="F19" i="5" s="1"/>
  <c r="D12" i="4"/>
  <c r="H12" i="4"/>
  <c r="G7" i="4"/>
  <c r="G5" i="5" s="1"/>
  <c r="D7" i="4"/>
  <c r="D5" i="5" s="1"/>
  <c r="J5" i="5" s="1"/>
  <c r="H7" i="4"/>
  <c r="E12" i="4"/>
  <c r="F12" i="4"/>
  <c r="J28" i="16" l="1"/>
  <c r="J31" i="16" s="1"/>
  <c r="J36" i="16" s="1"/>
  <c r="J37" i="16" s="1"/>
  <c r="J41" i="16" s="1"/>
  <c r="J43" i="16" s="1"/>
  <c r="O20" i="16"/>
  <c r="J35" i="16" s="1"/>
  <c r="H4" i="7"/>
  <c r="C4" i="7"/>
  <c r="J19" i="5"/>
  <c r="I36" i="5"/>
  <c r="I5" i="5"/>
  <c r="I31" i="5"/>
  <c r="C27" i="4"/>
  <c r="C28" i="4" s="1"/>
  <c r="C15" i="5" s="1"/>
  <c r="C22" i="5"/>
  <c r="C26" i="5"/>
  <c r="G27" i="4"/>
  <c r="G33" i="4" s="1"/>
  <c r="G26" i="5"/>
  <c r="G22" i="5"/>
  <c r="J30" i="5"/>
  <c r="I18" i="5"/>
  <c r="E37" i="5"/>
  <c r="I37" i="5" s="1"/>
  <c r="J37" i="5"/>
  <c r="J35" i="5"/>
  <c r="I35" i="5"/>
  <c r="C13" i="4"/>
  <c r="C12" i="5" s="1"/>
  <c r="C31" i="4"/>
  <c r="C76" i="4"/>
  <c r="C59" i="4"/>
  <c r="C40" i="5" s="1"/>
  <c r="F59" i="4"/>
  <c r="G78" i="4"/>
  <c r="C33" i="4"/>
  <c r="D59" i="4"/>
  <c r="E59" i="4"/>
  <c r="C19" i="4"/>
  <c r="G19" i="4"/>
  <c r="G13" i="4"/>
  <c r="F18" i="4"/>
  <c r="F13" i="4"/>
  <c r="D18" i="4"/>
  <c r="D13" i="4"/>
  <c r="E18" i="4"/>
  <c r="E13" i="4"/>
  <c r="H18" i="4"/>
  <c r="H13" i="4"/>
  <c r="J46" i="16" l="1"/>
  <c r="K43" i="16"/>
  <c r="E6" i="5"/>
  <c r="E12" i="5"/>
  <c r="C38" i="4"/>
  <c r="C44" i="4" s="1"/>
  <c r="C23" i="5" s="1"/>
  <c r="C24" i="5"/>
  <c r="G24" i="5"/>
  <c r="F26" i="5"/>
  <c r="F22" i="5"/>
  <c r="F8" i="5"/>
  <c r="F7" i="5"/>
  <c r="G31" i="4"/>
  <c r="G28" i="4"/>
  <c r="G15" i="5" s="1"/>
  <c r="D12" i="5"/>
  <c r="J12" i="5" s="1"/>
  <c r="D6" i="5"/>
  <c r="G38" i="4"/>
  <c r="G12" i="5"/>
  <c r="G6" i="5"/>
  <c r="E78" i="4"/>
  <c r="E40" i="5"/>
  <c r="F78" i="4"/>
  <c r="F40" i="5"/>
  <c r="I12" i="5"/>
  <c r="G8" i="5"/>
  <c r="J22" i="5"/>
  <c r="F6" i="5"/>
  <c r="F12" i="5"/>
  <c r="C34" i="4"/>
  <c r="C16" i="5" s="1"/>
  <c r="C13" i="5"/>
  <c r="C14" i="5"/>
  <c r="E22" i="5"/>
  <c r="E8" i="5"/>
  <c r="E7" i="5"/>
  <c r="E26" i="5"/>
  <c r="D8" i="5"/>
  <c r="D22" i="5"/>
  <c r="I22" i="5" s="1"/>
  <c r="D7" i="5"/>
  <c r="D26" i="5"/>
  <c r="J26" i="5" s="1"/>
  <c r="G34" i="4"/>
  <c r="G16" i="5" s="1"/>
  <c r="G13" i="5"/>
  <c r="G14" i="5"/>
  <c r="G20" i="5" s="1"/>
  <c r="D78" i="4"/>
  <c r="D40" i="5"/>
  <c r="I40" i="5"/>
  <c r="J40" i="5"/>
  <c r="G7" i="5"/>
  <c r="C78" i="4"/>
  <c r="G42" i="4"/>
  <c r="G44" i="4" s="1"/>
  <c r="G23" i="5" s="1"/>
  <c r="H27" i="4"/>
  <c r="H19" i="4"/>
  <c r="E27" i="4"/>
  <c r="E19" i="4"/>
  <c r="F27" i="4"/>
  <c r="F19" i="4"/>
  <c r="D27" i="4"/>
  <c r="D19" i="4"/>
  <c r="C4" i="9" l="1"/>
  <c r="J7" i="5"/>
  <c r="I7" i="5"/>
  <c r="I6" i="5"/>
  <c r="J6" i="5"/>
  <c r="C25" i="5"/>
  <c r="D14" i="5"/>
  <c r="D20" i="5" s="1"/>
  <c r="D13" i="5"/>
  <c r="J13" i="5" s="1"/>
  <c r="E14" i="5"/>
  <c r="E20" i="5" s="1"/>
  <c r="E13" i="5"/>
  <c r="I8" i="5"/>
  <c r="J8" i="5"/>
  <c r="I26" i="5"/>
  <c r="G25" i="5"/>
  <c r="C42" i="4"/>
  <c r="F14" i="5"/>
  <c r="F20" i="5" s="1"/>
  <c r="F13" i="5"/>
  <c r="C20" i="5"/>
  <c r="D33" i="4"/>
  <c r="D28" i="4"/>
  <c r="D15" i="5" s="1"/>
  <c r="D31" i="4"/>
  <c r="E33" i="4"/>
  <c r="E28" i="4"/>
  <c r="E15" i="5" s="1"/>
  <c r="E31" i="4"/>
  <c r="F33" i="4"/>
  <c r="F28" i="4"/>
  <c r="F15" i="5" s="1"/>
  <c r="F31" i="4"/>
  <c r="H33" i="4"/>
  <c r="H28" i="4"/>
  <c r="H31" i="4"/>
  <c r="C5" i="9" l="1"/>
  <c r="I14" i="5"/>
  <c r="F24" i="5"/>
  <c r="F9" i="5"/>
  <c r="G9" i="5"/>
  <c r="J14" i="5"/>
  <c r="I13" i="5"/>
  <c r="D9" i="5"/>
  <c r="D24" i="5"/>
  <c r="E9" i="5"/>
  <c r="E24" i="5"/>
  <c r="J15" i="5"/>
  <c r="I15" i="5"/>
  <c r="J20" i="5"/>
  <c r="I20" i="5"/>
  <c r="D34" i="4"/>
  <c r="D16" i="5" s="1"/>
  <c r="D38" i="4"/>
  <c r="E34" i="4"/>
  <c r="E16" i="5" s="1"/>
  <c r="E38" i="4"/>
  <c r="H34" i="4"/>
  <c r="H38" i="4"/>
  <c r="F34" i="4"/>
  <c r="F16" i="5" s="1"/>
  <c r="F38" i="4"/>
  <c r="C6" i="9" l="1"/>
  <c r="I24" i="5"/>
  <c r="J24" i="5"/>
  <c r="J9" i="5"/>
  <c r="I9" i="5"/>
  <c r="J16" i="5"/>
  <c r="I16" i="5"/>
  <c r="H39" i="4"/>
  <c r="H42" i="4"/>
  <c r="H44" i="4" s="1"/>
  <c r="D44" i="4"/>
  <c r="D23" i="5" s="1"/>
  <c r="D39" i="4"/>
  <c r="D42" i="4"/>
  <c r="F39" i="4"/>
  <c r="F42" i="4"/>
  <c r="F44" i="4" s="1"/>
  <c r="F23" i="5" s="1"/>
  <c r="F25" i="5" s="1"/>
  <c r="G39" i="4"/>
  <c r="E39" i="4"/>
  <c r="E42" i="4"/>
  <c r="E44" i="4" s="1"/>
  <c r="E23" i="5" s="1"/>
  <c r="E25" i="5" s="1"/>
  <c r="C7" i="9" l="1"/>
  <c r="J23" i="5"/>
  <c r="I23" i="5"/>
  <c r="D25" i="5"/>
  <c r="C8" i="9" l="1"/>
  <c r="J25" i="5"/>
  <c r="I25" i="5"/>
  <c r="C9" i="9" l="1"/>
  <c r="C10" i="9" l="1"/>
  <c r="M31" i="19"/>
  <c r="C12" i="9" l="1"/>
  <c r="C1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7" authorId="0" shapeId="0" xr:uid="{6D961D42-7E7C-499E-B488-4723329B802D}">
      <text>
        <r>
          <rPr>
            <b/>
            <sz val="9"/>
            <color indexed="81"/>
            <rFont val="Tahoma"/>
            <family val="2"/>
          </rPr>
          <t>Aswath Damodaran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 shapeId="0" xr:uid="{9C197DE0-9A23-427E-A2C7-4CB0A1CFDB2B}">
      <text>
        <r>
          <rPr>
            <b/>
            <sz val="9"/>
            <color indexed="81"/>
            <rFont val="Tahoma"/>
            <family val="2"/>
          </rPr>
          <t>YE2023 Yield from Aswath Damodaran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F20" authorId="0" shapeId="0" xr:uid="{A4D45A93-32DC-4355-8FEB-0BA98BAA8AAC}">
      <text>
        <r>
          <rPr>
            <b/>
            <sz val="9"/>
            <color indexed="81"/>
            <rFont val="Tahoma"/>
            <family val="2"/>
          </rPr>
          <t xml:space="preserve">Fed+state tax (21%+6%)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 xr:uid="{9DE832FE-28BE-4E71-BCA3-CEB0B9B7F76A}">
      <text>
        <r>
          <rPr>
            <sz val="9"/>
            <color indexed="81"/>
            <rFont val="Tahoma"/>
            <family val="2"/>
          </rPr>
          <t xml:space="preserve">Interest/Total Debt
</t>
        </r>
      </text>
    </comment>
    <comment ref="J33" authorId="0" shapeId="0" xr:uid="{261823F6-713A-4140-B466-3CEBC48D0E8C}">
      <text>
        <r>
          <rPr>
            <b/>
            <sz val="9"/>
            <color indexed="81"/>
            <rFont val="Tahoma"/>
            <family val="2"/>
          </rPr>
          <t>&lt;&lt; Investing.com 10 Y bond yield USA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1379FEEC-F3DE-4F05-831F-D580621BECF9}">
      <text>
        <r>
          <rPr>
            <sz val="9"/>
            <color indexed="81"/>
            <rFont val="Tahoma"/>
            <family val="2"/>
          </rPr>
          <t xml:space="preserve">No. of shares*Current market price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N13" authorId="0" shapeId="0" xr:uid="{2BDB7F44-B8BD-4054-A2E2-5CD08692D94A}">
      <text>
        <r>
          <rPr>
            <b/>
            <sz val="9"/>
            <color indexed="81"/>
            <rFont val="Tahoma"/>
            <family val="2"/>
          </rPr>
          <t>https://pages.stern.nyu.edu/~adamodar/New_Home_Page/datafile/fundgrEB.html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<sst xmlns="http://schemas.openxmlformats.org/spreadsheetml/2006/main" count="730" uniqueCount="485">
  <si>
    <t>Executive Summary</t>
  </si>
  <si>
    <t>Summary  Page</t>
  </si>
  <si>
    <t>Practical Skill Module: Financial Modelling</t>
  </si>
  <si>
    <t>Financial Modelling Solution</t>
  </si>
  <si>
    <t>Data Sheet</t>
  </si>
  <si>
    <t>Walmart Inc.</t>
  </si>
  <si>
    <t>WMT_income-statement_Annual_As_Originally_Reported</t>
  </si>
  <si>
    <t>2020</t>
  </si>
  <si>
    <t>2021</t>
  </si>
  <si>
    <t>2022</t>
  </si>
  <si>
    <t>2023</t>
  </si>
  <si>
    <t>2024</t>
  </si>
  <si>
    <t>TTM</t>
  </si>
  <si>
    <t>Gross Profit</t>
  </si>
  <si>
    <t xml:space="preserve">    Total Revenue</t>
  </si>
  <si>
    <t xml:space="preserve">        Business Revenue</t>
  </si>
  <si>
    <t xml:space="preserve">    Cost of Revenue</t>
  </si>
  <si>
    <t xml:space="preserve">        Cost of Goods and Services</t>
  </si>
  <si>
    <t>Operating Income/Expenses</t>
  </si>
  <si>
    <t xml:space="preserve">    Selling, General and Administrative Expenses</t>
  </si>
  <si>
    <t>Total Operating Profit/Loss</t>
  </si>
  <si>
    <t>Non-Operating Income/Expense, Total</t>
  </si>
  <si>
    <t xml:space="preserve">    Total Net Finance Income/Expense</t>
  </si>
  <si>
    <t xml:space="preserve">        Net Interest Income/Expense</t>
  </si>
  <si>
    <t xml:space="preserve">            Interest Expense Net of Capitalized Interest</t>
  </si>
  <si>
    <t xml:space="preserve">            Interest Income</t>
  </si>
  <si>
    <t xml:space="preserve">    Irregular Income/Expense</t>
  </si>
  <si>
    <t/>
  </si>
  <si>
    <t xml:space="preserve">        Gain/Loss on Extinguishment of Debt</t>
  </si>
  <si>
    <t xml:space="preserve">    Other Income/Expense, Non-Operating</t>
  </si>
  <si>
    <t>Pretax Income</t>
  </si>
  <si>
    <t>Provision for Income Tax</t>
  </si>
  <si>
    <t xml:space="preserve">    Current Tax</t>
  </si>
  <si>
    <t xml:space="preserve">    Deferred Tax</t>
  </si>
  <si>
    <t>Net Income before Extraordinary Items and Discontinued Operations</t>
  </si>
  <si>
    <t>Net Income after Extraordinary Items and Discontinued Operations</t>
  </si>
  <si>
    <t>Non-Controlling/Minority Interests</t>
  </si>
  <si>
    <t>Net Income after Non-Controlling/Minority Interests</t>
  </si>
  <si>
    <t>Net Income Available to Common Stockholders</t>
  </si>
  <si>
    <t>Diluted Net Income Available to Common Stockholders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</si>
  <si>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</si>
  <si>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</si>
  <si>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</si>
  <si>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Reported Total Operating Profit/Loss</t>
  </si>
  <si>
    <t xml:space="preserve">        Reported Effective Tax Rate</t>
  </si>
  <si>
    <t xml:space="preserve">        Reported Normalized Operating Profit</t>
  </si>
  <si>
    <t xml:space="preserve">    Operating Income/Expense, Supplemental Section</t>
  </si>
  <si>
    <t xml:space="preserve">        Depreciation, Amortization and Depletion, Supplemental</t>
  </si>
  <si>
    <t xml:space="preserve">            Depreciation and Amortization, Supplemental</t>
  </si>
  <si>
    <t>Discontinued Operations</t>
  </si>
  <si>
    <t>Basic EPS</t>
  </si>
  <si>
    <t xml:space="preserve">    Basic EPS from Continuing Operations</t>
  </si>
  <si>
    <t xml:space="preserve">    Basic EPS from Discontinued Operations</t>
  </si>
  <si>
    <t>Diluted EPS</t>
  </si>
  <si>
    <t xml:space="preserve">    Diluted EPS from Continuing Operations</t>
  </si>
  <si>
    <t xml:space="preserve">    Diluted EPS from Discontinued Operations</t>
  </si>
  <si>
    <t>Basic Weighted Average Shares Outstanding</t>
  </si>
  <si>
    <t>Diluted Weighted Average Shares Outstanding</t>
  </si>
  <si>
    <t>Reported Normalized Diluted EPS</t>
  </si>
  <si>
    <t>Total Dividend Per Share</t>
  </si>
  <si>
    <t xml:space="preserve">    Regular Dividend Per Share Calc</t>
  </si>
  <si>
    <t>Basic WASO</t>
  </si>
  <si>
    <t>Diluted WASO</t>
  </si>
  <si>
    <t>Fiscal year ends in Jan 31 | USD</t>
  </si>
  <si>
    <t>Income Statement</t>
  </si>
  <si>
    <t>Balanace Sheet</t>
  </si>
  <si>
    <t>WMT_balance-sheet_Annual_As_Originally_Reported</t>
  </si>
  <si>
    <t>Total Assets</t>
  </si>
  <si>
    <t xml:space="preserve">    Total Current Assets</t>
  </si>
  <si>
    <t xml:space="preserve">        Cash, Cash Equivalents and Short Term Investments</t>
  </si>
  <si>
    <t xml:space="preserve">            Cash and Cash Equivalents</t>
  </si>
  <si>
    <t xml:space="preserve">        Inventories</t>
  </si>
  <si>
    <t xml:space="preserve">        Trade and Other Receivables, Current</t>
  </si>
  <si>
    <t xml:space="preserve">            Trade/Accounts Receivable, Current</t>
  </si>
  <si>
    <t xml:space="preserve">        Other Current Assets</t>
  </si>
  <si>
    <t xml:space="preserve">        Assets Held for Sale/Discontinued Operations, Current</t>
  </si>
  <si>
    <t xml:space="preserve">    Total Non-Current Assets</t>
  </si>
  <si>
    <t xml:space="preserve">        Net Property, Plant and Equipment</t>
  </si>
  <si>
    <t xml:space="preserve">            Gross Property, Plant and Equipment</t>
  </si>
  <si>
    <t xml:space="preserve">                Properties</t>
  </si>
  <si>
    <t xml:space="preserve">                    Land and Improvements</t>
  </si>
  <si>
    <t xml:space="preserve">                    Buildings and Improvements</t>
  </si>
  <si>
    <t xml:space="preserve">                Machinery, Furniture and Equipment</t>
  </si>
  <si>
    <t xml:space="preserve">                    Furniture, Fixtures and Office Equipment</t>
  </si>
  <si>
    <t xml:space="preserve">                    Flight, Fleet, Vehicle and Related Equipment</t>
  </si>
  <si>
    <t xml:space="preserve">                Construction in Progress and Advance Payments</t>
  </si>
  <si>
    <t xml:space="preserve">                Leased Property, Plant and Equipment</t>
  </si>
  <si>
    <t xml:space="preserve">            Accumulated Depreciation and Impairment</t>
  </si>
  <si>
    <t xml:space="preserve">                Accumulated Depreciation</t>
  </si>
  <si>
    <t xml:space="preserve">                    Accumulated Depreciation of Other Property, Plant and Equipment</t>
  </si>
  <si>
    <t xml:space="preserve">                    Accumulated Depreciation of Leased Property, Plant and Equipment</t>
  </si>
  <si>
    <t xml:space="preserve">        Net Intangible Assets</t>
  </si>
  <si>
    <t xml:space="preserve">            Gross Goodwill and Other Intangible Assets</t>
  </si>
  <si>
    <t xml:space="preserve">                Goodwill</t>
  </si>
  <si>
    <t xml:space="preserve">        Other Non-Current Assets</t>
  </si>
  <si>
    <t>Total Liabilities</t>
  </si>
  <si>
    <t xml:space="preserve">    Total Current Liabilities</t>
  </si>
  <si>
    <t xml:space="preserve">        Payables and Accrued Expenses, Current</t>
  </si>
  <si>
    <t xml:space="preserve">            Trade and Other Payables, Current</t>
  </si>
  <si>
    <t xml:space="preserve">                Trade/Accounts Payable, Current</t>
  </si>
  <si>
    <t xml:space="preserve">                Taxes Payable, Current</t>
  </si>
  <si>
    <t xml:space="preserve">            Accrued Expenses, Current</t>
  </si>
  <si>
    <t xml:space="preserve">        Financial Liabilities, Current</t>
  </si>
  <si>
    <t xml:space="preserve">            Current Debt and Capital Lease Obligation</t>
  </si>
  <si>
    <t xml:space="preserve">                Current Debt</t>
  </si>
  <si>
    <t xml:space="preserve">                Current Portion of Long Term Debt and Capital Lease</t>
  </si>
  <si>
    <t xml:space="preserve">                    Current Portion of Long Term Debt</t>
  </si>
  <si>
    <t xml:space="preserve">                    Capital Lease Obligations, Current</t>
  </si>
  <si>
    <t xml:space="preserve">        Deferred Liabilities, Current</t>
  </si>
  <si>
    <t xml:space="preserve">            Deferred Income/Customer Advances/Billings in Excess of Cost, Current</t>
  </si>
  <si>
    <t xml:space="preserve">        Discontinued Operations Liabilities, Current</t>
  </si>
  <si>
    <t xml:space="preserve">    Total Non-Current Liabilities</t>
  </si>
  <si>
    <t xml:space="preserve">        Financial Liabilities, Non-Current</t>
  </si>
  <si>
    <t xml:space="preserve">            Long Term Debt and Capital Lease Obligation</t>
  </si>
  <si>
    <t xml:space="preserve">                Long Term Debt</t>
  </si>
  <si>
    <t xml:space="preserve">                Capital Lease Obligations, Non-Current</t>
  </si>
  <si>
    <t xml:space="preserve">        Other Non-Current Liabilities</t>
  </si>
  <si>
    <t>Total Equity</t>
  </si>
  <si>
    <t xml:space="preserve">    Equity Attributable to Parent Stockholders</t>
  </si>
  <si>
    <t xml:space="preserve">        Paid in Capital</t>
  </si>
  <si>
    <t xml:space="preserve">            Capital Stock</t>
  </si>
  <si>
    <t xml:space="preserve">                Common Stock</t>
  </si>
  <si>
    <t xml:space="preserve">                Additional Paid in Capital/Share Premium</t>
  </si>
  <si>
    <t xml:space="preserve">        Retained Earnings/Accumulated Deficit</t>
  </si>
  <si>
    <t xml:space="preserve">        Reserves/Accumulated Comprehensive Income/Losses</t>
  </si>
  <si>
    <t xml:space="preserve">            Cumulative Foreign Exchange Translation Reserves/Accum.Comp.Inc</t>
  </si>
  <si>
    <t xml:space="preserve">            Gain/Loss from Cash Flow Hedges Reserves/Accum.Comp.Inc</t>
  </si>
  <si>
    <t xml:space="preserve">            Pension and Other PostRetirement Benefit Plans Reserves/Accum.Comp.Inc</t>
  </si>
  <si>
    <t xml:space="preserve">             Available for Sale Financial Investments Reserves/Accum.Comp.Inc</t>
  </si>
  <si>
    <t xml:space="preserve">    Non-Controlling/Minority Interests in Equity</t>
  </si>
  <si>
    <t>Debt Maturity Schedule Total</t>
  </si>
  <si>
    <t xml:space="preserve">    Debt due in Year 1</t>
  </si>
  <si>
    <t xml:space="preserve">    Debt due in Year 2</t>
  </si>
  <si>
    <t xml:space="preserve">    Debt due in Year 3</t>
  </si>
  <si>
    <t xml:space="preserve">    Debt due in Year 4</t>
  </si>
  <si>
    <t xml:space="preserve">    Debt due in Year 5</t>
  </si>
  <si>
    <t xml:space="preserve">    Debt due Beyond</t>
  </si>
  <si>
    <t xml:space="preserve">    Debt - Interests Charges and Other Adjustments</t>
  </si>
  <si>
    <t>Capital Lease Obligation Maturity Schedule Total</t>
  </si>
  <si>
    <t xml:space="preserve">    Capital Lease due in Year 1</t>
  </si>
  <si>
    <t xml:space="preserve">    Capital Lease due in Year 2</t>
  </si>
  <si>
    <t xml:space="preserve">    Capital Lease due in Year 3</t>
  </si>
  <si>
    <t xml:space="preserve">    Capital Lease due in Year 4</t>
  </si>
  <si>
    <t xml:space="preserve">    Capital Lease due in Year 5</t>
  </si>
  <si>
    <t xml:space="preserve">    Capital Lease due Beyond</t>
  </si>
  <si>
    <t xml:space="preserve">    Capital Lease - Interests Charges and Other Adjustments</t>
  </si>
  <si>
    <t>Operating Lease Obligation Maturity Schedule Total</t>
  </si>
  <si>
    <t xml:space="preserve">    Operating Lease due in Year 1</t>
  </si>
  <si>
    <t xml:space="preserve">    Operating Lease due in Year 2</t>
  </si>
  <si>
    <t xml:space="preserve">    Operating Lease due in Year 3</t>
  </si>
  <si>
    <t xml:space="preserve">    Operating Lease due in Year 4</t>
  </si>
  <si>
    <t xml:space="preserve">    Operating Lease due Beyond</t>
  </si>
  <si>
    <t xml:space="preserve">    Operating Lease - Interests Charges and Other Adjustments</t>
  </si>
  <si>
    <t>Total Lease Liability</t>
  </si>
  <si>
    <t xml:space="preserve">    Total Lease Liability - Due in year 1</t>
  </si>
  <si>
    <t xml:space="preserve">    Total Lease Liability - Due in year 2</t>
  </si>
  <si>
    <t xml:space="preserve">    Total Lease Liability - Due in year 3</t>
  </si>
  <si>
    <t xml:space="preserve">    Total Lease Liability - Due in year 4</t>
  </si>
  <si>
    <t xml:space="preserve">    Total Lease Liability - Due in year 5</t>
  </si>
  <si>
    <t xml:space="preserve">    Total Lease Liability - Beyond</t>
  </si>
  <si>
    <t xml:space="preserve">    Total Lease Liability - Interest Charges and Other Adjustments</t>
  </si>
  <si>
    <t>Total Contractual Obligations</t>
  </si>
  <si>
    <t xml:space="preserve">    Total Contractual Obligations due in year 1</t>
  </si>
  <si>
    <t xml:space="preserve">    Total Contractual Obligations due in year 2</t>
  </si>
  <si>
    <t xml:space="preserve">    Total Contractual Obligations due in year 3</t>
  </si>
  <si>
    <t xml:space="preserve">    Total Contractual Obligations due in year 4</t>
  </si>
  <si>
    <t xml:space="preserve">    Total Contractual Obligations due in year 5</t>
  </si>
  <si>
    <t xml:space="preserve">    Total Contractual Obligations due Beyond</t>
  </si>
  <si>
    <t xml:space="preserve">    Total Contractual Obligations - Interests Charges and Other Adjustments</t>
  </si>
  <si>
    <t>Other Contractual Obligations Maturity Schedule Total</t>
  </si>
  <si>
    <t xml:space="preserve">    Other Contractual Obligations due in Year 1</t>
  </si>
  <si>
    <t xml:space="preserve">    Other Contractual Obligations due in Year 3</t>
  </si>
  <si>
    <t xml:space="preserve">    Other Contractual Obligations due in Year 5</t>
  </si>
  <si>
    <t xml:space="preserve">    Other Contractual Obligations due Beyond</t>
  </si>
  <si>
    <t>Cashflow Statement</t>
  </si>
  <si>
    <t>WMT_cash-flow_Annual_As_Originally_Reported</t>
  </si>
  <si>
    <t>Cash Flow from Operating Activities, Indirect</t>
  </si>
  <si>
    <t xml:space="preserve">    Net Cash Flow from Continuing Operating Activities, Indirect</t>
  </si>
  <si>
    <t xml:space="preserve">        Cash Generated from Operating Activities</t>
  </si>
  <si>
    <t xml:space="preserve">            Income/Loss before Non-Cash Adjustment</t>
  </si>
  <si>
    <t xml:space="preserve">            Total Adjustments for Non-Cash Items</t>
  </si>
  <si>
    <t xml:space="preserve">                Depreciation, Amortization and Depletion, Non-Cash Adjustment</t>
  </si>
  <si>
    <t xml:space="preserve">                    Depreciation and Amortization, Non-Cash Adjustment</t>
  </si>
  <si>
    <t xml:space="preserve">                Deferred Taxes, Non-Cash Adjustment</t>
  </si>
  <si>
    <t xml:space="preserve">                Net Investment Income/Loss, Non-Cash Adjustment</t>
  </si>
  <si>
    <t xml:space="preserve">                    Gain/Loss for Other Investment, Non-Cash Adjustment</t>
  </si>
  <si>
    <t xml:space="preserve">                Irregular Income/Loss, Non-Cash Adjustment</t>
  </si>
  <si>
    <t xml:space="preserve">                    Gain/Loss on Disposals, Non-Cash Adjustment</t>
  </si>
  <si>
    <t xml:space="preserve">                        Gain/Loss on Disposal/Sale of Business, Non-Cash Adjustment</t>
  </si>
  <si>
    <t xml:space="preserve">                    Gain/Loss on Extinguishment of Debt, Non-Cash Adjustment</t>
  </si>
  <si>
    <t xml:space="preserve">                Other Non-Cash Items</t>
  </si>
  <si>
    <t xml:space="preserve">                Pension and Employee Benefit Expense, Non-Cash Adjustment</t>
  </si>
  <si>
    <t xml:space="preserve">            Changes in Operating Capital</t>
  </si>
  <si>
    <t xml:space="preserve">                Change in Inventories</t>
  </si>
  <si>
    <t xml:space="preserve">                Change in Trade and Other Receivables</t>
  </si>
  <si>
    <t xml:space="preserve">                Change in Payables and Accrued Expenses</t>
  </si>
  <si>
    <t xml:space="preserve">                    Change in Trade and Other Payables</t>
  </si>
  <si>
    <t xml:space="preserve">                        Change in Trade/Accounts Payable</t>
  </si>
  <si>
    <t xml:space="preserve">                        Change in Taxes Payable</t>
  </si>
  <si>
    <t xml:space="preserve">                    Change in Accrued Expenses</t>
  </si>
  <si>
    <t>Cash Flow from Investing Activities</t>
  </si>
  <si>
    <t xml:space="preserve">    Cash Flow from Continuing Investing Activities</t>
  </si>
  <si>
    <t xml:space="preserve">        Purchase/Sale and Disposal of Property, Plant and Equipment, Net</t>
  </si>
  <si>
    <t xml:space="preserve">            Purchase of Property, Plant and Equipment</t>
  </si>
  <si>
    <t xml:space="preserve">            Sale and Disposal of Property, Plant and Equipment</t>
  </si>
  <si>
    <t xml:space="preserve">        Purchase/Sale of Business, Net</t>
  </si>
  <si>
    <t xml:space="preserve">            Purchase/Acquisition of Business</t>
  </si>
  <si>
    <t xml:space="preserve">            Sale of Business</t>
  </si>
  <si>
    <t xml:space="preserve">        Other Investing Cash Flow</t>
  </si>
  <si>
    <t xml:space="preserve">        Purchase/Sale of Investments, Net</t>
  </si>
  <si>
    <t xml:space="preserve">            Purchase of Investments</t>
  </si>
  <si>
    <t>Cash Flow from Financing Activities</t>
  </si>
  <si>
    <t xml:space="preserve">    Cash Flow from Continuing Financing Activities</t>
  </si>
  <si>
    <t xml:space="preserve">        Issuance of/Payments for Common Stock, Net</t>
  </si>
  <si>
    <t xml:space="preserve">            Payments for Common Stock</t>
  </si>
  <si>
    <t xml:space="preserve">        Issuance of/Repayments for Debt, Net</t>
  </si>
  <si>
    <t xml:space="preserve">            Issuance of/Repayments for Short Term Debt, Net</t>
  </si>
  <si>
    <t xml:space="preserve">            Issuance of/Repayments for Long Term Debt, Net</t>
  </si>
  <si>
    <t xml:space="preserve">                Proceeds from Issuance of Long Term Debt</t>
  </si>
  <si>
    <t xml:space="preserve">                Repayments for Long Term Debt</t>
  </si>
  <si>
    <t xml:space="preserve">        Net Movement in Non-Controlling/Minority Interest</t>
  </si>
  <si>
    <t xml:space="preserve">        Cash Dividends and Interest Paid</t>
  </si>
  <si>
    <t xml:space="preserve">            Cash Dividends Paid</t>
  </si>
  <si>
    <t xml:space="preserve">                Common Stock Dividends Paid</t>
  </si>
  <si>
    <t xml:space="preserve">        Cash Dividends Paid to Non-Controlling/Minority Interests</t>
  </si>
  <si>
    <t xml:space="preserve">        Other Financing Cash Flow</t>
  </si>
  <si>
    <t>Cash and Cash Equivalents, End of Period</t>
  </si>
  <si>
    <t xml:space="preserve">    Change in Cash</t>
  </si>
  <si>
    <t xml:space="preserve">    Effect of Exchange Rate Changes</t>
  </si>
  <si>
    <t xml:space="preserve">    Other Changes</t>
  </si>
  <si>
    <t xml:space="preserve">    Cash and Cash Equivalents, Beginning of Period</t>
  </si>
  <si>
    <t>Cash Flow Supplemental Section</t>
  </si>
  <si>
    <t xml:space="preserve">    Change in Cash as Reported, Supplemental</t>
  </si>
  <si>
    <t xml:space="preserve">    Income Tax Paid, Supplemental</t>
  </si>
  <si>
    <t xml:space="preserve">    Interest Paid, Supplemental</t>
  </si>
  <si>
    <t>Please do not make any changes in this sheet.</t>
  </si>
  <si>
    <t>Years</t>
  </si>
  <si>
    <t>#</t>
  </si>
  <si>
    <t>Income statement</t>
  </si>
  <si>
    <t>Sales</t>
  </si>
  <si>
    <t>COGS</t>
  </si>
  <si>
    <t>Selling &amp; General Expense</t>
  </si>
  <si>
    <t>EBITDA</t>
  </si>
  <si>
    <t>Interest</t>
  </si>
  <si>
    <t>Depriciation</t>
  </si>
  <si>
    <t>Earning Before Tax</t>
  </si>
  <si>
    <t>Tax</t>
  </si>
  <si>
    <t>Net Profit</t>
  </si>
  <si>
    <t>Sales Growth</t>
  </si>
  <si>
    <t>COGS % Sales</t>
  </si>
  <si>
    <t>Gross Margin</t>
  </si>
  <si>
    <t>S&amp;G Exp % Sales</t>
  </si>
  <si>
    <t>EBITDA Margin</t>
  </si>
  <si>
    <t>Interest % Sales</t>
  </si>
  <si>
    <t>Depriciation % Sales</t>
  </si>
  <si>
    <t>EBT % Sales</t>
  </si>
  <si>
    <t>Effective Tax Rate</t>
  </si>
  <si>
    <t>Net Margins</t>
  </si>
  <si>
    <t>No. of Equity Shares</t>
  </si>
  <si>
    <t>Earning Per Share</t>
  </si>
  <si>
    <t>EPS Growth %</t>
  </si>
  <si>
    <t>Dividend Per Share</t>
  </si>
  <si>
    <t>Dividend Payout Ratio</t>
  </si>
  <si>
    <t>Retained Earnings</t>
  </si>
  <si>
    <t>Balance Sheet</t>
  </si>
  <si>
    <t>Total Current Assets</t>
  </si>
  <si>
    <t>Cash and Cash Equivalents</t>
  </si>
  <si>
    <t>Inventories</t>
  </si>
  <si>
    <t>Trade/Accounts Receivable, Current</t>
  </si>
  <si>
    <t>Other Current Assets</t>
  </si>
  <si>
    <t>Total Non-Current Assets</t>
  </si>
  <si>
    <t>Other Non-Current Assets</t>
  </si>
  <si>
    <t>Trade and Other Payables, Current</t>
  </si>
  <si>
    <t>Accrued Expenses, Current</t>
  </si>
  <si>
    <t>Deferred Liabilities, Current</t>
  </si>
  <si>
    <t>Discontinued Operations Liabilities, Current</t>
  </si>
  <si>
    <t>Total Non-Current Liabilities</t>
  </si>
  <si>
    <t>Total Current Liabilities</t>
  </si>
  <si>
    <t>Long Term Debt and Capital Lease Obligation</t>
  </si>
  <si>
    <t>Gross Property, Plant and Equipment</t>
  </si>
  <si>
    <t>Accumulated Depreciation and Impairment</t>
  </si>
  <si>
    <t>Net Intangible Assets</t>
  </si>
  <si>
    <t>Current Debt and Capital Lease Obligation</t>
  </si>
  <si>
    <t>Total Liablities</t>
  </si>
  <si>
    <t>Check</t>
  </si>
  <si>
    <t>Retained Earnings/Accumulated Deficit</t>
  </si>
  <si>
    <t>Reserves/Accumulated Comprehensive Income/Losses</t>
  </si>
  <si>
    <t>Non-Controlling/Minority Interests in Equity</t>
  </si>
  <si>
    <t>Capital Stock</t>
  </si>
  <si>
    <t>Net Cashflow</t>
  </si>
  <si>
    <t>Trends</t>
  </si>
  <si>
    <t>Mean</t>
  </si>
  <si>
    <t>Median</t>
  </si>
  <si>
    <t>SalesGrowth</t>
  </si>
  <si>
    <t>GrossMargin</t>
  </si>
  <si>
    <t>EBITDA Growth</t>
  </si>
  <si>
    <t>EBIT Growth</t>
  </si>
  <si>
    <t>Net Profit Growth</t>
  </si>
  <si>
    <t>Dividend Growth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</si>
  <si>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</si>
  <si>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</si>
  <si>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</si>
  <si>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</si>
  <si>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</si>
  <si>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</si>
  <si>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</si>
  <si>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</si>
  <si>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</si>
  <si>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</si>
  <si>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</si>
  <si>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</si>
  <si>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</si>
  <si>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</si>
  <si>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</si>
  <si>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</si>
  <si>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</si>
  <si>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</si>
  <si>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</si>
  <si>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</si>
  <si>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</si>
  <si>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</si>
  <si>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</si>
  <si>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Year Wtg</t>
  </si>
  <si>
    <t>Year</t>
  </si>
  <si>
    <t>EBITDA Margins</t>
  </si>
  <si>
    <t>Year Wgt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</si>
  <si>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</si>
  <si>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</si>
  <si>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</si>
  <si>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</si>
  <si>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</si>
  <si>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</si>
  <si>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</si>
  <si>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</si>
  <si>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</si>
  <si>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</si>
  <si>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</si>
  <si>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</si>
  <si>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</si>
  <si>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</si>
  <si>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</si>
  <si>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</si>
  <si>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</si>
  <si>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</si>
  <si>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</si>
  <si>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</si>
  <si>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</si>
  <si>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</si>
  <si>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</si>
  <si>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</si>
  <si>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Weighted Average Cost of Capital</t>
  </si>
  <si>
    <t>Peer Comps</t>
  </si>
  <si>
    <t>Name</t>
  </si>
  <si>
    <t>Country</t>
  </si>
  <si>
    <t>Total Debt</t>
  </si>
  <si>
    <t>Tax Rate</t>
  </si>
  <si>
    <t>Debt/</t>
  </si>
  <si>
    <t>Equity</t>
  </si>
  <si>
    <t>Capital</t>
  </si>
  <si>
    <t xml:space="preserve">Levered </t>
  </si>
  <si>
    <t xml:space="preserve">Unlevered </t>
  </si>
  <si>
    <t>Market Cap</t>
  </si>
  <si>
    <t>Debt</t>
  </si>
  <si>
    <t>Target</t>
  </si>
  <si>
    <t>USA</t>
  </si>
  <si>
    <t xml:space="preserve">Costco </t>
  </si>
  <si>
    <t>Kroger</t>
  </si>
  <si>
    <t>Dollar Tree</t>
  </si>
  <si>
    <t>Tesco</t>
  </si>
  <si>
    <t>Current Market Price</t>
  </si>
  <si>
    <t xml:space="preserve">Regression Beta- 2 Years Weekly </t>
  </si>
  <si>
    <t>Date</t>
  </si>
  <si>
    <t>Price</t>
  </si>
  <si>
    <t>NYSE Returrns</t>
  </si>
  <si>
    <t>Weekly Return</t>
  </si>
  <si>
    <t>Beta Drifting</t>
  </si>
  <si>
    <t>Levered Raw Beta</t>
  </si>
  <si>
    <t>Beta Weight</t>
  </si>
  <si>
    <t xml:space="preserve">Market Beta </t>
  </si>
  <si>
    <t>Market Beta Weight</t>
  </si>
  <si>
    <t>Adjusted Beta</t>
  </si>
  <si>
    <t>Beta1</t>
  </si>
  <si>
    <t>Beta2</t>
  </si>
  <si>
    <t>Beta3</t>
  </si>
  <si>
    <t>Average</t>
  </si>
  <si>
    <t>Cost of Debt</t>
  </si>
  <si>
    <t>Cost of Equity</t>
  </si>
  <si>
    <t>Pre-tax Cost of Debt</t>
  </si>
  <si>
    <t>After Tax</t>
  </si>
  <si>
    <t>After Tax Cost of Debt</t>
  </si>
  <si>
    <t>Risk free rate</t>
  </si>
  <si>
    <t>Equity Risk Premium</t>
  </si>
  <si>
    <t>Levered Beta</t>
  </si>
  <si>
    <t>Capital Structure</t>
  </si>
  <si>
    <t>Market Capitalization</t>
  </si>
  <si>
    <t>Total Capitalization</t>
  </si>
  <si>
    <t>Current</t>
  </si>
  <si>
    <t>Comps Median Unlevered Beta</t>
  </si>
  <si>
    <t>Target Debt/Equity</t>
  </si>
  <si>
    <t>Equity Weight</t>
  </si>
  <si>
    <t>Debt Weight</t>
  </si>
  <si>
    <t>WACC</t>
  </si>
  <si>
    <t>Other Non-Current Liabilities</t>
  </si>
  <si>
    <t>Debt / Equity</t>
  </si>
  <si>
    <r>
      <t>Tax Rate</t>
    </r>
    <r>
      <rPr>
        <b/>
        <vertAlign val="superscript"/>
        <sz val="11"/>
        <rFont val="Calibri"/>
        <family val="2"/>
      </rPr>
      <t>1</t>
    </r>
  </si>
  <si>
    <r>
      <t>Beta</t>
    </r>
    <r>
      <rPr>
        <b/>
        <vertAlign val="superscript"/>
        <sz val="11"/>
        <rFont val="Calibri"/>
        <family val="2"/>
      </rPr>
      <t>2</t>
    </r>
  </si>
  <si>
    <r>
      <t>Beta</t>
    </r>
    <r>
      <rPr>
        <b/>
        <vertAlign val="superscript"/>
        <sz val="11"/>
        <rFont val="Calibri"/>
        <family val="2"/>
      </rPr>
      <t>3</t>
    </r>
  </si>
  <si>
    <r>
      <t>Levered Beta</t>
    </r>
    <r>
      <rPr>
        <vertAlign val="superscript"/>
        <sz val="11"/>
        <color theme="1"/>
        <rFont val="Calibri"/>
        <family val="2"/>
      </rPr>
      <t>4</t>
    </r>
  </si>
  <si>
    <t>1. Tax Rate considered as Marginal Tax Rate for the country</t>
  </si>
  <si>
    <t>2. Levered Beta is based on 5 year monthly data</t>
  </si>
  <si>
    <t>3. Unlevered Beta = Levered Beta/(1+(1-Tax Rate) x Debt/Equity)</t>
  </si>
  <si>
    <t>3. Levered Beta = Unlevered Beta/(1+(1-Tax Rate) x Debt/Equity)</t>
  </si>
  <si>
    <t>Calculation of Equity Risk Premium</t>
  </si>
  <si>
    <t>Risk Premium</t>
  </si>
  <si>
    <t>Dividend Yield</t>
  </si>
  <si>
    <t xml:space="preserve">Implied ERP </t>
  </si>
  <si>
    <t>Average Return</t>
  </si>
  <si>
    <t>Total Market Return</t>
  </si>
  <si>
    <t>Intrinsic Growth</t>
  </si>
  <si>
    <t>Calculation of ROIC</t>
  </si>
  <si>
    <t>Current Asset</t>
  </si>
  <si>
    <t>Current Liablities</t>
  </si>
  <si>
    <t>Net Working Capital</t>
  </si>
  <si>
    <t>Non-Current Assets</t>
  </si>
  <si>
    <t>Invested Capital</t>
  </si>
  <si>
    <t>EBIT</t>
  </si>
  <si>
    <t>ROIC</t>
  </si>
  <si>
    <t>Calculation of Reinvestement Rate</t>
  </si>
  <si>
    <t>Net CapEx</t>
  </si>
  <si>
    <t>Change in Working Capital</t>
  </si>
  <si>
    <t>Marginal Tax Rate</t>
  </si>
  <si>
    <t>EBIT(1-T)</t>
  </si>
  <si>
    <t>Reinvestement</t>
  </si>
  <si>
    <t>Reinvestement Rate</t>
  </si>
  <si>
    <t>4 Year Average</t>
  </si>
  <si>
    <t>4 Year Median</t>
  </si>
  <si>
    <t>Calculation of Intrinsic Growth</t>
  </si>
  <si>
    <t>Calculation of PV of FCFF</t>
  </si>
  <si>
    <t>EBIT(1-Tax)</t>
  </si>
  <si>
    <t>Less: Reninvestement Rate</t>
  </si>
  <si>
    <t>FCFF</t>
  </si>
  <si>
    <t>Discounting Factor</t>
  </si>
  <si>
    <t>PV of FCFF</t>
  </si>
  <si>
    <t>Expected Growth</t>
  </si>
  <si>
    <t>Terminal Growth</t>
  </si>
  <si>
    <t>Calculation of Terminal Value</t>
  </si>
  <si>
    <t>FCFF(n+1)</t>
  </si>
  <si>
    <t>Terminal Value</t>
  </si>
  <si>
    <t>Calculation of Equity Value per Share</t>
  </si>
  <si>
    <t>PV of Terminal Value</t>
  </si>
  <si>
    <t>Enterprise Value</t>
  </si>
  <si>
    <t>Add: Cash</t>
  </si>
  <si>
    <t>Less: Debt</t>
  </si>
  <si>
    <t>Value of Equity</t>
  </si>
  <si>
    <t>No. of Shares</t>
  </si>
  <si>
    <t>Equity Value per Share</t>
  </si>
  <si>
    <t>Share Price</t>
  </si>
  <si>
    <t>Discount/Premium</t>
  </si>
  <si>
    <t>Year Convention</t>
  </si>
  <si>
    <t>Company</t>
  </si>
  <si>
    <t>Equity value</t>
  </si>
  <si>
    <t>Net Debt</t>
  </si>
  <si>
    <t>Revenue</t>
  </si>
  <si>
    <t>Net Income</t>
  </si>
  <si>
    <t>EV/Revenue</t>
  </si>
  <si>
    <t>EV/EBITDA</t>
  </si>
  <si>
    <t>P/E</t>
  </si>
  <si>
    <t>Market Data</t>
  </si>
  <si>
    <t>Financials</t>
  </si>
  <si>
    <t>Valuations</t>
  </si>
  <si>
    <t>Comparable Company Valuation ( USD In Billions except share data)</t>
  </si>
  <si>
    <t>Share Outstanding ( in Mil)</t>
  </si>
  <si>
    <t>Best Buy</t>
  </si>
  <si>
    <t>Amazon</t>
  </si>
  <si>
    <t>Home Depot</t>
  </si>
  <si>
    <t>Walmart</t>
  </si>
  <si>
    <t>High</t>
  </si>
  <si>
    <t>75 Percentile</t>
  </si>
  <si>
    <t>25 Percentile</t>
  </si>
  <si>
    <t>Low</t>
  </si>
  <si>
    <t>Implied Enterprise Value</t>
  </si>
  <si>
    <t>Implied Market Value</t>
  </si>
  <si>
    <t>Share Outstanding</t>
  </si>
  <si>
    <t>Implied Value Per Share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</si>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</sst>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164" formatCode="[$-409]mmmm\ d\,\ yyyy;@"/>
    <numFmt numFmtId="166" formatCode="\-"/>
    <numFmt numFmtId="167" formatCode="0.00\x"/>
    <numFmt numFmtId="168" formatCode="0\ &quot;Days&quot;"/>
    <numFmt numFmtId="169" formatCode="0.000"/>
    <numFmt numFmtId="170" formatCode="0.0%"/>
    <numFmt numFmtId="171" formatCode="General\F"/>
    <numFmt numFmtId="172" formatCode="0.0\x"/>
    <numFmt numFmtId="173" formatCode="[$-409]mmm\-yy;@"/>
    <numFmt numFmtId="174" formatCode="General\A"/>
  </numFmts>
  <fonts count="21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8"/>
      <color theme="4" tint="-0.24997711111789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0"/>
      <name val="Arial"/>
      <family val="2"/>
    </font>
    <font>
      <b/>
      <sz val="10"/>
      <color theme="0" tint="-4.9989318521683403E-2"/>
      <name val="Arial"/>
      <family val="2"/>
    </font>
    <font>
      <b/>
      <sz val="16"/>
      <color theme="0"/>
      <name val="Calibri"/>
      <family val="2"/>
    </font>
    <font>
      <i/>
      <sz val="11"/>
      <color theme="0" tint="-0.499984740745262"/>
      <name val="Calibri"/>
      <family val="2"/>
    </font>
    <font>
      <i/>
      <sz val="11"/>
      <color theme="1"/>
      <name val="Calibri"/>
      <family val="2"/>
    </font>
    <font>
      <b/>
      <sz val="11"/>
      <color theme="0" tint="-4.9989318521683403E-2"/>
      <name val="Calibri"/>
      <family val="2"/>
    </font>
    <font>
      <sz val="11"/>
      <color theme="4" tint="-0.249977111117893"/>
      <name val="Calibri"/>
      <family val="2"/>
    </font>
    <font>
      <sz val="11"/>
      <color theme="3" tint="0.249977111117893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Calibri"/>
      <family val="2"/>
    </font>
    <font>
      <b/>
      <vertAlign val="superscript"/>
      <sz val="11"/>
      <name val="Calibri"/>
      <family val="2"/>
    </font>
    <font>
      <vertAlign val="superscript"/>
      <sz val="11"/>
      <color theme="1"/>
      <name val="Calibri"/>
      <family val="2"/>
    </font>
    <font>
      <i/>
      <sz val="9"/>
      <color theme="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3" fillId="5" borderId="6" applyNumberFormat="0" applyFont="0" applyAlignment="0" applyProtection="0"/>
    <xf numFmtId="0" fontId="16" fillId="8" borderId="18" applyNumberFormat="0" applyAlignment="0" applyProtection="0"/>
  </cellStyleXfs>
  <cellXfs count="177"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0" borderId="0" xfId="0" applyNumberFormat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/>
    <xf numFmtId="10" fontId="0" fillId="0" borderId="0" xfId="1" applyNumberFormat="1" applyFont="1"/>
    <xf numFmtId="0" fontId="6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4" fillId="4" borderId="0" xfId="0" applyFont="1" applyFill="1"/>
    <xf numFmtId="8" fontId="0" fillId="0" borderId="0" xfId="0" applyNumberFormat="1"/>
    <xf numFmtId="0" fontId="4" fillId="0" borderId="3" xfId="0" applyFont="1" applyBorder="1"/>
    <xf numFmtId="8" fontId="4" fillId="0" borderId="3" xfId="0" applyNumberFormat="1" applyFont="1" applyBorder="1"/>
    <xf numFmtId="0" fontId="8" fillId="0" borderId="0" xfId="0" applyFont="1"/>
    <xf numFmtId="10" fontId="8" fillId="0" borderId="0" xfId="1" applyNumberFormat="1" applyFont="1"/>
    <xf numFmtId="9" fontId="8" fillId="0" borderId="0" xfId="1" applyFont="1"/>
    <xf numFmtId="166" fontId="8" fillId="0" borderId="0" xfId="0" applyNumberFormat="1" applyFont="1"/>
    <xf numFmtId="3" fontId="0" fillId="0" borderId="0" xfId="0" applyNumberFormat="1"/>
    <xf numFmtId="8" fontId="4" fillId="0" borderId="0" xfId="0" applyNumberFormat="1" applyFont="1"/>
    <xf numFmtId="0" fontId="9" fillId="0" borderId="0" xfId="0" applyFont="1"/>
    <xf numFmtId="8" fontId="9" fillId="0" borderId="0" xfId="0" applyNumberFormat="1" applyFont="1"/>
    <xf numFmtId="0" fontId="10" fillId="2" borderId="0" xfId="0" applyFont="1" applyFill="1"/>
    <xf numFmtId="0" fontId="0" fillId="0" borderId="4" xfId="0" applyBorder="1"/>
    <xf numFmtId="0" fontId="0" fillId="0" borderId="5" xfId="0" applyBorder="1"/>
    <xf numFmtId="10" fontId="0" fillId="0" borderId="4" xfId="1" applyNumberFormat="1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67" fontId="0" fillId="0" borderId="5" xfId="1" applyNumberFormat="1" applyFont="1" applyBorder="1"/>
    <xf numFmtId="167" fontId="0" fillId="0" borderId="4" xfId="0" applyNumberFormat="1" applyBorder="1"/>
    <xf numFmtId="167" fontId="0" fillId="0" borderId="0" xfId="0" applyNumberFormat="1"/>
    <xf numFmtId="167" fontId="0" fillId="0" borderId="5" xfId="0" applyNumberFormat="1" applyBorder="1"/>
    <xf numFmtId="168" fontId="0" fillId="0" borderId="4" xfId="0" applyNumberFormat="1" applyBorder="1"/>
    <xf numFmtId="168" fontId="0" fillId="0" borderId="0" xfId="0" applyNumberFormat="1"/>
    <xf numFmtId="168" fontId="0" fillId="0" borderId="5" xfId="0" applyNumberFormat="1" applyBorder="1"/>
    <xf numFmtId="10" fontId="0" fillId="0" borderId="4" xfId="0" applyNumberFormat="1" applyBorder="1"/>
    <xf numFmtId="10" fontId="0" fillId="0" borderId="0" xfId="0" applyNumberFormat="1"/>
    <xf numFmtId="10" fontId="0" fillId="0" borderId="5" xfId="0" applyNumberFormat="1" applyBorder="1"/>
    <xf numFmtId="0" fontId="1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0" fillId="0" borderId="0" xfId="0" applyNumberFormat="1" applyFont="1"/>
    <xf numFmtId="9" fontId="0" fillId="0" borderId="0" xfId="1" applyFont="1"/>
    <xf numFmtId="0" fontId="0" fillId="0" borderId="0" xfId="0" applyAlignment="1">
      <alignment horizontal="left"/>
    </xf>
    <xf numFmtId="8" fontId="0" fillId="3" borderId="0" xfId="0" applyNumberFormat="1" applyFill="1"/>
    <xf numFmtId="0" fontId="10" fillId="2" borderId="12" xfId="0" applyFont="1" applyFill="1" applyBorder="1"/>
    <xf numFmtId="0" fontId="10" fillId="2" borderId="13" xfId="0" applyFont="1" applyFill="1" applyBorder="1"/>
    <xf numFmtId="0" fontId="0" fillId="0" borderId="12" xfId="0" applyBorder="1" applyAlignment="1">
      <alignment horizontal="left"/>
    </xf>
    <xf numFmtId="0" fontId="0" fillId="0" borderId="13" xfId="0" applyBorder="1"/>
    <xf numFmtId="10" fontId="0" fillId="0" borderId="13" xfId="1" applyNumberFormat="1" applyFont="1" applyBorder="1"/>
    <xf numFmtId="0" fontId="0" fillId="3" borderId="12" xfId="0" applyFill="1" applyBorder="1" applyAlignment="1">
      <alignment horizontal="left"/>
    </xf>
    <xf numFmtId="10" fontId="0" fillId="3" borderId="13" xfId="1" applyNumberFormat="1" applyFont="1" applyFill="1" applyBorder="1"/>
    <xf numFmtId="0" fontId="0" fillId="3" borderId="14" xfId="0" applyFill="1" applyBorder="1" applyAlignment="1">
      <alignment horizontal="left"/>
    </xf>
    <xf numFmtId="8" fontId="0" fillId="3" borderId="1" xfId="0" applyNumberFormat="1" applyFill="1" applyBorder="1"/>
    <xf numFmtId="10" fontId="0" fillId="3" borderId="15" xfId="1" applyNumberFormat="1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8" fontId="11" fillId="0" borderId="0" xfId="0" applyNumberFormat="1" applyFont="1"/>
    <xf numFmtId="0" fontId="9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Continuous"/>
    </xf>
    <xf numFmtId="2" fontId="0" fillId="0" borderId="0" xfId="0" applyNumberFormat="1"/>
    <xf numFmtId="2" fontId="0" fillId="0" borderId="1" xfId="0" applyNumberFormat="1" applyBorder="1"/>
    <xf numFmtId="0" fontId="12" fillId="0" borderId="0" xfId="0" applyFont="1"/>
    <xf numFmtId="8" fontId="12" fillId="0" borderId="0" xfId="0" applyNumberFormat="1" applyFont="1"/>
    <xf numFmtId="9" fontId="0" fillId="0" borderId="0" xfId="1" applyFont="1" applyFill="1" applyBorder="1"/>
    <xf numFmtId="9" fontId="12" fillId="0" borderId="0" xfId="1" applyFont="1" applyFill="1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0" fillId="3" borderId="0" xfId="0" applyFill="1"/>
    <xf numFmtId="8" fontId="0" fillId="0" borderId="0" xfId="0" applyNumberFormat="1" applyAlignment="1">
      <alignment horizontal="left"/>
    </xf>
    <xf numFmtId="169" fontId="0" fillId="0" borderId="0" xfId="0" applyNumberFormat="1"/>
    <xf numFmtId="0" fontId="4" fillId="0" borderId="1" xfId="0" applyFont="1" applyBorder="1"/>
    <xf numFmtId="9" fontId="0" fillId="0" borderId="0" xfId="0" applyNumberFormat="1"/>
    <xf numFmtId="9" fontId="12" fillId="0" borderId="0" xfId="0" applyNumberFormat="1" applyFont="1"/>
    <xf numFmtId="169" fontId="0" fillId="3" borderId="0" xfId="0" applyNumberFormat="1" applyFill="1"/>
    <xf numFmtId="2" fontId="12" fillId="0" borderId="0" xfId="0" applyNumberFormat="1" applyFont="1"/>
    <xf numFmtId="9" fontId="0" fillId="0" borderId="7" xfId="0" applyNumberFormat="1" applyBorder="1"/>
    <xf numFmtId="9" fontId="0" fillId="0" borderId="7" xfId="1" applyFont="1" applyBorder="1"/>
    <xf numFmtId="2" fontId="0" fillId="0" borderId="7" xfId="0" applyNumberFormat="1" applyBorder="1"/>
    <xf numFmtId="9" fontId="0" fillId="0" borderId="8" xfId="0" applyNumberFormat="1" applyBorder="1"/>
    <xf numFmtId="9" fontId="0" fillId="0" borderId="8" xfId="1" applyFont="1" applyBorder="1"/>
    <xf numFmtId="2" fontId="0" fillId="0" borderId="8" xfId="0" applyNumberFormat="1" applyBorder="1"/>
    <xf numFmtId="0" fontId="4" fillId="0" borderId="7" xfId="0" applyFont="1" applyBorder="1"/>
    <xf numFmtId="2" fontId="0" fillId="7" borderId="8" xfId="0" applyNumberFormat="1" applyFill="1" applyBorder="1"/>
    <xf numFmtId="0" fontId="0" fillId="0" borderId="17" xfId="0" applyBorder="1"/>
    <xf numFmtId="0" fontId="0" fillId="0" borderId="8" xfId="0" applyBorder="1"/>
    <xf numFmtId="0" fontId="0" fillId="7" borderId="0" xfId="0" applyFill="1"/>
    <xf numFmtId="0" fontId="4" fillId="7" borderId="0" xfId="0" applyFont="1" applyFill="1"/>
    <xf numFmtId="10" fontId="12" fillId="0" borderId="0" xfId="0" applyNumberFormat="1" applyFont="1"/>
    <xf numFmtId="10" fontId="0" fillId="0" borderId="17" xfId="0" applyNumberFormat="1" applyBorder="1"/>
    <xf numFmtId="10" fontId="0" fillId="7" borderId="0" xfId="0" applyNumberFormat="1" applyFill="1"/>
    <xf numFmtId="8" fontId="0" fillId="0" borderId="17" xfId="0" applyNumberFormat="1" applyBorder="1"/>
    <xf numFmtId="9" fontId="0" fillId="0" borderId="17" xfId="1" applyFont="1" applyBorder="1"/>
    <xf numFmtId="9" fontId="0" fillId="0" borderId="17" xfId="0" applyNumberFormat="1" applyBorder="1"/>
    <xf numFmtId="2" fontId="0" fillId="0" borderId="17" xfId="0" applyNumberFormat="1" applyBorder="1"/>
    <xf numFmtId="10" fontId="4" fillId="7" borderId="0" xfId="1" applyNumberFormat="1" applyFont="1" applyFill="1"/>
    <xf numFmtId="0" fontId="19" fillId="0" borderId="0" xfId="0" applyFont="1"/>
    <xf numFmtId="0" fontId="0" fillId="9" borderId="0" xfId="0" applyFill="1"/>
    <xf numFmtId="0" fontId="4" fillId="9" borderId="0" xfId="0" applyFont="1" applyFill="1"/>
    <xf numFmtId="10" fontId="4" fillId="7" borderId="0" xfId="0" applyNumberFormat="1" applyFont="1" applyFill="1"/>
    <xf numFmtId="0" fontId="13" fillId="4" borderId="7" xfId="0" applyFont="1" applyFill="1" applyBorder="1"/>
    <xf numFmtId="0" fontId="13" fillId="4" borderId="8" xfId="0" applyFont="1" applyFill="1" applyBorder="1"/>
    <xf numFmtId="0" fontId="4" fillId="4" borderId="8" xfId="0" applyFont="1" applyFill="1" applyBorder="1"/>
    <xf numFmtId="0" fontId="4" fillId="0" borderId="19" xfId="0" applyFont="1" applyBorder="1"/>
    <xf numFmtId="8" fontId="4" fillId="0" borderId="19" xfId="0" applyNumberFormat="1" applyFont="1" applyBorder="1"/>
    <xf numFmtId="10" fontId="4" fillId="0" borderId="19" xfId="1" applyNumberFormat="1" applyFont="1" applyBorder="1"/>
    <xf numFmtId="0" fontId="0" fillId="0" borderId="7" xfId="0" applyBorder="1"/>
    <xf numFmtId="8" fontId="0" fillId="0" borderId="7" xfId="0" applyNumberFormat="1" applyBorder="1"/>
    <xf numFmtId="8" fontId="4" fillId="0" borderId="7" xfId="0" applyNumberFormat="1" applyFont="1" applyBorder="1"/>
    <xf numFmtId="0" fontId="0" fillId="0" borderId="20" xfId="0" applyBorder="1"/>
    <xf numFmtId="8" fontId="0" fillId="0" borderId="20" xfId="0" applyNumberFormat="1" applyBorder="1"/>
    <xf numFmtId="8" fontId="0" fillId="0" borderId="8" xfId="0" applyNumberFormat="1" applyBorder="1"/>
    <xf numFmtId="2" fontId="0" fillId="0" borderId="20" xfId="1" applyNumberFormat="1" applyFont="1" applyBorder="1"/>
    <xf numFmtId="10" fontId="4" fillId="0" borderId="0" xfId="1" applyNumberFormat="1" applyFont="1" applyBorder="1"/>
    <xf numFmtId="10" fontId="4" fillId="0" borderId="19" xfId="0" applyNumberFormat="1" applyFont="1" applyBorder="1"/>
    <xf numFmtId="10" fontId="0" fillId="0" borderId="20" xfId="1" applyNumberFormat="1" applyFont="1" applyBorder="1"/>
    <xf numFmtId="171" fontId="1" fillId="2" borderId="0" xfId="0" applyNumberFormat="1" applyFont="1" applyFill="1"/>
    <xf numFmtId="0" fontId="4" fillId="7" borderId="19" xfId="0" applyFont="1" applyFill="1" applyBorder="1"/>
    <xf numFmtId="8" fontId="0" fillId="7" borderId="0" xfId="0" applyNumberFormat="1" applyFill="1"/>
    <xf numFmtId="9" fontId="0" fillId="7" borderId="0" xfId="1" applyFont="1" applyFill="1"/>
    <xf numFmtId="170" fontId="0" fillId="0" borderId="0" xfId="0" applyNumberFormat="1"/>
    <xf numFmtId="0" fontId="16" fillId="8" borderId="18" xfId="3"/>
    <xf numFmtId="0" fontId="1" fillId="2" borderId="0" xfId="0" applyFont="1" applyFill="1" applyAlignment="1">
      <alignment wrapText="1"/>
    </xf>
    <xf numFmtId="0" fontId="4" fillId="7" borderId="20" xfId="0" applyFont="1" applyFill="1" applyBorder="1"/>
    <xf numFmtId="0" fontId="0" fillId="0" borderId="21" xfId="0" applyBorder="1"/>
    <xf numFmtId="0" fontId="0" fillId="0" borderId="22" xfId="0" applyBorder="1"/>
    <xf numFmtId="8" fontId="0" fillId="0" borderId="21" xfId="0" applyNumberFormat="1" applyBorder="1"/>
    <xf numFmtId="8" fontId="0" fillId="0" borderId="21" xfId="0" applyNumberFormat="1" applyBorder="1" applyAlignment="1">
      <alignment horizontal="left"/>
    </xf>
    <xf numFmtId="172" fontId="0" fillId="0" borderId="21" xfId="0" applyNumberFormat="1" applyBorder="1" applyAlignment="1">
      <alignment horizontal="left"/>
    </xf>
    <xf numFmtId="0" fontId="0" fillId="7" borderId="21" xfId="0" applyFill="1" applyBorder="1"/>
    <xf numFmtId="172" fontId="0" fillId="7" borderId="21" xfId="0" applyNumberFormat="1" applyFill="1" applyBorder="1" applyAlignment="1">
      <alignment horizontal="left"/>
    </xf>
    <xf numFmtId="172" fontId="0" fillId="7" borderId="0" xfId="0" applyNumberFormat="1" applyFill="1" applyAlignment="1">
      <alignment horizontal="left"/>
    </xf>
    <xf numFmtId="8" fontId="0" fillId="0" borderId="22" xfId="0" applyNumberFormat="1" applyBorder="1"/>
    <xf numFmtId="2" fontId="4" fillId="7" borderId="20" xfId="0" applyNumberFormat="1" applyFont="1" applyFill="1" applyBorder="1"/>
    <xf numFmtId="172" fontId="4" fillId="7" borderId="0" xfId="0" applyNumberFormat="1" applyFont="1" applyFill="1" applyAlignment="1">
      <alignment horizontal="left"/>
    </xf>
    <xf numFmtId="173" fontId="5" fillId="2" borderId="0" xfId="0" applyNumberFormat="1" applyFont="1" applyFill="1" applyAlignment="1">
      <alignment horizontal="center"/>
    </xf>
    <xf numFmtId="173" fontId="1" fillId="2" borderId="0" xfId="0" applyNumberFormat="1" applyFont="1" applyFill="1" applyAlignment="1">
      <alignment horizontal="center" vertical="center"/>
    </xf>
    <xf numFmtId="14" fontId="10" fillId="2" borderId="0" xfId="0" applyNumberFormat="1" applyFont="1" applyFill="1"/>
    <xf numFmtId="173" fontId="10" fillId="2" borderId="0" xfId="0" applyNumberFormat="1" applyFont="1" applyFill="1"/>
    <xf numFmtId="10" fontId="0" fillId="0" borderId="21" xfId="1" applyNumberFormat="1" applyFont="1" applyBorder="1"/>
    <xf numFmtId="0" fontId="4" fillId="0" borderId="21" xfId="0" applyFont="1" applyBorder="1"/>
    <xf numFmtId="10" fontId="4" fillId="0" borderId="21" xfId="1" applyNumberFormat="1" applyFont="1" applyBorder="1"/>
    <xf numFmtId="173" fontId="0" fillId="0" borderId="0" xfId="0" applyNumberFormat="1" applyAlignment="1">
      <alignment horizontal="left"/>
    </xf>
    <xf numFmtId="173" fontId="0" fillId="3" borderId="0" xfId="0" applyNumberFormat="1" applyFill="1" applyAlignment="1">
      <alignment horizontal="left"/>
    </xf>
    <xf numFmtId="173" fontId="0" fillId="3" borderId="1" xfId="0" applyNumberFormat="1" applyFill="1" applyBorder="1" applyAlignment="1">
      <alignment horizontal="left"/>
    </xf>
    <xf numFmtId="173" fontId="1" fillId="2" borderId="0" xfId="0" applyNumberFormat="1" applyFont="1" applyFill="1" applyAlignment="1">
      <alignment horizontal="left"/>
    </xf>
    <xf numFmtId="170" fontId="12" fillId="7" borderId="0" xfId="1" applyNumberFormat="1" applyFont="1" applyFill="1"/>
    <xf numFmtId="9" fontId="20" fillId="0" borderId="0" xfId="1" applyFont="1"/>
    <xf numFmtId="8" fontId="12" fillId="0" borderId="21" xfId="0" applyNumberFormat="1" applyFont="1" applyBorder="1" applyAlignment="1">
      <alignment horizontal="left"/>
    </xf>
    <xf numFmtId="8" fontId="12" fillId="7" borderId="21" xfId="0" applyNumberFormat="1" applyFont="1" applyFill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7" borderId="21" xfId="0" applyFont="1" applyFill="1" applyBorder="1" applyAlignment="1">
      <alignment horizontal="left"/>
    </xf>
    <xf numFmtId="3" fontId="0" fillId="0" borderId="22" xfId="0" applyNumberFormat="1" applyBorder="1"/>
    <xf numFmtId="0" fontId="12" fillId="0" borderId="8" xfId="0" applyFont="1" applyBorder="1"/>
    <xf numFmtId="8" fontId="12" fillId="0" borderId="8" xfId="0" applyNumberFormat="1" applyFont="1" applyBorder="1"/>
    <xf numFmtId="0" fontId="12" fillId="0" borderId="0" xfId="0" applyFont="1" applyAlignment="1">
      <alignment horizontal="left"/>
    </xf>
    <xf numFmtId="174" fontId="1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5" borderId="6" xfId="2" applyFont="1" applyAlignment="1">
      <alignment horizontal="center"/>
    </xf>
    <xf numFmtId="8" fontId="0" fillId="0" borderId="0" xfId="0" applyNumberFormat="1" applyAlignment="1">
      <alignment horizontal="right"/>
    </xf>
  </cellXfs>
  <cellStyles count="4">
    <cellStyle name="Normal" xfId="0" builtinId="0"/>
    <cellStyle name="Note" xfId="2" builtinId="1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tx>
            <c:strRef>
              <c:f>'Ratio Analysis'!$C$5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val>
            <c:numRef>
              <c:f>'Ratio Analysis'!$D$5:$G$5</c:f>
              <c:numCache>
                <c:formatCode>0.00%</c:formatCode>
                <c:ptCount val="4"/>
                <c:pt idx="0">
                  <c:v>6.7155377086975443E-2</c:v>
                </c:pt>
                <c:pt idx="1">
                  <c:v>2.4327954345069579E-2</c:v>
                </c:pt>
                <c:pt idx="2">
                  <c:v>6.7280193590965751E-2</c:v>
                </c:pt>
                <c:pt idx="3">
                  <c:v>6.0259549901928548E-2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tx>
            <c:strRef>
              <c:f>'Ratio Analysis'!$C$6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Analysis'!$D$6:$G$6</c:f>
              <c:numCache>
                <c:formatCode>0.00%</c:formatCode>
                <c:ptCount val="4"/>
                <c:pt idx="0">
                  <c:v>0.2649724026841539</c:v>
                </c:pt>
                <c:pt idx="1">
                  <c:v>0.2743585437167439</c:v>
                </c:pt>
                <c:pt idx="2">
                  <c:v>0.28163766976357152</c:v>
                </c:pt>
                <c:pt idx="3">
                  <c:v>0.30151498957943673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tx>
            <c:strRef>
              <c:f>'Ratio Analysis'!$C$7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Analysis'!$D$7:$G$7</c:f>
              <c:numCache>
                <c:formatCode>0.00%</c:formatCode>
                <c:ptCount val="4"/>
                <c:pt idx="0">
                  <c:v>9.62660443407235E-2</c:v>
                </c:pt>
                <c:pt idx="1">
                  <c:v>0.1505233280113536</c:v>
                </c:pt>
                <c:pt idx="2">
                  <c:v>-0.212551075476062</c:v>
                </c:pt>
                <c:pt idx="3">
                  <c:v>0.32230272175445474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tx>
            <c:strRef>
              <c:f>'Ratio Analysis'!$C$8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Analysis'!$D$8:$G$8</c:f>
              <c:numCache>
                <c:formatCode>0.00%</c:formatCode>
                <c:ptCount val="4"/>
                <c:pt idx="0">
                  <c:v>0.18603678929765888</c:v>
                </c:pt>
                <c:pt idx="1">
                  <c:v>0.3431441663729291</c:v>
                </c:pt>
                <c:pt idx="2">
                  <c:v>0.34024406245899486</c:v>
                </c:pt>
                <c:pt idx="3">
                  <c:v>-0.26023105541413749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tx>
            <c:strRef>
              <c:f>'Ratio Analysis'!$C$9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Analysis'!$D$9:$G$9</c:f>
              <c:numCache>
                <c:formatCode>0.00%</c:formatCode>
                <c:ptCount val="4"/>
                <c:pt idx="0">
                  <c:v>-0.10417479516191963</c:v>
                </c:pt>
                <c:pt idx="1">
                  <c:v>2.7674216027874565</c:v>
                </c:pt>
                <c:pt idx="2">
                  <c:v>0.48323699421965327</c:v>
                </c:pt>
                <c:pt idx="3">
                  <c:v>-0.42346063912704601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tx>
            <c:strRef>
              <c:f>'Ratio Analysis'!$C$10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Analysis'!$D$10:$G$10</c:f>
              <c:numCache>
                <c:formatCode>0.00%</c:formatCode>
                <c:ptCount val="4"/>
                <c:pt idx="0">
                  <c:v>1.8030254607435792E-2</c:v>
                </c:pt>
                <c:pt idx="1">
                  <c:v>1.9936902783061372E-2</c:v>
                </c:pt>
                <c:pt idx="2">
                  <c:v>1.8632241654875425E-2</c:v>
                </c:pt>
                <c:pt idx="3">
                  <c:v>1.6064345473076003E-2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tx>
            <c:strRef>
              <c:f>'Ratio Analysis'!$C$12</c:f>
              <c:strCache>
                <c:ptCount val="1"/>
                <c:pt idx="0">
                  <c:v>24.69%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Analysis'!$D$12:$G$12</c:f>
              <c:numCache>
                <c:formatCode>0.00%</c:formatCode>
                <c:ptCount val="4"/>
                <c:pt idx="0">
                  <c:v>0.2649724026841539</c:v>
                </c:pt>
                <c:pt idx="1">
                  <c:v>0.2743585437167439</c:v>
                </c:pt>
                <c:pt idx="2">
                  <c:v>0.28163766976357152</c:v>
                </c:pt>
                <c:pt idx="3">
                  <c:v>0.30151498957943673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Analysis'!$C$13:$G$13</c:f>
              <c:numCache>
                <c:formatCode>0.00%</c:formatCode>
                <c:ptCount val="5"/>
                <c:pt idx="0">
                  <c:v>3.9254605278225219E-2</c:v>
                </c:pt>
                <c:pt idx="1">
                  <c:v>4.303349085051645E-2</c:v>
                </c:pt>
                <c:pt idx="2">
                  <c:v>4.9511035109282314E-2</c:v>
                </c:pt>
                <c:pt idx="3">
                  <c:v>3.8987411348871299E-2</c:v>
                </c:pt>
                <c:pt idx="4">
                  <c:v>5.1553160140773033E-2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Analysis'!$C$14:$G$14</c:f>
              <c:numCache>
                <c:formatCode>0.00%</c:formatCode>
                <c:ptCount val="5"/>
                <c:pt idx="0">
                  <c:v>1.8260796543273963E-2</c:v>
                </c:pt>
                <c:pt idx="1">
                  <c:v>2.1657976502202442E-2</c:v>
                </c:pt>
                <c:pt idx="2">
                  <c:v>2.9089784794375184E-2</c:v>
                </c:pt>
                <c:pt idx="3">
                  <c:v>3.8987411348871299E-2</c:v>
                </c:pt>
                <c:pt idx="4">
                  <c:v>2.8841676145689402E-2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Analysis'!$C$16:$G$16</c:f>
              <c:numCache>
                <c:formatCode>0.00%</c:formatCode>
                <c:ptCount val="5"/>
                <c:pt idx="0">
                  <c:v>4.8915574352436427E-3</c:v>
                </c:pt>
                <c:pt idx="1">
                  <c:v>4.3819804414043711E-3</c:v>
                </c:pt>
                <c:pt idx="2">
                  <c:v>1.6508767777938943E-2</c:v>
                </c:pt>
                <c:pt idx="3">
                  <c:v>2.448641509722042E-2</c:v>
                </c:pt>
                <c:pt idx="4">
                  <c:v>1.4117382110221312E-2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'Ratio Analysis'!$C$18:$G$18</c:f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'Ratio Analysis'!$C$19:$G$19</c:f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'Ratio Analysis'!$C$20:$G$20</c:f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'Ratio Analysis'!$C$22:$G$22</c:f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'Ratio Analysis'!$C$23:$G$23</c:f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'Ratio Analysis'!$C$24:$G$24</c:f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'Ratio Analysis'!$C$25:$G$25</c:f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'Ratio Analysis'!$C$26:$G$26</c:f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\x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Analysis'!$C$28:$G$28</c:f>
              <c:numCache>
                <c:formatCode>0.00\x</c:formatCode>
                <c:ptCount val="5"/>
                <c:pt idx="0">
                  <c:v>83.380649267982179</c:v>
                </c:pt>
                <c:pt idx="1">
                  <c:v>85.812001227747089</c:v>
                </c:pt>
                <c:pt idx="2">
                  <c:v>69.173188405797106</c:v>
                </c:pt>
                <c:pt idx="3">
                  <c:v>77.056472961048783</c:v>
                </c:pt>
                <c:pt idx="4">
                  <c:v>73.68406093678945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\x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Analysis'!$C$29:$G$29</c:f>
              <c:numCache>
                <c:formatCode>0.00\x</c:formatCode>
                <c:ptCount val="5"/>
                <c:pt idx="0">
                  <c:v>10.418436331822159</c:v>
                </c:pt>
                <c:pt idx="1">
                  <c:v>10.607861736639411</c:v>
                </c:pt>
                <c:pt idx="2">
                  <c:v>9.6489833049748146</c:v>
                </c:pt>
                <c:pt idx="3">
                  <c:v>10.558762566069023</c:v>
                </c:pt>
                <c:pt idx="4">
                  <c:v>10.699016144474891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\x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Analysis'!$C$31:$G$31</c:f>
              <c:numCache>
                <c:formatCode>0.00\x</c:formatCode>
                <c:ptCount val="5"/>
                <c:pt idx="0">
                  <c:v>4.1241095955103937</c:v>
                </c:pt>
                <c:pt idx="1">
                  <c:v>5.0902246740951131</c:v>
                </c:pt>
                <c:pt idx="2">
                  <c:v>5.0855412700667708</c:v>
                </c:pt>
                <c:pt idx="3">
                  <c:v>5.1268010802287938</c:v>
                </c:pt>
                <c:pt idx="4">
                  <c:v>4.9726480381776614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\x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Analysis'!$C$32:$G$32</c:f>
              <c:numCache>
                <c:formatCode>0.00\x</c:formatCode>
                <c:ptCount val="5"/>
                <c:pt idx="0">
                  <c:v>6.4249068079262308</c:v>
                </c:pt>
                <c:pt idx="1">
                  <c:v>6.3880339536849799</c:v>
                </c:pt>
                <c:pt idx="2">
                  <c:v>6.232971672960355</c:v>
                </c:pt>
                <c:pt idx="3">
                  <c:v>7.278029788905954</c:v>
                </c:pt>
                <c:pt idx="4">
                  <c:v>7.1559881198176019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\x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Analysis'!$C$34:$G$34</c:f>
              <c:numCache>
                <c:formatCode>0\ "Days"</c:formatCode>
                <c:ptCount val="5"/>
                <c:pt idx="0">
                  <c:v>4.3775144857280273</c:v>
                </c:pt>
                <c:pt idx="1">
                  <c:v>4.253484300305284</c:v>
                </c:pt>
                <c:pt idx="2">
                  <c:v>5.2766109010150952</c:v>
                </c:pt>
                <c:pt idx="3">
                  <c:v>4.7367857101959956</c:v>
                </c:pt>
                <c:pt idx="4">
                  <c:v>4.9535814850530375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\ &quot;Days&quot;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Analysis'!$C$35:$G$35</c:f>
              <c:numCache>
                <c:formatCode>0\ "Days"</c:formatCode>
                <c:ptCount val="5"/>
                <c:pt idx="0">
                  <c:v>35.03404814071196</c:v>
                </c:pt>
                <c:pt idx="1">
                  <c:v>34.408442442202556</c:v>
                </c:pt>
                <c:pt idx="2">
                  <c:v>37.827819622385874</c:v>
                </c:pt>
                <c:pt idx="3">
                  <c:v>34.568444712729985</c:v>
                </c:pt>
                <c:pt idx="4">
                  <c:v>34.115286403085825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\ &quot;Days&quot;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Analysis'!$C$36:$G$36</c:f>
              <c:numCache>
                <c:formatCode>0\ "Days"</c:formatCode>
                <c:ptCount val="5"/>
                <c:pt idx="0">
                  <c:v>30.953987296837187</c:v>
                </c:pt>
                <c:pt idx="1">
                  <c:v>29.341600032907031</c:v>
                </c:pt>
                <c:pt idx="2">
                  <c:v>36.012869399428027</c:v>
                </c:pt>
                <c:pt idx="3">
                  <c:v>33.781468339852346</c:v>
                </c:pt>
                <c:pt idx="4">
                  <c:v>30.913141755062682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\ &quot;Days&quot;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Analysis'!$C$37:$G$37</c:f>
              <c:numCache>
                <c:formatCode>0\ "Days"</c:formatCode>
                <c:ptCount val="5"/>
                <c:pt idx="0">
                  <c:v>0.29745364185325229</c:v>
                </c:pt>
                <c:pt idx="1">
                  <c:v>-0.81335810899024352</c:v>
                </c:pt>
                <c:pt idx="2">
                  <c:v>3.4616606780572496</c:v>
                </c:pt>
                <c:pt idx="3">
                  <c:v>3.9498093373183565</c:v>
                </c:pt>
                <c:pt idx="4">
                  <c:v>1.7514368370298925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\ &quot;Days&quot;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Analysis'!$C$39:$G$39</c:f>
              <c:numCache>
                <c:formatCode>0.00%</c:formatCode>
                <c:ptCount val="5"/>
                <c:pt idx="0">
                  <c:v>4.8199876327381271E-2</c:v>
                </c:pt>
                <c:pt idx="1">
                  <c:v>6.4515667503053736E-2</c:v>
                </c:pt>
                <c:pt idx="2">
                  <c:v>4.221882343903316E-2</c:v>
                </c:pt>
                <c:pt idx="3">
                  <c:v>4.7180629783948345E-2</c:v>
                </c:pt>
                <c:pt idx="4">
                  <c:v>5.512208293153327E-2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Analysis'!$C$40:$G$40</c:f>
              <c:numCache>
                <c:formatCode>0.00%</c:formatCode>
                <c:ptCount val="5"/>
                <c:pt idx="0">
                  <c:v>0.10678872703439819</c:v>
                </c:pt>
                <c:pt idx="1">
                  <c:v>0.14286959001330715</c:v>
                </c:pt>
                <c:pt idx="2">
                  <c:v>9.8754390263824224E-2</c:v>
                </c:pt>
                <c:pt idx="3">
                  <c:v>0.11859110104154245</c:v>
                </c:pt>
                <c:pt idx="4">
                  <c:v>0.1415457272017718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Analysis'!$C$41:$G$41</c:f>
              <c:numCache>
                <c:formatCode>0.00%</c:formatCode>
                <c:ptCount val="5"/>
                <c:pt idx="0">
                  <c:v>0.3486670440268938</c:v>
                </c:pt>
                <c:pt idx="1">
                  <c:v>0.57037599215760681</c:v>
                </c:pt>
                <c:pt idx="2">
                  <c:v>0.42183765678697904</c:v>
                </c:pt>
                <c:pt idx="3">
                  <c:v>0.48946930740118461</c:v>
                </c:pt>
                <c:pt idx="4">
                  <c:v>0.58260628495947553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Analysis'!$C$14:$G$14</c:f>
              <c:numCache>
                <c:formatCode>0.00%</c:formatCode>
                <c:ptCount val="5"/>
                <c:pt idx="0">
                  <c:v>1.8260796543273963E-2</c:v>
                </c:pt>
                <c:pt idx="1">
                  <c:v>2.1657976502202442E-2</c:v>
                </c:pt>
                <c:pt idx="2">
                  <c:v>2.9089784794375184E-2</c:v>
                </c:pt>
                <c:pt idx="3">
                  <c:v>3.8987411348871299E-2</c:v>
                </c:pt>
                <c:pt idx="4">
                  <c:v>2.8841676145689402E-2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5.0477385978926551E-3"/>
          <c:w val="1"/>
          <c:h val="0.9949537037037037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val>
            <c:numRef>
              <c:f>'Ratio Analysis'!$C$30:$G$30</c:f>
              <c:numCache>
                <c:formatCode>0.00\x</c:formatCode>
                <c:ptCount val="5"/>
                <c:pt idx="0">
                  <c:v>11.79169573534376</c:v>
                </c:pt>
                <c:pt idx="1">
                  <c:v>12.439676077332088</c:v>
                </c:pt>
                <c:pt idx="2">
                  <c:v>10.135265700483092</c:v>
                </c:pt>
                <c:pt idx="3">
                  <c:v>10.804740526018099</c:v>
                </c:pt>
                <c:pt idx="4">
                  <c:v>11.807276105807768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6E5-AFE5-9DC06ACC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35248"/>
        <c:axId val="1527936688"/>
      </c:areaChart>
      <c:catAx>
        <c:axId val="1527935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527936688"/>
        <c:crosses val="autoZero"/>
        <c:auto val="1"/>
        <c:lblAlgn val="ctr"/>
        <c:lblOffset val="100"/>
        <c:noMultiLvlLbl val="0"/>
      </c:catAx>
      <c:valAx>
        <c:axId val="1527936688"/>
        <c:scaling>
          <c:orientation val="minMax"/>
        </c:scaling>
        <c:delete val="1"/>
        <c:axPos val="l"/>
        <c:numFmt formatCode="0.00\x" sourceLinked="1"/>
        <c:majorTickMark val="none"/>
        <c:minorTickMark val="none"/>
        <c:tickLblPos val="nextTo"/>
        <c:crossAx val="1527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Regression</a:t>
            </a:r>
          </a:p>
        </c:rich>
      </c:tx>
      <c:layout>
        <c:manualLayout>
          <c:xMode val="edge"/>
          <c:yMode val="edge"/>
          <c:x val="0.3617969821673525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'Manual Forecasting'!$D$2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'Manual Forecasting'!$C$3:$C$7</c:f>
              <c:numCache>
                <c:formatCode>[$-409]mmm\-yy;@</c:formatCode>
                <c:ptCount val="5"/>
                <c:pt idx="0">
                  <c:v>43861</c:v>
                </c:pt>
                <c:pt idx="1">
                  <c:v>44226</c:v>
                </c:pt>
                <c:pt idx="2">
                  <c:v>44591</c:v>
                </c:pt>
                <c:pt idx="3">
                  <c:v>44956</c:v>
                </c:pt>
                <c:pt idx="4">
                  <c:v>45321</c:v>
                </c:pt>
              </c:numCache>
            </c:numRef>
          </c:cat>
          <c:val>
            <c:numRef>
              <c:f>'Manual Forecasting'!$D$3:$D$7</c:f>
              <c:numCache>
                <c:formatCode>"$"#,##0.00_);[Red]\("$"#,##0.00\)</c:formatCode>
                <c:ptCount val="5"/>
                <c:pt idx="0">
                  <c:v>523964000000</c:v>
                </c:pt>
                <c:pt idx="1">
                  <c:v>559151000000</c:v>
                </c:pt>
                <c:pt idx="2">
                  <c:v>572754000000</c:v>
                </c:pt>
                <c:pt idx="3">
                  <c:v>611289000000</c:v>
                </c:pt>
                <c:pt idx="4">
                  <c:v>648125000000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E-4241-A5A7-572B89EED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466831"/>
        <c:axId val="1426467311"/>
      </c:lineChart>
      <c:dateAx>
        <c:axId val="1426466831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67311"/>
        <c:crosses val="autoZero"/>
        <c:auto val="1"/>
        <c:lblOffset val="100"/>
        <c:baseTimeUnit val="years"/>
      </c:dateAx>
      <c:valAx>
        <c:axId val="1426467311"/>
        <c:scaling>
          <c:orientation val="minMax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6683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8</xdr:col>
      <xdr:colOff>7620</xdr:colOff>
      <xdr:row>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28F539-5209-E02E-3CAF-656066AE9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</xdr:row>
      <xdr:rowOff>152400</xdr:rowOff>
    </xdr:from>
    <xdr:to>
      <xdr:col>8</xdr:col>
      <xdr:colOff>7620</xdr:colOff>
      <xdr:row>5</xdr:row>
      <xdr:rowOff>129540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41D0FDD0-C3CB-7CBD-708A-08B9DE3FD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6</xdr:row>
      <xdr:rowOff>7620</xdr:rowOff>
    </xdr:from>
    <xdr:to>
      <xdr:col>8</xdr:col>
      <xdr:colOff>7620</xdr:colOff>
      <xdr:row>7</xdr:row>
      <xdr:rowOff>15240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A98C5EF7-2629-DC79-A3E8-BDB3DADCD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739140</xdr:colOff>
      <xdr:row>7</xdr:row>
      <xdr:rowOff>22860</xdr:rowOff>
    </xdr:from>
    <xdr:to>
      <xdr:col>8</xdr:col>
      <xdr:colOff>0</xdr:colOff>
      <xdr:row>8</xdr:row>
      <xdr:rowOff>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F9F45C8E-FCC2-3D56-EB72-680F1D488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8</xdr:row>
      <xdr:rowOff>0</xdr:rowOff>
    </xdr:from>
    <xdr:to>
      <xdr:col>8</xdr:col>
      <xdr:colOff>7620</xdr:colOff>
      <xdr:row>8</xdr:row>
      <xdr:rowOff>160020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E877F7B2-F10F-1D90-1029-C89B32410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739140</xdr:colOff>
      <xdr:row>9</xdr:row>
      <xdr:rowOff>0</xdr:rowOff>
    </xdr:from>
    <xdr:to>
      <xdr:col>8</xdr:col>
      <xdr:colOff>0</xdr:colOff>
      <xdr:row>10</xdr:row>
      <xdr:rowOff>15240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EF334ADA-1CD4-2741-CCBE-78B6EDE65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11</xdr:row>
      <xdr:rowOff>7620</xdr:rowOff>
    </xdr:from>
    <xdr:to>
      <xdr:col>8</xdr:col>
      <xdr:colOff>7620</xdr:colOff>
      <xdr:row>11</xdr:row>
      <xdr:rowOff>160020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ACC96E3A-DC73-DA00-BB36-D4848A4B1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12</xdr:row>
      <xdr:rowOff>15240</xdr:rowOff>
    </xdr:from>
    <xdr:to>
      <xdr:col>8</xdr:col>
      <xdr:colOff>7620</xdr:colOff>
      <xdr:row>13</xdr:row>
      <xdr:rowOff>15240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6B4D84B8-68BB-86FF-EDF5-37C56956F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13</xdr:row>
      <xdr:rowOff>15240</xdr:rowOff>
    </xdr:from>
    <xdr:to>
      <xdr:col>8</xdr:col>
      <xdr:colOff>7620</xdr:colOff>
      <xdr:row>14</xdr:row>
      <xdr:rowOff>7620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3DDCA934-C4D1-43F5-3CD1-FBEFBCC94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8</xdr:col>
      <xdr:colOff>7620</xdr:colOff>
      <xdr:row>16</xdr:row>
      <xdr:rowOff>15240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5A90C67E-D204-CD2B-BB33-8AE20A350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17</xdr:row>
      <xdr:rowOff>7620</xdr:rowOff>
    </xdr:from>
    <xdr:to>
      <xdr:col>8</xdr:col>
      <xdr:colOff>7620</xdr:colOff>
      <xdr:row>17</xdr:row>
      <xdr:rowOff>167640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99AED6F1-532D-8733-390B-EC975A7A7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17</xdr:row>
      <xdr:rowOff>160020</xdr:rowOff>
    </xdr:from>
    <xdr:to>
      <xdr:col>8</xdr:col>
      <xdr:colOff>7620</xdr:colOff>
      <xdr:row>18</xdr:row>
      <xdr:rowOff>137160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5EB70F8D-581C-8D3F-E10A-40968264C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18</xdr:row>
      <xdr:rowOff>167640</xdr:rowOff>
    </xdr:from>
    <xdr:to>
      <xdr:col>8</xdr:col>
      <xdr:colOff>7620</xdr:colOff>
      <xdr:row>19</xdr:row>
      <xdr:rowOff>160020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04EFAA99-F496-76C8-08E3-6DB37BCBC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20</xdr:row>
      <xdr:rowOff>160020</xdr:rowOff>
    </xdr:from>
    <xdr:to>
      <xdr:col>8</xdr:col>
      <xdr:colOff>7620</xdr:colOff>
      <xdr:row>21</xdr:row>
      <xdr:rowOff>137160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30D04E9C-09AA-6E8C-8FF1-0297CB415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22</xdr:row>
      <xdr:rowOff>15240</xdr:rowOff>
    </xdr:from>
    <xdr:to>
      <xdr:col>8</xdr:col>
      <xdr:colOff>7620</xdr:colOff>
      <xdr:row>23</xdr:row>
      <xdr:rowOff>0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5E4F7A42-D717-8885-CC3B-1DA6DB18F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23</xdr:row>
      <xdr:rowOff>7620</xdr:rowOff>
    </xdr:from>
    <xdr:to>
      <xdr:col>8</xdr:col>
      <xdr:colOff>7620</xdr:colOff>
      <xdr:row>23</xdr:row>
      <xdr:rowOff>175260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589269FD-7C8F-AE95-8801-4355A3834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23</xdr:row>
      <xdr:rowOff>167640</xdr:rowOff>
    </xdr:from>
    <xdr:to>
      <xdr:col>8</xdr:col>
      <xdr:colOff>7620</xdr:colOff>
      <xdr:row>24</xdr:row>
      <xdr:rowOff>144780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B000B211-F600-B47F-1CE6-B174B317A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24</xdr:row>
      <xdr:rowOff>175260</xdr:rowOff>
    </xdr:from>
    <xdr:to>
      <xdr:col>8</xdr:col>
      <xdr:colOff>7620</xdr:colOff>
      <xdr:row>26</xdr:row>
      <xdr:rowOff>0</xdr:rowOff>
    </xdr:to>
    <xdr:graphicFrame macro="">
      <xdr:nvGraphicFramePr>
        <xdr:cNvPr id="80" name="Chart 79">
          <a:extLst>
            <a:ext uri="{FF2B5EF4-FFF2-40B4-BE49-F238E27FC236}">
              <a16:creationId xmlns:a16="http://schemas.microsoft.com/office/drawing/2014/main" id="{9FB5195F-692A-35F5-8238-9343C3D71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27</xdr:row>
      <xdr:rowOff>7620</xdr:rowOff>
    </xdr:from>
    <xdr:to>
      <xdr:col>8</xdr:col>
      <xdr:colOff>7620</xdr:colOff>
      <xdr:row>27</xdr:row>
      <xdr:rowOff>167640</xdr:rowOff>
    </xdr:to>
    <xdr:graphicFrame macro="">
      <xdr:nvGraphicFramePr>
        <xdr:cNvPr id="83" name="Chart 82">
          <a:extLst>
            <a:ext uri="{FF2B5EF4-FFF2-40B4-BE49-F238E27FC236}">
              <a16:creationId xmlns:a16="http://schemas.microsoft.com/office/drawing/2014/main" id="{E4481948-B616-B4B0-095E-704F6A27B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27</xdr:row>
      <xdr:rowOff>175260</xdr:rowOff>
    </xdr:from>
    <xdr:to>
      <xdr:col>8</xdr:col>
      <xdr:colOff>7620</xdr:colOff>
      <xdr:row>28</xdr:row>
      <xdr:rowOff>152400</xdr:rowOff>
    </xdr:to>
    <xdr:graphicFrame macro="">
      <xdr:nvGraphicFramePr>
        <xdr:cNvPr id="84" name="Chart 83">
          <a:extLst>
            <a:ext uri="{FF2B5EF4-FFF2-40B4-BE49-F238E27FC236}">
              <a16:creationId xmlns:a16="http://schemas.microsoft.com/office/drawing/2014/main" id="{1E02DA3D-A4FE-C3E8-6E4A-286D51739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29</xdr:row>
      <xdr:rowOff>175260</xdr:rowOff>
    </xdr:from>
    <xdr:to>
      <xdr:col>8</xdr:col>
      <xdr:colOff>7620</xdr:colOff>
      <xdr:row>31</xdr:row>
      <xdr:rowOff>7620</xdr:rowOff>
    </xdr:to>
    <xdr:graphicFrame macro="">
      <xdr:nvGraphicFramePr>
        <xdr:cNvPr id="86" name="Chart 85">
          <a:extLst>
            <a:ext uri="{FF2B5EF4-FFF2-40B4-BE49-F238E27FC236}">
              <a16:creationId xmlns:a16="http://schemas.microsoft.com/office/drawing/2014/main" id="{E86A26BC-536A-92D6-1240-8FF2CBB91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31</xdr:row>
      <xdr:rowOff>7620</xdr:rowOff>
    </xdr:from>
    <xdr:to>
      <xdr:col>8</xdr:col>
      <xdr:colOff>7620</xdr:colOff>
      <xdr:row>32</xdr:row>
      <xdr:rowOff>15240</xdr:rowOff>
    </xdr:to>
    <xdr:graphicFrame macro="">
      <xdr:nvGraphicFramePr>
        <xdr:cNvPr id="87" name="Chart 86">
          <a:extLst>
            <a:ext uri="{FF2B5EF4-FFF2-40B4-BE49-F238E27FC236}">
              <a16:creationId xmlns:a16="http://schemas.microsoft.com/office/drawing/2014/main" id="{76AF5E58-A365-EFD4-96F4-CED0E11A2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33</xdr:row>
      <xdr:rowOff>7620</xdr:rowOff>
    </xdr:from>
    <xdr:to>
      <xdr:col>8</xdr:col>
      <xdr:colOff>7620</xdr:colOff>
      <xdr:row>33</xdr:row>
      <xdr:rowOff>160020</xdr:rowOff>
    </xdr:to>
    <xdr:graphicFrame macro="">
      <xdr:nvGraphicFramePr>
        <xdr:cNvPr id="90" name="Chart 89">
          <a:extLst>
            <a:ext uri="{FF2B5EF4-FFF2-40B4-BE49-F238E27FC236}">
              <a16:creationId xmlns:a16="http://schemas.microsoft.com/office/drawing/2014/main" id="{3FA07941-DFFF-66C2-AF0D-9420DA764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33</xdr:row>
      <xdr:rowOff>160020</xdr:rowOff>
    </xdr:from>
    <xdr:to>
      <xdr:col>8</xdr:col>
      <xdr:colOff>7620</xdr:colOff>
      <xdr:row>34</xdr:row>
      <xdr:rowOff>152400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F92668D6-1B2E-3A40-665F-A0817EB6C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7620</xdr:colOff>
      <xdr:row>35</xdr:row>
      <xdr:rowOff>160020</xdr:rowOff>
    </xdr:to>
    <xdr:graphicFrame macro="">
      <xdr:nvGraphicFramePr>
        <xdr:cNvPr id="92" name="Chart 91">
          <a:extLst>
            <a:ext uri="{FF2B5EF4-FFF2-40B4-BE49-F238E27FC236}">
              <a16:creationId xmlns:a16="http://schemas.microsoft.com/office/drawing/2014/main" id="{47AEB445-7FC6-0DA4-0F59-AD4165918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36</xdr:row>
      <xdr:rowOff>15240</xdr:rowOff>
    </xdr:from>
    <xdr:to>
      <xdr:col>8</xdr:col>
      <xdr:colOff>7620</xdr:colOff>
      <xdr:row>36</xdr:row>
      <xdr:rowOff>167640</xdr:rowOff>
    </xdr:to>
    <xdr:graphicFrame macro="">
      <xdr:nvGraphicFramePr>
        <xdr:cNvPr id="93" name="Chart 92">
          <a:extLst>
            <a:ext uri="{FF2B5EF4-FFF2-40B4-BE49-F238E27FC236}">
              <a16:creationId xmlns:a16="http://schemas.microsoft.com/office/drawing/2014/main" id="{DEA81048-A6B6-9B0E-C689-763D476F9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38</xdr:row>
      <xdr:rowOff>0</xdr:rowOff>
    </xdr:from>
    <xdr:to>
      <xdr:col>8</xdr:col>
      <xdr:colOff>7620</xdr:colOff>
      <xdr:row>38</xdr:row>
      <xdr:rowOff>160020</xdr:rowOff>
    </xdr:to>
    <xdr:graphicFrame macro="">
      <xdr:nvGraphicFramePr>
        <xdr:cNvPr id="97" name="Chart 96">
          <a:extLst>
            <a:ext uri="{FF2B5EF4-FFF2-40B4-BE49-F238E27FC236}">
              <a16:creationId xmlns:a16="http://schemas.microsoft.com/office/drawing/2014/main" id="{8CAC00A1-35C2-210B-2FC3-C450A6A94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39</xdr:row>
      <xdr:rowOff>0</xdr:rowOff>
    </xdr:from>
    <xdr:to>
      <xdr:col>8</xdr:col>
      <xdr:colOff>7620</xdr:colOff>
      <xdr:row>39</xdr:row>
      <xdr:rowOff>160020</xdr:rowOff>
    </xdr:to>
    <xdr:graphicFrame macro="">
      <xdr:nvGraphicFramePr>
        <xdr:cNvPr id="98" name="Chart 97">
          <a:extLst>
            <a:ext uri="{FF2B5EF4-FFF2-40B4-BE49-F238E27FC236}">
              <a16:creationId xmlns:a16="http://schemas.microsoft.com/office/drawing/2014/main" id="{B501FEEE-7804-077B-146C-49A3EB8AD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</xdr:col>
      <xdr:colOff>0</xdr:colOff>
      <xdr:row>40</xdr:row>
      <xdr:rowOff>15240</xdr:rowOff>
    </xdr:from>
    <xdr:to>
      <xdr:col>8</xdr:col>
      <xdr:colOff>7620</xdr:colOff>
      <xdr:row>41</xdr:row>
      <xdr:rowOff>0</xdr:rowOff>
    </xdr:to>
    <xdr:graphicFrame macro="">
      <xdr:nvGraphicFramePr>
        <xdr:cNvPr id="99" name="Chart 98">
          <a:extLst>
            <a:ext uri="{FF2B5EF4-FFF2-40B4-BE49-F238E27FC236}">
              <a16:creationId xmlns:a16="http://schemas.microsoft.com/office/drawing/2014/main" id="{C56BADE8-0C66-0643-596E-355CE9D71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</xdr:col>
      <xdr:colOff>739140</xdr:colOff>
      <xdr:row>14</xdr:row>
      <xdr:rowOff>22860</xdr:rowOff>
    </xdr:from>
    <xdr:to>
      <xdr:col>8</xdr:col>
      <xdr:colOff>0</xdr:colOff>
      <xdr:row>15</xdr:row>
      <xdr:rowOff>15240</xdr:rowOff>
    </xdr:to>
    <xdr:graphicFrame macro="">
      <xdr:nvGraphicFramePr>
        <xdr:cNvPr id="102" name="Chart 101">
          <a:extLst>
            <a:ext uri="{FF2B5EF4-FFF2-40B4-BE49-F238E27FC236}">
              <a16:creationId xmlns:a16="http://schemas.microsoft.com/office/drawing/2014/main" id="{B7EE2C55-D3BC-8CBC-DE4D-0D0F5FD00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</xdr:col>
      <xdr:colOff>0</xdr:colOff>
      <xdr:row>29</xdr:row>
      <xdr:rowOff>22860</xdr:rowOff>
    </xdr:from>
    <xdr:to>
      <xdr:col>8</xdr:col>
      <xdr:colOff>7620</xdr:colOff>
      <xdr:row>30</xdr:row>
      <xdr:rowOff>0</xdr:rowOff>
    </xdr:to>
    <xdr:graphicFrame macro="">
      <xdr:nvGraphicFramePr>
        <xdr:cNvPr id="103" name="Chart 102">
          <a:extLst>
            <a:ext uri="{FF2B5EF4-FFF2-40B4-BE49-F238E27FC236}">
              <a16:creationId xmlns:a16="http://schemas.microsoft.com/office/drawing/2014/main" id="{476C1E4B-5ACF-2143-3D8D-B262AAAB1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1760220</xdr:colOff>
      <xdr:row>0</xdr:row>
      <xdr:rowOff>68580</xdr:rowOff>
    </xdr:from>
    <xdr:to>
      <xdr:col>12</xdr:col>
      <xdr:colOff>1036320</xdr:colOff>
      <xdr:row>12</xdr:row>
      <xdr:rowOff>156210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22BD8D-DD8E-2025-6A55-00530B1BB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5234-7D37-41E0-99C9-878C36778DFC}">
  <dimension ref="B2:J21"/>
  <sheetViews>
    <sheetView showGridLines="0" workbookViewId="0">
      <selection activeCell="H1" sqref="H1"/>
    </sheetView>
  </sheetViews>
  <sheetFormatPr defaultRowHeight="14.4" x14ac:dyDescent="0.3"/>
  <cols>
    <col min="2" max="2" width="22.6640625" bestFit="1" customWidth="1"/>
  </cols>
  <sheetData>
    <row r="2" spans="2:10" ht="15" thickBot="1" x14ac:dyDescent="0.35">
      <c r="B2" s="7"/>
      <c r="C2" s="7"/>
      <c r="D2" s="7"/>
      <c r="E2" s="7"/>
      <c r="F2" s="7"/>
      <c r="G2" s="7"/>
      <c r="H2" s="7"/>
      <c r="I2" s="7"/>
      <c r="J2" s="7"/>
    </row>
    <row r="4" spans="2:10" x14ac:dyDescent="0.3">
      <c r="B4" t="s">
        <v>2</v>
      </c>
    </row>
    <row r="10" spans="2:10" ht="23.4" x14ac:dyDescent="0.45">
      <c r="B10" s="4" t="s">
        <v>5</v>
      </c>
    </row>
    <row r="11" spans="2:10" x14ac:dyDescent="0.3">
      <c r="B11" s="3">
        <f ca="1">TODAY()</f>
        <v>45703</v>
      </c>
    </row>
    <row r="16" spans="2:10" x14ac:dyDescent="0.3">
      <c r="B16" t="s">
        <v>3</v>
      </c>
    </row>
    <row r="21" spans="2:10" ht="15" thickBot="1" x14ac:dyDescent="0.35">
      <c r="B21" s="5"/>
      <c r="C21" s="6"/>
      <c r="D21" s="6"/>
      <c r="E21" s="6"/>
      <c r="F21" s="6"/>
      <c r="G21" s="6"/>
      <c r="H21" s="6"/>
      <c r="I21" s="6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2AB6-D915-473A-A990-ECCF9C73AB24}">
  <dimension ref="B5:J7"/>
  <sheetViews>
    <sheetView showGridLines="0" workbookViewId="0">
      <selection activeCell="E18" sqref="E18"/>
    </sheetView>
  </sheetViews>
  <sheetFormatPr defaultRowHeight="14.4" x14ac:dyDescent="0.3"/>
  <sheetData>
    <row r="5" spans="2:10" x14ac:dyDescent="0.3">
      <c r="B5" s="2" t="s">
        <v>0</v>
      </c>
      <c r="C5" s="1"/>
      <c r="D5" s="1"/>
      <c r="E5" s="1"/>
      <c r="F5" s="1"/>
      <c r="G5" s="1"/>
      <c r="H5" s="1"/>
      <c r="I5" s="1"/>
      <c r="J5" s="1"/>
    </row>
    <row r="7" spans="2:10" x14ac:dyDescent="0.3">
      <c r="B7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F670-8F49-47EC-9686-16F60B1AD28C}">
  <dimension ref="A2:H131"/>
  <sheetViews>
    <sheetView showGridLines="0" workbookViewId="0">
      <pane ySplit="3" topLeftCell="A58" activePane="bottomLeft" state="frozen"/>
      <selection activeCell="H16" sqref="H16"/>
      <selection pane="bottomLeft" activeCell="C11" sqref="C11"/>
    </sheetView>
  </sheetViews>
  <sheetFormatPr defaultRowHeight="14.4" x14ac:dyDescent="0.3"/>
  <cols>
    <col min="1" max="1" width="1.88671875" customWidth="1"/>
    <col min="2" max="2" width="46.21875" bestFit="1" customWidth="1"/>
    <col min="3" max="8" width="19.21875" bestFit="1" customWidth="1"/>
  </cols>
  <sheetData>
    <row r="2" spans="1:8" x14ac:dyDescent="0.3">
      <c r="B2" s="165" t="str">
        <f>"Historical Financial Statement"&amp;"-"&amp;'Data Sheet'!B2</f>
        <v>Historical Financial Statement-Walmart Inc.</v>
      </c>
      <c r="C2" s="165"/>
      <c r="D2" s="165"/>
      <c r="E2" s="165"/>
      <c r="F2" s="165"/>
      <c r="G2" s="165"/>
      <c r="H2" s="165"/>
    </row>
    <row r="3" spans="1:8" x14ac:dyDescent="0.3">
      <c r="B3" s="14" t="s">
        <v>236</v>
      </c>
      <c r="C3" s="144">
        <f>'Data Sheet'!C9</f>
        <v>43861</v>
      </c>
      <c r="D3" s="144">
        <f>'Data Sheet'!D9</f>
        <v>44227</v>
      </c>
      <c r="E3" s="144">
        <f>'Data Sheet'!E9</f>
        <v>44592</v>
      </c>
      <c r="F3" s="144">
        <f>'Data Sheet'!F9</f>
        <v>44957</v>
      </c>
      <c r="G3" s="144">
        <f>'Data Sheet'!G9</f>
        <v>45322</v>
      </c>
      <c r="H3" s="144" t="str">
        <f>'Data Sheet'!H9</f>
        <v>TTM</v>
      </c>
    </row>
    <row r="5" spans="1:8" x14ac:dyDescent="0.3">
      <c r="A5" t="s">
        <v>237</v>
      </c>
      <c r="B5" s="15" t="s">
        <v>238</v>
      </c>
      <c r="C5" s="15"/>
      <c r="D5" s="15"/>
      <c r="E5" s="15"/>
      <c r="F5" s="15"/>
      <c r="G5" s="15"/>
      <c r="H5" s="15"/>
    </row>
    <row r="6" spans="1:8" x14ac:dyDescent="0.3">
      <c r="B6" t="s">
        <v>239</v>
      </c>
      <c r="C6" s="16">
        <f>'Data Sheet'!C12</f>
        <v>523964000000</v>
      </c>
      <c r="D6" s="16">
        <f>'Data Sheet'!D12</f>
        <v>559151000000</v>
      </c>
      <c r="E6" s="16">
        <f>'Data Sheet'!E12</f>
        <v>572754000000</v>
      </c>
      <c r="F6" s="16">
        <f>'Data Sheet'!F12</f>
        <v>611289000000</v>
      </c>
      <c r="G6" s="16">
        <f>'Data Sheet'!G12</f>
        <v>648125000000</v>
      </c>
      <c r="H6" s="16">
        <f>'Data Sheet'!H12</f>
        <v>673819000000</v>
      </c>
    </row>
    <row r="7" spans="1:8" x14ac:dyDescent="0.3">
      <c r="B7" s="19" t="s">
        <v>248</v>
      </c>
      <c r="C7" s="22">
        <v>0</v>
      </c>
      <c r="D7" s="20">
        <f>(D6-C6)/C6</f>
        <v>6.7155377086975443E-2</v>
      </c>
      <c r="E7" s="20">
        <f t="shared" ref="E7:H7" si="0">(E6-D6)/D6</f>
        <v>2.4327954345069579E-2</v>
      </c>
      <c r="F7" s="20">
        <f t="shared" si="0"/>
        <v>6.7280193590965751E-2</v>
      </c>
      <c r="G7" s="20">
        <f t="shared" si="0"/>
        <v>6.0259549901928548E-2</v>
      </c>
      <c r="H7" s="20">
        <f t="shared" si="0"/>
        <v>3.9643587270973966E-2</v>
      </c>
    </row>
    <row r="8" spans="1:8" x14ac:dyDescent="0.3">
      <c r="C8" s="16"/>
      <c r="D8" s="16"/>
      <c r="E8" s="16"/>
      <c r="F8" s="16"/>
      <c r="G8" s="16"/>
      <c r="H8" s="16"/>
    </row>
    <row r="9" spans="1:8" x14ac:dyDescent="0.3">
      <c r="B9" t="s">
        <v>240</v>
      </c>
      <c r="C9" s="16">
        <f>'Data Sheet'!C14*-1</f>
        <v>394605000000</v>
      </c>
      <c r="D9" s="16">
        <f>'Data Sheet'!D14*-1</f>
        <v>420315000000</v>
      </c>
      <c r="E9" s="16">
        <f>'Data Sheet'!E14*-1</f>
        <v>429000000000</v>
      </c>
      <c r="F9" s="16">
        <f>'Data Sheet'!F14*-1</f>
        <v>463721000000</v>
      </c>
      <c r="G9" s="16">
        <f>'Data Sheet'!G14*-1</f>
        <v>490142000000</v>
      </c>
      <c r="H9" s="16">
        <f>'Data Sheet'!H14*-1</f>
        <v>507406000000</v>
      </c>
    </row>
    <row r="10" spans="1:8" x14ac:dyDescent="0.3">
      <c r="B10" s="19" t="s">
        <v>249</v>
      </c>
      <c r="C10" s="20">
        <f>C9/$C$6</f>
        <v>0.75311471780504002</v>
      </c>
      <c r="D10" s="20">
        <f t="shared" ref="D10:H10" si="1">D9/$C$6</f>
        <v>0.8021829744028216</v>
      </c>
      <c r="E10" s="20">
        <f t="shared" si="1"/>
        <v>0.81875854066309894</v>
      </c>
      <c r="F10" s="20">
        <f t="shared" si="1"/>
        <v>0.88502454367093919</v>
      </c>
      <c r="G10" s="20">
        <f t="shared" si="1"/>
        <v>0.93544976372422528</v>
      </c>
      <c r="H10" s="20">
        <f t="shared" si="1"/>
        <v>0.96839859226969793</v>
      </c>
    </row>
    <row r="11" spans="1:8" x14ac:dyDescent="0.3">
      <c r="C11" s="16"/>
      <c r="D11" s="16"/>
      <c r="E11" s="16"/>
      <c r="F11" s="16"/>
      <c r="G11" s="16"/>
      <c r="H11" s="16"/>
    </row>
    <row r="12" spans="1:8" x14ac:dyDescent="0.3">
      <c r="B12" s="17" t="s">
        <v>13</v>
      </c>
      <c r="C12" s="18">
        <f>C6-C9</f>
        <v>129359000000</v>
      </c>
      <c r="D12" s="18">
        <f t="shared" ref="D12:H12" si="2">D6-D9</f>
        <v>138836000000</v>
      </c>
      <c r="E12" s="18">
        <f t="shared" si="2"/>
        <v>143754000000</v>
      </c>
      <c r="F12" s="18">
        <f t="shared" si="2"/>
        <v>147568000000</v>
      </c>
      <c r="G12" s="18">
        <f t="shared" si="2"/>
        <v>157983000000</v>
      </c>
      <c r="H12" s="18">
        <f t="shared" si="2"/>
        <v>166413000000</v>
      </c>
    </row>
    <row r="13" spans="1:8" x14ac:dyDescent="0.3">
      <c r="B13" s="19" t="s">
        <v>250</v>
      </c>
      <c r="C13" s="20">
        <f>C12/$C$6</f>
        <v>0.24688528219495995</v>
      </c>
      <c r="D13" s="20">
        <f t="shared" ref="D13:H13" si="3">D12/$C$6</f>
        <v>0.2649724026841539</v>
      </c>
      <c r="E13" s="20">
        <f t="shared" si="3"/>
        <v>0.2743585437167439</v>
      </c>
      <c r="F13" s="20">
        <f t="shared" si="3"/>
        <v>0.28163766976357152</v>
      </c>
      <c r="G13" s="20">
        <f t="shared" si="3"/>
        <v>0.30151498957943673</v>
      </c>
      <c r="H13" s="20">
        <f t="shared" si="3"/>
        <v>0.31760388118267668</v>
      </c>
    </row>
    <row r="14" spans="1:8" x14ac:dyDescent="0.3">
      <c r="C14" s="16"/>
      <c r="D14" s="16"/>
      <c r="E14" s="16"/>
      <c r="F14" s="16"/>
      <c r="G14" s="16"/>
      <c r="H14" s="16"/>
    </row>
    <row r="15" spans="1:8" x14ac:dyDescent="0.3">
      <c r="B15" t="s">
        <v>241</v>
      </c>
      <c r="C15" s="16">
        <f>'Data Sheet'!C16*-1</f>
        <v>108791000000</v>
      </c>
      <c r="D15" s="16">
        <f>'Data Sheet'!D16*-1</f>
        <v>116288000000</v>
      </c>
      <c r="E15" s="16">
        <f>'Data Sheet'!E16*-1</f>
        <v>117812000000</v>
      </c>
      <c r="F15" s="16">
        <f>'Data Sheet'!F16*-1</f>
        <v>127140000000</v>
      </c>
      <c r="G15" s="16">
        <f>'Data Sheet'!G16*-1</f>
        <v>130971000000</v>
      </c>
      <c r="H15" s="16">
        <f>'Data Sheet'!H16*-1</f>
        <v>137670000000</v>
      </c>
    </row>
    <row r="16" spans="1:8" x14ac:dyDescent="0.3">
      <c r="B16" s="19" t="s">
        <v>251</v>
      </c>
      <c r="C16" s="20">
        <f>C15/$C$6</f>
        <v>0.20763067691673473</v>
      </c>
      <c r="D16" s="20">
        <f t="shared" ref="D16" si="4">D15/$C$6</f>
        <v>0.22193891183363743</v>
      </c>
      <c r="E16" s="20">
        <f t="shared" ref="E16" si="5">E15/$C$6</f>
        <v>0.22484750860746158</v>
      </c>
      <c r="F16" s="20">
        <f t="shared" ref="F16" si="6">F15/$C$6</f>
        <v>0.24265025841470025</v>
      </c>
      <c r="G16" s="20">
        <f t="shared" ref="G16" si="7">G15/$C$6</f>
        <v>0.24996182943866371</v>
      </c>
      <c r="H16" s="20">
        <f t="shared" ref="H16" si="8">H15/$C$6</f>
        <v>0.26274705895824901</v>
      </c>
    </row>
    <row r="17" spans="2:8" x14ac:dyDescent="0.3">
      <c r="C17" s="16"/>
      <c r="D17" s="16"/>
      <c r="E17" s="16"/>
      <c r="F17" s="16"/>
      <c r="G17" s="16"/>
      <c r="H17" s="16"/>
    </row>
    <row r="18" spans="2:8" x14ac:dyDescent="0.3">
      <c r="B18" t="s">
        <v>242</v>
      </c>
      <c r="C18" s="16">
        <f>C12-C15</f>
        <v>20568000000</v>
      </c>
      <c r="D18" s="16">
        <f t="shared" ref="D18:H18" si="9">D12-D15</f>
        <v>22548000000</v>
      </c>
      <c r="E18" s="16">
        <f t="shared" si="9"/>
        <v>25942000000</v>
      </c>
      <c r="F18" s="16">
        <f t="shared" si="9"/>
        <v>20428000000</v>
      </c>
      <c r="G18" s="16">
        <f t="shared" si="9"/>
        <v>27012000000</v>
      </c>
      <c r="H18" s="16">
        <f t="shared" si="9"/>
        <v>28743000000</v>
      </c>
    </row>
    <row r="19" spans="2:8" x14ac:dyDescent="0.3">
      <c r="B19" s="19" t="s">
        <v>252</v>
      </c>
      <c r="C19" s="20">
        <f>C18/$C$6</f>
        <v>3.9254605278225219E-2</v>
      </c>
      <c r="D19" s="20">
        <f t="shared" ref="D19" si="10">D18/$C$6</f>
        <v>4.303349085051645E-2</v>
      </c>
      <c r="E19" s="20">
        <f t="shared" ref="E19" si="11">E18/$C$6</f>
        <v>4.9511035109282314E-2</v>
      </c>
      <c r="F19" s="20">
        <f t="shared" ref="F19" si="12">F18/$C$6</f>
        <v>3.8987411348871299E-2</v>
      </c>
      <c r="G19" s="20">
        <f t="shared" ref="G19" si="13">G18/$C$6</f>
        <v>5.1553160140773033E-2</v>
      </c>
      <c r="H19" s="20">
        <f t="shared" ref="H19" si="14">H18/$C$6</f>
        <v>5.4856822224427636E-2</v>
      </c>
    </row>
    <row r="20" spans="2:8" x14ac:dyDescent="0.3">
      <c r="C20" s="16"/>
      <c r="D20" s="16"/>
      <c r="E20" s="16"/>
      <c r="F20" s="16"/>
      <c r="G20" s="16"/>
      <c r="H20" s="16"/>
    </row>
    <row r="21" spans="2:8" x14ac:dyDescent="0.3">
      <c r="B21" t="s">
        <v>243</v>
      </c>
      <c r="C21" s="16">
        <f>SUM('Data Sheet'!C21:C22)*-1</f>
        <v>2410000000</v>
      </c>
      <c r="D21" s="16">
        <f>SUM('Data Sheet'!D21:D22)*-1</f>
        <v>2194000000</v>
      </c>
      <c r="E21" s="16">
        <f>SUM('Data Sheet'!E21:E22)*-1</f>
        <v>1836000000</v>
      </c>
      <c r="F21" s="16">
        <f>SUM('Data Sheet'!F21:F22)*-1</f>
        <v>1874000000</v>
      </c>
      <c r="G21" s="16">
        <f>SUM('Data Sheet'!G21:G22)*-1</f>
        <v>2137000000</v>
      </c>
      <c r="H21" s="16">
        <f>SUM('Data Sheet'!H21:H22)*-1</f>
        <v>2192000000</v>
      </c>
    </row>
    <row r="22" spans="2:8" x14ac:dyDescent="0.3">
      <c r="B22" s="19" t="s">
        <v>253</v>
      </c>
      <c r="C22" s="20">
        <f>C21/$C$6</f>
        <v>4.5995526410211388E-3</v>
      </c>
      <c r="D22" s="20">
        <f t="shared" ref="D22" si="15">D21/$C$6</f>
        <v>4.1873105785893688E-3</v>
      </c>
      <c r="E22" s="20">
        <f t="shared" ref="E22" si="16">E21/$C$6</f>
        <v>3.5040575306700462E-3</v>
      </c>
      <c r="F22" s="20">
        <f t="shared" ref="F22" si="17">F21/$C$6</f>
        <v>3.5765815972089686E-3</v>
      </c>
      <c r="G22" s="20">
        <f t="shared" ref="G22" si="18">G21/$C$6</f>
        <v>4.0785244787809854E-3</v>
      </c>
      <c r="H22" s="20">
        <f t="shared" ref="H22" si="19">H21/$C$6</f>
        <v>4.1834935224557409E-3</v>
      </c>
    </row>
    <row r="23" spans="2:8" x14ac:dyDescent="0.3">
      <c r="C23" s="16"/>
      <c r="D23" s="16"/>
      <c r="E23" s="16"/>
      <c r="F23" s="16"/>
      <c r="G23" s="16"/>
      <c r="H23" s="16"/>
    </row>
    <row r="24" spans="2:8" x14ac:dyDescent="0.3">
      <c r="B24" t="s">
        <v>244</v>
      </c>
      <c r="C24" s="16">
        <f>'Data Sheet'!C44*-1</f>
        <v>11000000000</v>
      </c>
      <c r="D24" s="16">
        <f>'Data Sheet'!D44*-1</f>
        <v>11200000000</v>
      </c>
      <c r="E24" s="16">
        <f>'Data Sheet'!E44*-1</f>
        <v>10700000000</v>
      </c>
      <c r="F24" s="16">
        <f>'Data Sheet'!F44*-1</f>
        <v>0</v>
      </c>
      <c r="G24" s="16">
        <f>'Data Sheet'!G44*-1</f>
        <v>11900000000</v>
      </c>
      <c r="H24" s="16">
        <f>'Data Sheet'!H44*-1</f>
        <v>11900000000</v>
      </c>
    </row>
    <row r="25" spans="2:8" x14ac:dyDescent="0.3">
      <c r="B25" s="19" t="s">
        <v>254</v>
      </c>
      <c r="C25" s="20">
        <f>C24/$C$6</f>
        <v>2.0993808734951255E-2</v>
      </c>
      <c r="D25" s="20">
        <f t="shared" ref="D25" si="20">D24/$C$6</f>
        <v>2.1375514348314008E-2</v>
      </c>
      <c r="E25" s="20">
        <f t="shared" ref="E25" si="21">E24/$C$6</f>
        <v>2.042125031490713E-2</v>
      </c>
      <c r="F25" s="20">
        <f t="shared" ref="F25" si="22">F24/$C$6</f>
        <v>0</v>
      </c>
      <c r="G25" s="20">
        <f t="shared" ref="G25" si="23">G24/$C$6</f>
        <v>2.2711483995083631E-2</v>
      </c>
      <c r="H25" s="20">
        <f t="shared" ref="H25" si="24">H24/$C$6</f>
        <v>2.2711483995083631E-2</v>
      </c>
    </row>
    <row r="26" spans="2:8" x14ac:dyDescent="0.3">
      <c r="C26" s="16"/>
      <c r="D26" s="16"/>
      <c r="E26" s="16"/>
      <c r="F26" s="16"/>
      <c r="G26" s="16"/>
      <c r="H26" s="16"/>
    </row>
    <row r="27" spans="2:8" x14ac:dyDescent="0.3">
      <c r="B27" s="17" t="s">
        <v>245</v>
      </c>
      <c r="C27" s="18">
        <f>C18-SUM(C24+C21)</f>
        <v>7158000000</v>
      </c>
      <c r="D27" s="18">
        <f t="shared" ref="D27:H27" si="25">D18-SUM(D24+D21)</f>
        <v>9154000000</v>
      </c>
      <c r="E27" s="18">
        <f t="shared" si="25"/>
        <v>13406000000</v>
      </c>
      <c r="F27" s="18">
        <f t="shared" si="25"/>
        <v>18554000000</v>
      </c>
      <c r="G27" s="18">
        <f t="shared" si="25"/>
        <v>12975000000</v>
      </c>
      <c r="H27" s="18">
        <f t="shared" si="25"/>
        <v>14651000000</v>
      </c>
    </row>
    <row r="28" spans="2:8" x14ac:dyDescent="0.3">
      <c r="B28" s="19" t="s">
        <v>255</v>
      </c>
      <c r="C28" s="20">
        <f>C27/$C$6</f>
        <v>1.3661243902252826E-2</v>
      </c>
      <c r="D28" s="20">
        <f t="shared" ref="D28" si="26">D27/$C$6</f>
        <v>1.7470665923613071E-2</v>
      </c>
      <c r="E28" s="20">
        <f t="shared" ref="E28" si="27">E27/$C$6</f>
        <v>2.558572726370514E-2</v>
      </c>
      <c r="F28" s="20">
        <f t="shared" ref="F28" si="28">F27/$C$6</f>
        <v>3.5410829751662327E-2</v>
      </c>
      <c r="G28" s="20">
        <f t="shared" ref="G28" si="29">G27/$C$6</f>
        <v>2.4763151666908415E-2</v>
      </c>
      <c r="H28" s="20">
        <f t="shared" ref="H28" si="30">H27/$C$6</f>
        <v>2.7961844706888259E-2</v>
      </c>
    </row>
    <row r="29" spans="2:8" x14ac:dyDescent="0.3">
      <c r="C29" s="16"/>
      <c r="D29" s="16"/>
      <c r="E29" s="16"/>
      <c r="F29" s="16"/>
      <c r="G29" s="16"/>
      <c r="H29" s="16"/>
    </row>
    <row r="30" spans="2:8" x14ac:dyDescent="0.3">
      <c r="B30" t="s">
        <v>246</v>
      </c>
      <c r="C30" s="16">
        <f>('Data Sheet'!C27-'Data Sheet'!C32)*-1</f>
        <v>4595000000</v>
      </c>
      <c r="D30" s="16">
        <f>'Data Sheet'!D27*-1</f>
        <v>6858000000</v>
      </c>
      <c r="E30" s="16">
        <f>'Data Sheet'!E27*-1</f>
        <v>4756000000</v>
      </c>
      <c r="F30" s="16">
        <f>'Data Sheet'!F27*-1</f>
        <v>5724000000</v>
      </c>
      <c r="G30" s="16">
        <f>'Data Sheet'!G27*-1</f>
        <v>5578000000</v>
      </c>
      <c r="H30" s="16">
        <f>'Data Sheet'!H27*-1</f>
        <v>6454000000</v>
      </c>
    </row>
    <row r="31" spans="2:8" x14ac:dyDescent="0.3">
      <c r="B31" s="19" t="s">
        <v>256</v>
      </c>
      <c r="C31" s="20">
        <f>C30/C27</f>
        <v>0.64193908913104214</v>
      </c>
      <c r="D31" s="20">
        <f t="shared" ref="D31:H31" si="31">D30/D27</f>
        <v>0.7491806860388901</v>
      </c>
      <c r="E31" s="20">
        <f t="shared" si="31"/>
        <v>0.35476652245263313</v>
      </c>
      <c r="F31" s="20">
        <f t="shared" si="31"/>
        <v>0.30850490460278107</v>
      </c>
      <c r="G31" s="20">
        <f t="shared" si="31"/>
        <v>0.42990366088631987</v>
      </c>
      <c r="H31" s="20">
        <f t="shared" si="31"/>
        <v>0.44051600573339705</v>
      </c>
    </row>
    <row r="32" spans="2:8" x14ac:dyDescent="0.3">
      <c r="C32" s="16"/>
      <c r="D32" s="16"/>
      <c r="E32" s="16"/>
      <c r="F32" s="16"/>
      <c r="G32" s="16"/>
      <c r="H32" s="16"/>
    </row>
    <row r="33" spans="1:8" x14ac:dyDescent="0.3">
      <c r="B33" s="17" t="s">
        <v>247</v>
      </c>
      <c r="C33" s="18">
        <f>C27-C30</f>
        <v>2563000000</v>
      </c>
      <c r="D33" s="18">
        <f t="shared" ref="D33:H33" si="32">D27-D30</f>
        <v>2296000000</v>
      </c>
      <c r="E33" s="18">
        <f t="shared" si="32"/>
        <v>8650000000</v>
      </c>
      <c r="F33" s="18">
        <f t="shared" si="32"/>
        <v>12830000000</v>
      </c>
      <c r="G33" s="18">
        <f t="shared" si="32"/>
        <v>7397000000</v>
      </c>
      <c r="H33" s="18">
        <f t="shared" si="32"/>
        <v>8197000000</v>
      </c>
    </row>
    <row r="34" spans="1:8" x14ac:dyDescent="0.3">
      <c r="B34" s="19" t="s">
        <v>257</v>
      </c>
      <c r="C34" s="20">
        <f>C33/$C$6</f>
        <v>4.8915574352436427E-3</v>
      </c>
      <c r="D34" s="20">
        <f t="shared" ref="D34" si="33">D33/$C$6</f>
        <v>4.3819804414043711E-3</v>
      </c>
      <c r="E34" s="20">
        <f t="shared" ref="E34" si="34">E33/$C$6</f>
        <v>1.6508767777938943E-2</v>
      </c>
      <c r="F34" s="20">
        <f t="shared" ref="F34" si="35">F33/$C$6</f>
        <v>2.448641509722042E-2</v>
      </c>
      <c r="G34" s="20">
        <f t="shared" ref="G34" si="36">G33/$C$6</f>
        <v>1.4117382110221312E-2</v>
      </c>
      <c r="H34" s="20">
        <f t="shared" ref="H34" si="37">H33/$C$6</f>
        <v>1.5644204563672312E-2</v>
      </c>
    </row>
    <row r="35" spans="1:8" x14ac:dyDescent="0.3">
      <c r="C35" s="16"/>
      <c r="D35" s="16"/>
      <c r="E35" s="16"/>
      <c r="F35" s="16"/>
      <c r="G35" s="16"/>
      <c r="H35" s="16"/>
    </row>
    <row r="36" spans="1:8" x14ac:dyDescent="0.3">
      <c r="B36" t="s">
        <v>258</v>
      </c>
      <c r="C36" s="23">
        <f>'Data Sheet'!C59</f>
        <v>8550000000</v>
      </c>
      <c r="D36" s="23">
        <f>'Data Sheet'!D59</f>
        <v>8493000000</v>
      </c>
      <c r="E36" s="23">
        <f>'Data Sheet'!E59</f>
        <v>8376000000</v>
      </c>
      <c r="F36" s="23">
        <f>'Data Sheet'!F59</f>
        <v>8172000000</v>
      </c>
      <c r="G36" s="23">
        <f>'Data Sheet'!G59</f>
        <v>8076999999</v>
      </c>
      <c r="H36" s="23">
        <f>'Data Sheet'!H59</f>
        <v>8049999999</v>
      </c>
    </row>
    <row r="37" spans="1:8" x14ac:dyDescent="0.3">
      <c r="C37" s="16"/>
      <c r="D37" s="16"/>
      <c r="E37" s="16"/>
      <c r="F37" s="16"/>
      <c r="G37" s="16"/>
      <c r="H37" s="16"/>
    </row>
    <row r="38" spans="1:8" x14ac:dyDescent="0.3">
      <c r="B38" t="s">
        <v>259</v>
      </c>
      <c r="C38" s="16">
        <f>C33/C36</f>
        <v>0.29976608187134501</v>
      </c>
      <c r="D38" s="16">
        <f t="shared" ref="D38:H38" si="38">D33/D36</f>
        <v>0.27034028023077827</v>
      </c>
      <c r="E38" s="16">
        <f t="shared" si="38"/>
        <v>1.0327125119388729</v>
      </c>
      <c r="F38" s="16">
        <f t="shared" si="38"/>
        <v>1.5699951052373959</v>
      </c>
      <c r="G38" s="16">
        <f t="shared" si="38"/>
        <v>0.91581032572933152</v>
      </c>
      <c r="H38" s="16">
        <f t="shared" si="38"/>
        <v>1.0182608696917095</v>
      </c>
    </row>
    <row r="39" spans="1:8" x14ac:dyDescent="0.3">
      <c r="B39" s="19" t="s">
        <v>260</v>
      </c>
      <c r="C39" s="20">
        <v>0</v>
      </c>
      <c r="D39" s="20">
        <f>(D38-C38)/C38</f>
        <v>-9.8162545465019763E-2</v>
      </c>
      <c r="E39" s="20">
        <f t="shared" ref="E39:H39" si="39">(E38-D38)/D38</f>
        <v>2.8200467612791149</v>
      </c>
      <c r="F39" s="20">
        <f t="shared" si="39"/>
        <v>0.52026346837785309</v>
      </c>
      <c r="G39" s="20">
        <f t="shared" si="39"/>
        <v>-0.41667950258300096</v>
      </c>
      <c r="H39" s="20">
        <f t="shared" si="39"/>
        <v>0.11186873644473114</v>
      </c>
    </row>
    <row r="40" spans="1:8" x14ac:dyDescent="0.3">
      <c r="C40" s="16"/>
      <c r="D40" s="16"/>
      <c r="E40" s="16"/>
      <c r="F40" s="16"/>
      <c r="G40" s="16"/>
      <c r="H40" s="16"/>
    </row>
    <row r="41" spans="1:8" x14ac:dyDescent="0.3">
      <c r="B41" t="s">
        <v>261</v>
      </c>
      <c r="C41" s="16">
        <f>-'Data Sheet'!C225/'Historical FS'!C36</f>
        <v>0.70736842105263154</v>
      </c>
      <c r="D41" s="16">
        <f>-'Data Sheet'!D225/'Historical FS'!D36</f>
        <v>0.72012245378547035</v>
      </c>
      <c r="E41" s="16">
        <f>-'Data Sheet'!E225/'Historical FS'!E36</f>
        <v>0.73447946513849094</v>
      </c>
      <c r="F41" s="16">
        <f>-'Data Sheet'!F225/'Historical FS'!F36</f>
        <v>0.7481644640234949</v>
      </c>
      <c r="G41" s="16">
        <f>-'Data Sheet'!G225/'Historical FS'!G36</f>
        <v>0.76018323644424701</v>
      </c>
      <c r="H41" s="16">
        <f>-'Data Sheet'!H225/'Historical FS'!H36</f>
        <v>0.81217391314436937</v>
      </c>
    </row>
    <row r="42" spans="1:8" x14ac:dyDescent="0.3">
      <c r="B42" s="19" t="s">
        <v>262</v>
      </c>
      <c r="C42" s="21">
        <f>C41/C38</f>
        <v>2.3597346859149435</v>
      </c>
      <c r="D42" s="21">
        <f t="shared" ref="D42:H42" si="40">D41/D38</f>
        <v>2.6637630662020908</v>
      </c>
      <c r="E42" s="21">
        <f t="shared" si="40"/>
        <v>0.71121387283237003</v>
      </c>
      <c r="F42" s="21">
        <f t="shared" si="40"/>
        <v>0.47653936087295407</v>
      </c>
      <c r="G42" s="21">
        <f t="shared" si="40"/>
        <v>0.83006624307151544</v>
      </c>
      <c r="H42" s="21">
        <f t="shared" si="40"/>
        <v>0.79760888129803575</v>
      </c>
    </row>
    <row r="43" spans="1:8" x14ac:dyDescent="0.3">
      <c r="C43" s="16"/>
      <c r="D43" s="16"/>
      <c r="E43" s="16"/>
      <c r="F43" s="16"/>
      <c r="G43" s="16"/>
      <c r="H43" s="16"/>
    </row>
    <row r="44" spans="1:8" x14ac:dyDescent="0.3">
      <c r="B44" t="s">
        <v>263</v>
      </c>
      <c r="C44" s="11">
        <f>IF(C38&gt;C41,1-C42,0)</f>
        <v>0</v>
      </c>
      <c r="D44" s="11">
        <f t="shared" ref="D44:H44" si="41">IF(D38&gt;D41,1-D42,0)</f>
        <v>0</v>
      </c>
      <c r="E44" s="11">
        <f t="shared" si="41"/>
        <v>0.28878612716762997</v>
      </c>
      <c r="F44" s="11">
        <f t="shared" si="41"/>
        <v>0.52346063912704599</v>
      </c>
      <c r="G44" s="11">
        <f t="shared" si="41"/>
        <v>0.16993375692848456</v>
      </c>
      <c r="H44" s="11">
        <f t="shared" si="41"/>
        <v>0.20239111870196425</v>
      </c>
    </row>
    <row r="45" spans="1:8" x14ac:dyDescent="0.3">
      <c r="C45" s="16"/>
      <c r="D45" s="16"/>
      <c r="E45" s="16"/>
      <c r="F45" s="16"/>
      <c r="G45" s="16"/>
      <c r="H45" s="16"/>
    </row>
    <row r="46" spans="1:8" x14ac:dyDescent="0.3">
      <c r="A46" t="s">
        <v>237</v>
      </c>
      <c r="B46" s="15" t="s">
        <v>264</v>
      </c>
      <c r="C46" s="15"/>
      <c r="D46" s="15"/>
      <c r="E46" s="15"/>
      <c r="F46" s="15"/>
      <c r="G46" s="15"/>
      <c r="H46" s="15"/>
    </row>
    <row r="47" spans="1:8" x14ac:dyDescent="0.3">
      <c r="B47" t="s">
        <v>266</v>
      </c>
      <c r="C47" s="16">
        <f>'Data Sheet'!C69</f>
        <v>9465000000</v>
      </c>
      <c r="D47" s="16">
        <f>'Data Sheet'!D69</f>
        <v>17741000000</v>
      </c>
      <c r="E47" s="16">
        <f>'Data Sheet'!E69</f>
        <v>14760000000</v>
      </c>
      <c r="F47" s="16">
        <f>'Data Sheet'!F69</f>
        <v>8625000000</v>
      </c>
      <c r="G47" s="16">
        <f>'Data Sheet'!G69</f>
        <v>9867000000</v>
      </c>
      <c r="H47" s="16"/>
    </row>
    <row r="48" spans="1:8" x14ac:dyDescent="0.3">
      <c r="B48" t="s">
        <v>267</v>
      </c>
      <c r="C48" s="16">
        <f>'Data Sheet'!C70</f>
        <v>44435000000</v>
      </c>
      <c r="D48" s="16">
        <f>'Data Sheet'!D70</f>
        <v>44949000000</v>
      </c>
      <c r="E48" s="16">
        <f>'Data Sheet'!E70</f>
        <v>56511000000</v>
      </c>
      <c r="F48" s="16">
        <f>'Data Sheet'!F70</f>
        <v>56576000000</v>
      </c>
      <c r="G48" s="16">
        <f>'Data Sheet'!G70</f>
        <v>54892000000</v>
      </c>
      <c r="H48" s="16"/>
    </row>
    <row r="49" spans="2:8" x14ac:dyDescent="0.3">
      <c r="B49" t="s">
        <v>268</v>
      </c>
      <c r="C49" s="16">
        <f>'Data Sheet'!C72</f>
        <v>6284000000</v>
      </c>
      <c r="D49" s="16">
        <f>'Data Sheet'!D72</f>
        <v>6516000000</v>
      </c>
      <c r="E49" s="16">
        <f>'Data Sheet'!E72</f>
        <v>8280000000</v>
      </c>
      <c r="F49" s="16">
        <f>'Data Sheet'!F72</f>
        <v>7933000000</v>
      </c>
      <c r="G49" s="16">
        <f>'Data Sheet'!G72</f>
        <v>8796000000</v>
      </c>
      <c r="H49" s="16"/>
    </row>
    <row r="50" spans="2:8" x14ac:dyDescent="0.3">
      <c r="B50" t="s">
        <v>269</v>
      </c>
      <c r="C50" s="16">
        <f>'Data Sheet'!C73</f>
        <v>1622000000</v>
      </c>
      <c r="D50" s="16">
        <f>'Data Sheet'!D73</f>
        <v>20861000000</v>
      </c>
      <c r="E50" s="16">
        <f>'Data Sheet'!E73</f>
        <v>1519000000</v>
      </c>
      <c r="F50" s="16">
        <f>'Data Sheet'!F73</f>
        <v>2521000000</v>
      </c>
      <c r="G50" s="16">
        <f>'Data Sheet'!G73</f>
        <v>3322000000</v>
      </c>
      <c r="H50" s="16"/>
    </row>
    <row r="51" spans="2:8" x14ac:dyDescent="0.3">
      <c r="B51" s="10" t="s">
        <v>265</v>
      </c>
      <c r="C51" s="24">
        <f>SUM(C47:C50)</f>
        <v>61806000000</v>
      </c>
      <c r="D51" s="24">
        <f t="shared" ref="D51:G51" si="42">SUM(D47:D50)</f>
        <v>90067000000</v>
      </c>
      <c r="E51" s="24">
        <f t="shared" si="42"/>
        <v>81070000000</v>
      </c>
      <c r="F51" s="24">
        <f t="shared" si="42"/>
        <v>75655000000</v>
      </c>
      <c r="G51" s="24">
        <f t="shared" si="42"/>
        <v>76877000000</v>
      </c>
      <c r="H51" s="24"/>
    </row>
    <row r="52" spans="2:8" x14ac:dyDescent="0.3">
      <c r="C52" s="16"/>
      <c r="D52" s="16"/>
      <c r="E52" s="16"/>
      <c r="F52" s="16"/>
      <c r="G52" s="16"/>
      <c r="H52" s="16"/>
    </row>
    <row r="53" spans="2:8" x14ac:dyDescent="0.3">
      <c r="B53" t="s">
        <v>279</v>
      </c>
      <c r="C53" s="16">
        <f>'Data Sheet'!C77</f>
        <v>216869000000</v>
      </c>
      <c r="D53" s="16">
        <f>'Data Sheet'!D77</f>
        <v>198218000000</v>
      </c>
      <c r="E53" s="16">
        <f>'Data Sheet'!E77</f>
        <v>207433000000</v>
      </c>
      <c r="F53" s="16">
        <f>'Data Sheet'!F77</f>
        <v>220844000000</v>
      </c>
      <c r="G53" s="16">
        <f>'Data Sheet'!G77</f>
        <v>239387000000</v>
      </c>
      <c r="H53" s="16"/>
    </row>
    <row r="54" spans="2:8" x14ac:dyDescent="0.3">
      <c r="B54" t="s">
        <v>280</v>
      </c>
      <c r="C54" s="16">
        <f>'Data Sheet'!C86</f>
        <v>-89820000000</v>
      </c>
      <c r="D54" s="16">
        <f>'Data Sheet'!D86</f>
        <v>-88370000000</v>
      </c>
      <c r="E54" s="16">
        <f>'Data Sheet'!E86</f>
        <v>-94809000000</v>
      </c>
      <c r="F54" s="16">
        <f>'Data Sheet'!F86</f>
        <v>-101610000000</v>
      </c>
      <c r="G54" s="16">
        <f>'Data Sheet'!G86</f>
        <v>-109049000000</v>
      </c>
      <c r="H54" s="16"/>
    </row>
    <row r="55" spans="2:8" x14ac:dyDescent="0.3">
      <c r="B55" t="s">
        <v>281</v>
      </c>
      <c r="C55" s="16">
        <f>'Data Sheet'!C91</f>
        <v>31073000000</v>
      </c>
      <c r="D55" s="16">
        <f>'Data Sheet'!D91</f>
        <v>28983000000</v>
      </c>
      <c r="E55" s="16">
        <f>'Data Sheet'!E91</f>
        <v>29014000000</v>
      </c>
      <c r="F55" s="16">
        <f>'Data Sheet'!F91</f>
        <v>28174000000</v>
      </c>
      <c r="G55" s="16">
        <f>'Data Sheet'!G91</f>
        <v>28113000000</v>
      </c>
      <c r="H55" s="16"/>
    </row>
    <row r="56" spans="2:8" x14ac:dyDescent="0.3">
      <c r="B56" t="s">
        <v>271</v>
      </c>
      <c r="C56" s="16">
        <f>'Data Sheet'!C93</f>
        <v>16567000000</v>
      </c>
      <c r="D56" s="16">
        <f>'Data Sheet'!D93</f>
        <v>23598000000</v>
      </c>
      <c r="E56" s="16">
        <f>'Data Sheet'!E93</f>
        <v>22152000000</v>
      </c>
      <c r="F56" s="16">
        <f>'Data Sheet'!F93</f>
        <v>20134000000</v>
      </c>
      <c r="G56" s="16">
        <f>'Data Sheet'!G93</f>
        <v>17071000000</v>
      </c>
      <c r="H56" s="16"/>
    </row>
    <row r="57" spans="2:8" x14ac:dyDescent="0.3">
      <c r="B57" s="10" t="s">
        <v>270</v>
      </c>
      <c r="C57" s="24">
        <f>SUM(C53:C56)</f>
        <v>174689000000</v>
      </c>
      <c r="D57" s="24">
        <f>SUM(D53:D56)</f>
        <v>162429000000</v>
      </c>
      <c r="E57" s="24">
        <f>SUM(E53:E56)</f>
        <v>163790000000</v>
      </c>
      <c r="F57" s="24">
        <f>SUM(F53:F56)</f>
        <v>167542000000</v>
      </c>
      <c r="G57" s="24">
        <f>SUM(G53:G56)</f>
        <v>175522000000</v>
      </c>
      <c r="H57" s="16"/>
    </row>
    <row r="58" spans="2:8" x14ac:dyDescent="0.3">
      <c r="C58" s="16"/>
      <c r="D58" s="16"/>
      <c r="E58" s="16"/>
      <c r="F58" s="16"/>
      <c r="G58" s="16"/>
      <c r="H58" s="16"/>
    </row>
    <row r="59" spans="2:8" x14ac:dyDescent="0.3">
      <c r="B59" s="17" t="s">
        <v>67</v>
      </c>
      <c r="C59" s="18">
        <f>C51+C57</f>
        <v>236495000000</v>
      </c>
      <c r="D59" s="18">
        <f t="shared" ref="D59:G59" si="43">D51+D57</f>
        <v>252496000000</v>
      </c>
      <c r="E59" s="18">
        <f t="shared" si="43"/>
        <v>244860000000</v>
      </c>
      <c r="F59" s="18">
        <f t="shared" si="43"/>
        <v>243197000000</v>
      </c>
      <c r="G59" s="18">
        <f t="shared" si="43"/>
        <v>252399000000</v>
      </c>
      <c r="H59" s="16"/>
    </row>
    <row r="60" spans="2:8" x14ac:dyDescent="0.3">
      <c r="C60" s="16"/>
      <c r="D60" s="16"/>
      <c r="E60" s="16"/>
      <c r="F60" s="16"/>
      <c r="G60" s="16"/>
      <c r="H60" s="16"/>
    </row>
    <row r="61" spans="2:8" x14ac:dyDescent="0.3">
      <c r="B61" t="s">
        <v>272</v>
      </c>
      <c r="C61" s="16">
        <f>'Data Sheet'!C97</f>
        <v>50292000000</v>
      </c>
      <c r="D61" s="16">
        <f>'Data Sheet'!D97</f>
        <v>52711000000</v>
      </c>
      <c r="E61" s="16">
        <f>'Data Sheet'!E97</f>
        <v>59359000000</v>
      </c>
      <c r="F61" s="16">
        <f>'Data Sheet'!F97</f>
        <v>57894000000</v>
      </c>
      <c r="G61" s="16">
        <f>'Data Sheet'!G97</f>
        <v>60578000000</v>
      </c>
      <c r="H61" s="16"/>
    </row>
    <row r="62" spans="2:8" x14ac:dyDescent="0.3">
      <c r="B62" t="s">
        <v>273</v>
      </c>
      <c r="C62" s="16">
        <f>'Data Sheet'!C100</f>
        <v>17267000000</v>
      </c>
      <c r="D62" s="16">
        <f>'Data Sheet'!D100</f>
        <v>19594000000</v>
      </c>
      <c r="E62" s="16">
        <f>'Data Sheet'!E100</f>
        <v>20233000000</v>
      </c>
      <c r="F62" s="16">
        <f>'Data Sheet'!F100</f>
        <v>25213000000</v>
      </c>
      <c r="G62" s="16">
        <f>'Data Sheet'!G100</f>
        <v>22636000000</v>
      </c>
      <c r="H62" s="16"/>
    </row>
    <row r="63" spans="2:8" x14ac:dyDescent="0.3">
      <c r="B63" t="s">
        <v>282</v>
      </c>
      <c r="C63" s="16">
        <f>'Data Sheet'!C102</f>
        <v>8241000000</v>
      </c>
      <c r="D63" s="16">
        <f>'Data Sheet'!D102</f>
        <v>5296000000</v>
      </c>
      <c r="E63" s="16">
        <f>'Data Sheet'!E102</f>
        <v>5207000000</v>
      </c>
      <c r="F63" s="16">
        <f>'Data Sheet'!F102</f>
        <v>6603000000</v>
      </c>
      <c r="G63" s="16">
        <f>'Data Sheet'!G102</f>
        <v>6537000000</v>
      </c>
      <c r="H63" s="16"/>
    </row>
    <row r="64" spans="2:8" x14ac:dyDescent="0.3">
      <c r="B64" t="s">
        <v>274</v>
      </c>
      <c r="C64" s="16">
        <f>'Data Sheet'!C107</f>
        <v>1990000000</v>
      </c>
      <c r="D64" s="16">
        <f>'Data Sheet'!D107</f>
        <v>2310000000</v>
      </c>
      <c r="E64" s="16">
        <f>'Data Sheet'!E107</f>
        <v>2559000000</v>
      </c>
      <c r="F64" s="16">
        <f>'Data Sheet'!F107</f>
        <v>2488000000</v>
      </c>
      <c r="G64" s="16">
        <f>'Data Sheet'!G107</f>
        <v>2664000000</v>
      </c>
      <c r="H64" s="16"/>
    </row>
    <row r="65" spans="1:8" x14ac:dyDescent="0.3">
      <c r="B65" t="s">
        <v>275</v>
      </c>
      <c r="C65" s="16">
        <f>'Data Sheet'!C109</f>
        <v>0</v>
      </c>
      <c r="D65" s="16">
        <f>'Data Sheet'!D109</f>
        <v>12734000000</v>
      </c>
      <c r="E65" s="16">
        <f>'Data Sheet'!E109</f>
        <v>21000000</v>
      </c>
      <c r="F65" s="16">
        <f>'Data Sheet'!F109</f>
        <v>0</v>
      </c>
      <c r="G65" s="16">
        <f>'Data Sheet'!G109</f>
        <v>0</v>
      </c>
      <c r="H65" s="16"/>
    </row>
    <row r="66" spans="1:8" x14ac:dyDescent="0.3">
      <c r="B66" s="10" t="s">
        <v>277</v>
      </c>
      <c r="C66" s="24">
        <f>SUM(C61:C65)</f>
        <v>77790000000</v>
      </c>
      <c r="D66" s="24">
        <f>SUM(D61:D65)</f>
        <v>92645000000</v>
      </c>
      <c r="E66" s="24">
        <f>SUM(E61:E65)</f>
        <v>87379000000</v>
      </c>
      <c r="F66" s="24">
        <f>SUM(F61:F65)</f>
        <v>92198000000</v>
      </c>
      <c r="G66" s="24">
        <f>SUM(G61:G65)</f>
        <v>92415000000</v>
      </c>
      <c r="H66" s="16"/>
    </row>
    <row r="67" spans="1:8" x14ac:dyDescent="0.3">
      <c r="B67" s="10"/>
      <c r="C67" s="24"/>
      <c r="D67" s="24"/>
      <c r="E67" s="24"/>
      <c r="F67" s="24"/>
      <c r="G67" s="24"/>
      <c r="H67" s="16"/>
    </row>
    <row r="68" spans="1:8" x14ac:dyDescent="0.3">
      <c r="B68" t="s">
        <v>288</v>
      </c>
      <c r="C68" s="16">
        <f>'Data Sheet'!C119</f>
        <v>3531000000</v>
      </c>
      <c r="D68" s="16">
        <f>'Data Sheet'!D119</f>
        <v>3928000000</v>
      </c>
      <c r="E68" s="16">
        <f>'Data Sheet'!E119</f>
        <v>5115000000</v>
      </c>
      <c r="F68" s="16">
        <f>'Data Sheet'!F119</f>
        <v>5238000000</v>
      </c>
      <c r="G68" s="16">
        <f>'Data Sheet'!G119</f>
        <v>5349000000</v>
      </c>
      <c r="H68" s="16"/>
    </row>
    <row r="69" spans="1:8" x14ac:dyDescent="0.3">
      <c r="B69" t="s">
        <v>285</v>
      </c>
      <c r="C69" s="16">
        <f>'Data Sheet'!C122</f>
        <v>83943000000</v>
      </c>
      <c r="D69" s="16">
        <f>'Data Sheet'!D122</f>
        <v>88763000000</v>
      </c>
      <c r="E69" s="16">
        <f>'Data Sheet'!E122</f>
        <v>86904000000</v>
      </c>
      <c r="F69" s="16">
        <f>'Data Sheet'!F122</f>
        <v>83135000000</v>
      </c>
      <c r="G69" s="16">
        <f>'Data Sheet'!G122</f>
        <v>89814000000</v>
      </c>
      <c r="H69" s="16"/>
    </row>
    <row r="70" spans="1:8" x14ac:dyDescent="0.3">
      <c r="B70" t="s">
        <v>286</v>
      </c>
      <c r="C70" s="16">
        <f>'Data Sheet'!C123</f>
        <v>-12805000000</v>
      </c>
      <c r="D70" s="16">
        <f>'Data Sheet'!D123</f>
        <v>-11766000000</v>
      </c>
      <c r="E70" s="16">
        <f>'Data Sheet'!E123</f>
        <v>-8766000000</v>
      </c>
      <c r="F70" s="16">
        <f>'Data Sheet'!F123</f>
        <v>-11680000000</v>
      </c>
      <c r="G70" s="16">
        <f>'Data Sheet'!G123</f>
        <v>-11302000000</v>
      </c>
      <c r="H70" s="16"/>
    </row>
    <row r="71" spans="1:8" x14ac:dyDescent="0.3">
      <c r="B71" t="s">
        <v>287</v>
      </c>
      <c r="C71" s="16">
        <f>'Data Sheet'!C128</f>
        <v>6883000000</v>
      </c>
      <c r="D71" s="16">
        <f>'Data Sheet'!D128</f>
        <v>6606000000</v>
      </c>
      <c r="E71" s="16">
        <f>'Data Sheet'!E128</f>
        <v>8638000000</v>
      </c>
      <c r="F71" s="16">
        <f>'Data Sheet'!F128</f>
        <v>7298000000</v>
      </c>
      <c r="G71" s="16">
        <f>'Data Sheet'!G128</f>
        <v>6710000000</v>
      </c>
      <c r="H71" s="16"/>
    </row>
    <row r="72" spans="1:8" x14ac:dyDescent="0.3">
      <c r="B72" t="s">
        <v>278</v>
      </c>
      <c r="C72" s="16">
        <f>'Data Sheet'!C112</f>
        <v>64192000000</v>
      </c>
      <c r="D72" s="16">
        <f>'Data Sheet'!D112</f>
        <v>57950000000</v>
      </c>
      <c r="E72" s="16">
        <f>'Data Sheet'!E112</f>
        <v>52116000000</v>
      </c>
      <c r="F72" s="16">
        <f>'Data Sheet'!F112</f>
        <v>52320000000</v>
      </c>
      <c r="G72" s="16">
        <f>'Data Sheet'!G112</f>
        <v>54784000000</v>
      </c>
      <c r="H72" s="16"/>
    </row>
    <row r="73" spans="1:8" x14ac:dyDescent="0.3">
      <c r="B73" t="s">
        <v>402</v>
      </c>
      <c r="C73" s="16">
        <f>'Data Sheet'!C115</f>
        <v>12961000000</v>
      </c>
      <c r="D73" s="16">
        <f>'Data Sheet'!D115</f>
        <v>14370000000</v>
      </c>
      <c r="E73" s="16">
        <f>'Data Sheet'!E115</f>
        <v>13474000000</v>
      </c>
      <c r="F73" s="16">
        <f>'Data Sheet'!F115</f>
        <v>14688000000</v>
      </c>
      <c r="G73" s="16">
        <f>'Data Sheet'!G115</f>
        <v>14629000000</v>
      </c>
      <c r="H73" s="16"/>
    </row>
    <row r="74" spans="1:8" x14ac:dyDescent="0.3">
      <c r="B74" s="10" t="s">
        <v>276</v>
      </c>
      <c r="C74" s="24">
        <f>SUM(C68:C73)</f>
        <v>158705000000</v>
      </c>
      <c r="D74" s="24">
        <f t="shared" ref="D74:G74" si="44">SUM(D68:D73)</f>
        <v>159851000000</v>
      </c>
      <c r="E74" s="24">
        <f t="shared" si="44"/>
        <v>157481000000</v>
      </c>
      <c r="F74" s="24">
        <f t="shared" si="44"/>
        <v>150999000000</v>
      </c>
      <c r="G74" s="24">
        <f t="shared" si="44"/>
        <v>159984000000</v>
      </c>
      <c r="H74" s="16"/>
    </row>
    <row r="75" spans="1:8" x14ac:dyDescent="0.3">
      <c r="C75" s="16"/>
      <c r="D75" s="16"/>
      <c r="E75" s="16"/>
      <c r="F75" s="16"/>
      <c r="G75" s="16"/>
      <c r="H75" s="16"/>
    </row>
    <row r="76" spans="1:8" x14ac:dyDescent="0.3">
      <c r="B76" s="17" t="s">
        <v>283</v>
      </c>
      <c r="C76" s="18">
        <f>C74+C66</f>
        <v>236495000000</v>
      </c>
      <c r="D76" s="18">
        <f>D74+D66</f>
        <v>252496000000</v>
      </c>
      <c r="E76" s="18">
        <f>E74+E66</f>
        <v>244860000000</v>
      </c>
      <c r="F76" s="18">
        <f>F74+F66</f>
        <v>243197000000</v>
      </c>
      <c r="G76" s="18">
        <f>G74+G66</f>
        <v>252399000000</v>
      </c>
      <c r="H76" s="16"/>
    </row>
    <row r="77" spans="1:8" x14ac:dyDescent="0.3">
      <c r="C77" s="16"/>
      <c r="D77" s="16"/>
      <c r="E77" s="16"/>
      <c r="F77" s="16"/>
      <c r="G77" s="16"/>
      <c r="H77" s="16"/>
    </row>
    <row r="78" spans="1:8" x14ac:dyDescent="0.3">
      <c r="B78" s="25" t="s">
        <v>284</v>
      </c>
      <c r="C78" s="26" t="b">
        <f>C76=C59</f>
        <v>1</v>
      </c>
      <c r="D78" s="26" t="b">
        <f>D76=D59</f>
        <v>1</v>
      </c>
      <c r="E78" s="26" t="b">
        <f>E76=E59</f>
        <v>1</v>
      </c>
      <c r="F78" s="26" t="b">
        <f>F76=F59</f>
        <v>1</v>
      </c>
      <c r="G78" s="26" t="b">
        <f>G76=G59</f>
        <v>1</v>
      </c>
      <c r="H78" s="16"/>
    </row>
    <row r="79" spans="1:8" x14ac:dyDescent="0.3">
      <c r="C79" s="16"/>
      <c r="D79" s="16"/>
      <c r="E79" s="16"/>
      <c r="F79" s="16"/>
      <c r="G79" s="16"/>
      <c r="H79" s="16"/>
    </row>
    <row r="80" spans="1:8" x14ac:dyDescent="0.3">
      <c r="A80" t="s">
        <v>237</v>
      </c>
      <c r="B80" s="15" t="s">
        <v>174</v>
      </c>
      <c r="C80" s="15"/>
      <c r="D80" s="15"/>
      <c r="E80" s="15"/>
      <c r="F80" s="15"/>
      <c r="G80" s="15"/>
      <c r="H80" s="15"/>
    </row>
    <row r="81" spans="2:8" x14ac:dyDescent="0.3">
      <c r="C81" s="16"/>
      <c r="D81" s="16"/>
      <c r="E81" s="16"/>
      <c r="F81" s="16"/>
      <c r="G81" s="16"/>
      <c r="H81" s="16"/>
    </row>
    <row r="82" spans="2:8" x14ac:dyDescent="0.3">
      <c r="B82" t="str">
        <f>'Data Sheet'!B178</f>
        <v>Cash Flow from Operating Activities, Indirect</v>
      </c>
      <c r="C82" s="16">
        <f>'Data Sheet'!C178</f>
        <v>25255000000</v>
      </c>
      <c r="D82" s="16">
        <f>'Data Sheet'!D178</f>
        <v>36074000000</v>
      </c>
      <c r="E82" s="16">
        <f>'Data Sheet'!E178</f>
        <v>24181000000</v>
      </c>
      <c r="F82" s="16">
        <f>'Data Sheet'!F178</f>
        <v>28841000000</v>
      </c>
      <c r="G82" s="16">
        <f>'Data Sheet'!G178</f>
        <v>35726000000</v>
      </c>
      <c r="H82" s="16">
        <f>'Data Sheet'!H178</f>
        <v>39630000000</v>
      </c>
    </row>
    <row r="83" spans="2:8" x14ac:dyDescent="0.3">
      <c r="C83" s="16"/>
      <c r="D83" s="16"/>
      <c r="E83" s="16"/>
      <c r="F83" s="16"/>
      <c r="G83" s="16"/>
      <c r="H83" s="16"/>
    </row>
    <row r="84" spans="2:8" x14ac:dyDescent="0.3">
      <c r="B84" t="str">
        <f>'Data Sheet'!B202</f>
        <v>Cash Flow from Investing Activities</v>
      </c>
      <c r="C84" s="16">
        <f>'Data Sheet'!C202</f>
        <v>-9128000000</v>
      </c>
      <c r="D84" s="16">
        <f>'Data Sheet'!D202</f>
        <v>-10071000000</v>
      </c>
      <c r="E84" s="16">
        <f>'Data Sheet'!E202</f>
        <v>-6015000000</v>
      </c>
      <c r="F84" s="16">
        <f>'Data Sheet'!F202</f>
        <v>-17722000000</v>
      </c>
      <c r="G84" s="16">
        <f>'Data Sheet'!G202</f>
        <v>-21287000000</v>
      </c>
      <c r="H84" s="16">
        <f>'Data Sheet'!H202</f>
        <v>-18574000000</v>
      </c>
    </row>
    <row r="85" spans="2:8" x14ac:dyDescent="0.3">
      <c r="C85" s="16"/>
      <c r="D85" s="16"/>
      <c r="E85" s="16"/>
      <c r="F85" s="16"/>
      <c r="G85" s="16"/>
      <c r="H85" s="16"/>
    </row>
    <row r="86" spans="2:8" x14ac:dyDescent="0.3">
      <c r="B86" t="str">
        <f>'Data Sheet'!B213</f>
        <v>Cash Flow from Financing Activities</v>
      </c>
      <c r="C86" s="16">
        <f>'Data Sheet'!C213</f>
        <v>-14299000000</v>
      </c>
      <c r="D86" s="16">
        <f>'Data Sheet'!D213</f>
        <v>-16117000000</v>
      </c>
      <c r="E86" s="16">
        <f>'Data Sheet'!E213</f>
        <v>-22828000000</v>
      </c>
      <c r="F86" s="16">
        <f>'Data Sheet'!F213</f>
        <v>-17039000000</v>
      </c>
      <c r="G86" s="16">
        <f>'Data Sheet'!G213</f>
        <v>-13414000000</v>
      </c>
      <c r="H86" s="16">
        <f>'Data Sheet'!H213</f>
        <v>-22908000000</v>
      </c>
    </row>
    <row r="87" spans="2:8" x14ac:dyDescent="0.3">
      <c r="C87" s="16"/>
      <c r="D87" s="16"/>
      <c r="E87" s="16"/>
      <c r="F87" s="16"/>
      <c r="G87" s="16"/>
      <c r="H87" s="16"/>
    </row>
    <row r="88" spans="2:8" x14ac:dyDescent="0.3">
      <c r="B88" s="17" t="s">
        <v>289</v>
      </c>
      <c r="C88" s="18">
        <f>C82+SUM(C84,C86)</f>
        <v>1828000000</v>
      </c>
      <c r="D88" s="18">
        <f t="shared" ref="D88:H88" si="45">D82+SUM(D84,D86)</f>
        <v>9886000000</v>
      </c>
      <c r="E88" s="18">
        <f t="shared" si="45"/>
        <v>-4662000000</v>
      </c>
      <c r="F88" s="18">
        <f t="shared" si="45"/>
        <v>-5920000000</v>
      </c>
      <c r="G88" s="18">
        <f t="shared" si="45"/>
        <v>1025000000</v>
      </c>
      <c r="H88" s="18">
        <f t="shared" si="45"/>
        <v>-1852000000</v>
      </c>
    </row>
    <row r="89" spans="2:8" x14ac:dyDescent="0.3">
      <c r="C89" s="16"/>
      <c r="D89" s="16"/>
      <c r="E89" s="16"/>
      <c r="F89" s="16"/>
      <c r="G89" s="16"/>
      <c r="H89" s="16"/>
    </row>
    <row r="90" spans="2:8" x14ac:dyDescent="0.3">
      <c r="C90" s="16"/>
      <c r="D90" s="16"/>
      <c r="E90" s="16"/>
      <c r="F90" s="16"/>
      <c r="G90" s="16"/>
      <c r="H90" s="16"/>
    </row>
    <row r="91" spans="2:8" x14ac:dyDescent="0.3">
      <c r="C91" s="16"/>
      <c r="D91" s="16"/>
      <c r="E91" s="16"/>
      <c r="F91" s="16"/>
      <c r="G91" s="16"/>
      <c r="H91" s="16"/>
    </row>
    <row r="92" spans="2:8" x14ac:dyDescent="0.3">
      <c r="C92" s="16"/>
      <c r="D92" s="16"/>
      <c r="E92" s="16"/>
      <c r="F92" s="16"/>
      <c r="G92" s="16"/>
      <c r="H92" s="16"/>
    </row>
    <row r="93" spans="2:8" x14ac:dyDescent="0.3">
      <c r="C93" s="16"/>
      <c r="D93" s="16"/>
      <c r="E93" s="16"/>
      <c r="F93" s="16"/>
      <c r="G93" s="16"/>
      <c r="H93" s="16"/>
    </row>
    <row r="94" spans="2:8" x14ac:dyDescent="0.3">
      <c r="C94" s="16"/>
      <c r="D94" s="16"/>
      <c r="E94" s="16"/>
      <c r="F94" s="16"/>
      <c r="G94" s="16"/>
      <c r="H94" s="16"/>
    </row>
    <row r="95" spans="2:8" x14ac:dyDescent="0.3">
      <c r="C95" s="16"/>
      <c r="D95" s="16"/>
      <c r="E95" s="16"/>
      <c r="F95" s="16"/>
      <c r="G95" s="16"/>
      <c r="H95" s="16"/>
    </row>
    <row r="96" spans="2:8" x14ac:dyDescent="0.3">
      <c r="C96" s="16"/>
      <c r="D96" s="16"/>
      <c r="E96" s="16"/>
      <c r="F96" s="16"/>
      <c r="G96" s="16"/>
      <c r="H96" s="16"/>
    </row>
    <row r="97" spans="3:8" x14ac:dyDescent="0.3">
      <c r="C97" s="16"/>
      <c r="D97" s="16"/>
      <c r="E97" s="16"/>
      <c r="F97" s="16"/>
      <c r="G97" s="16"/>
      <c r="H97" s="16"/>
    </row>
    <row r="98" spans="3:8" x14ac:dyDescent="0.3">
      <c r="C98" s="16"/>
      <c r="D98" s="16"/>
      <c r="E98" s="16"/>
      <c r="F98" s="16"/>
      <c r="G98" s="16"/>
      <c r="H98" s="16"/>
    </row>
    <row r="99" spans="3:8" x14ac:dyDescent="0.3">
      <c r="C99" s="16"/>
      <c r="D99" s="16"/>
      <c r="E99" s="16"/>
      <c r="F99" s="16"/>
      <c r="G99" s="16"/>
      <c r="H99" s="16"/>
    </row>
    <row r="100" spans="3:8" x14ac:dyDescent="0.3">
      <c r="C100" s="16"/>
      <c r="D100" s="16"/>
      <c r="E100" s="16"/>
      <c r="F100" s="16"/>
      <c r="G100" s="16"/>
      <c r="H100" s="16"/>
    </row>
    <row r="101" spans="3:8" x14ac:dyDescent="0.3">
      <c r="C101" s="16"/>
      <c r="D101" s="16"/>
      <c r="E101" s="16"/>
      <c r="F101" s="16"/>
      <c r="G101" s="16"/>
      <c r="H101" s="16"/>
    </row>
    <row r="102" spans="3:8" x14ac:dyDescent="0.3">
      <c r="C102" s="16"/>
      <c r="D102" s="16"/>
      <c r="E102" s="16"/>
      <c r="F102" s="16"/>
      <c r="G102" s="16"/>
      <c r="H102" s="16"/>
    </row>
    <row r="103" spans="3:8" x14ac:dyDescent="0.3">
      <c r="C103" s="16"/>
      <c r="D103" s="16"/>
      <c r="E103" s="16"/>
      <c r="F103" s="16"/>
      <c r="G103" s="16"/>
      <c r="H103" s="16"/>
    </row>
    <row r="104" spans="3:8" x14ac:dyDescent="0.3">
      <c r="C104" s="16"/>
      <c r="D104" s="16"/>
      <c r="E104" s="16"/>
      <c r="F104" s="16"/>
      <c r="G104" s="16"/>
      <c r="H104" s="16"/>
    </row>
    <row r="105" spans="3:8" x14ac:dyDescent="0.3">
      <c r="C105" s="16"/>
      <c r="D105" s="16"/>
      <c r="E105" s="16"/>
      <c r="F105" s="16"/>
      <c r="G105" s="16"/>
      <c r="H105" s="16"/>
    </row>
    <row r="106" spans="3:8" x14ac:dyDescent="0.3">
      <c r="C106" s="16"/>
      <c r="D106" s="16"/>
      <c r="E106" s="16"/>
      <c r="F106" s="16"/>
      <c r="G106" s="16"/>
      <c r="H106" s="16"/>
    </row>
    <row r="107" spans="3:8" x14ac:dyDescent="0.3">
      <c r="C107" s="16"/>
      <c r="D107" s="16"/>
      <c r="E107" s="16"/>
      <c r="F107" s="16"/>
      <c r="G107" s="16"/>
      <c r="H107" s="16"/>
    </row>
    <row r="108" spans="3:8" x14ac:dyDescent="0.3">
      <c r="C108" s="16"/>
      <c r="D108" s="16"/>
      <c r="E108" s="16"/>
      <c r="F108" s="16"/>
      <c r="G108" s="16"/>
      <c r="H108" s="16"/>
    </row>
    <row r="109" spans="3:8" x14ac:dyDescent="0.3">
      <c r="C109" s="16"/>
      <c r="D109" s="16"/>
      <c r="E109" s="16"/>
      <c r="F109" s="16"/>
      <c r="G109" s="16"/>
      <c r="H109" s="16"/>
    </row>
    <row r="110" spans="3:8" x14ac:dyDescent="0.3">
      <c r="C110" s="16"/>
      <c r="D110" s="16"/>
      <c r="E110" s="16"/>
      <c r="F110" s="16"/>
      <c r="G110" s="16"/>
      <c r="H110" s="16"/>
    </row>
    <row r="111" spans="3:8" x14ac:dyDescent="0.3">
      <c r="C111" s="16"/>
      <c r="D111" s="16"/>
      <c r="E111" s="16"/>
      <c r="F111" s="16"/>
      <c r="G111" s="16"/>
      <c r="H111" s="16"/>
    </row>
    <row r="112" spans="3:8" x14ac:dyDescent="0.3">
      <c r="C112" s="16"/>
      <c r="D112" s="16"/>
      <c r="E112" s="16"/>
      <c r="F112" s="16"/>
      <c r="G112" s="16"/>
      <c r="H112" s="16"/>
    </row>
    <row r="113" spans="3:8" x14ac:dyDescent="0.3">
      <c r="C113" s="16"/>
      <c r="D113" s="16"/>
      <c r="E113" s="16"/>
      <c r="F113" s="16"/>
      <c r="G113" s="16"/>
      <c r="H113" s="16"/>
    </row>
    <row r="114" spans="3:8" x14ac:dyDescent="0.3">
      <c r="C114" s="16"/>
      <c r="D114" s="16"/>
      <c r="E114" s="16"/>
      <c r="F114" s="16"/>
      <c r="G114" s="16"/>
      <c r="H114" s="16"/>
    </row>
    <row r="115" spans="3:8" x14ac:dyDescent="0.3">
      <c r="C115" s="16"/>
      <c r="D115" s="16"/>
      <c r="E115" s="16"/>
      <c r="F115" s="16"/>
      <c r="G115" s="16"/>
      <c r="H115" s="16"/>
    </row>
    <row r="116" spans="3:8" x14ac:dyDescent="0.3">
      <c r="C116" s="16"/>
      <c r="D116" s="16"/>
      <c r="E116" s="16"/>
      <c r="F116" s="16"/>
      <c r="G116" s="16"/>
      <c r="H116" s="16"/>
    </row>
    <row r="117" spans="3:8" x14ac:dyDescent="0.3">
      <c r="C117" s="16"/>
      <c r="D117" s="16"/>
      <c r="E117" s="16"/>
      <c r="F117" s="16"/>
      <c r="G117" s="16"/>
      <c r="H117" s="16"/>
    </row>
    <row r="118" spans="3:8" x14ac:dyDescent="0.3">
      <c r="C118" s="16"/>
      <c r="D118" s="16"/>
      <c r="E118" s="16"/>
      <c r="F118" s="16"/>
      <c r="G118" s="16"/>
      <c r="H118" s="16"/>
    </row>
    <row r="119" spans="3:8" x14ac:dyDescent="0.3">
      <c r="C119" s="16"/>
      <c r="D119" s="16"/>
      <c r="E119" s="16"/>
      <c r="F119" s="16"/>
      <c r="G119" s="16"/>
      <c r="H119" s="16"/>
    </row>
    <row r="120" spans="3:8" x14ac:dyDescent="0.3">
      <c r="C120" s="16"/>
      <c r="D120" s="16"/>
      <c r="E120" s="16"/>
      <c r="F120" s="16"/>
      <c r="G120" s="16"/>
      <c r="H120" s="16"/>
    </row>
    <row r="121" spans="3:8" x14ac:dyDescent="0.3">
      <c r="C121" s="16"/>
      <c r="D121" s="16"/>
      <c r="E121" s="16"/>
      <c r="F121" s="16"/>
      <c r="G121" s="16"/>
      <c r="H121" s="16"/>
    </row>
    <row r="122" spans="3:8" x14ac:dyDescent="0.3">
      <c r="C122" s="16"/>
      <c r="D122" s="16"/>
      <c r="E122" s="16"/>
      <c r="F122" s="16"/>
      <c r="G122" s="16"/>
      <c r="H122" s="16"/>
    </row>
    <row r="123" spans="3:8" x14ac:dyDescent="0.3">
      <c r="C123" s="16"/>
      <c r="D123" s="16"/>
      <c r="E123" s="16"/>
      <c r="F123" s="16"/>
      <c r="G123" s="16"/>
      <c r="H123" s="16"/>
    </row>
    <row r="124" spans="3:8" x14ac:dyDescent="0.3">
      <c r="C124" s="16"/>
      <c r="D124" s="16"/>
      <c r="E124" s="16"/>
      <c r="F124" s="16"/>
      <c r="G124" s="16"/>
      <c r="H124" s="16"/>
    </row>
    <row r="125" spans="3:8" x14ac:dyDescent="0.3">
      <c r="C125" s="16"/>
      <c r="D125" s="16"/>
      <c r="E125" s="16"/>
      <c r="F125" s="16"/>
      <c r="G125" s="16"/>
      <c r="H125" s="16"/>
    </row>
    <row r="126" spans="3:8" x14ac:dyDescent="0.3">
      <c r="C126" s="16"/>
      <c r="D126" s="16"/>
      <c r="E126" s="16"/>
      <c r="F126" s="16"/>
      <c r="G126" s="16"/>
      <c r="H126" s="16"/>
    </row>
    <row r="127" spans="3:8" x14ac:dyDescent="0.3">
      <c r="C127" s="16"/>
      <c r="D127" s="16"/>
      <c r="E127" s="16"/>
      <c r="F127" s="16"/>
      <c r="G127" s="16"/>
      <c r="H127" s="16"/>
    </row>
    <row r="128" spans="3:8" x14ac:dyDescent="0.3">
      <c r="C128" s="16"/>
      <c r="D128" s="16"/>
      <c r="E128" s="16"/>
      <c r="F128" s="16"/>
      <c r="G128" s="16"/>
      <c r="H128" s="16"/>
    </row>
    <row r="129" spans="3:8" x14ac:dyDescent="0.3">
      <c r="C129" s="16"/>
      <c r="D129" s="16"/>
      <c r="E129" s="16"/>
      <c r="F129" s="16"/>
      <c r="G129" s="16"/>
      <c r="H129" s="16"/>
    </row>
    <row r="130" spans="3:8" x14ac:dyDescent="0.3">
      <c r="C130" s="16"/>
      <c r="D130" s="16"/>
      <c r="E130" s="16"/>
      <c r="F130" s="16"/>
      <c r="G130" s="16"/>
      <c r="H130" s="16"/>
    </row>
    <row r="131" spans="3:8" x14ac:dyDescent="0.3">
      <c r="C131" s="16"/>
      <c r="D131" s="16"/>
      <c r="E131" s="16"/>
      <c r="F131" s="16"/>
      <c r="G131" s="16"/>
      <c r="H131" s="16"/>
    </row>
  </sheetData>
  <mergeCells count="1">
    <mergeCell ref="B2:H2"/>
  </mergeCells>
  <pageMargins left="0.7" right="0.7" top="0.75" bottom="0.75" header="0.3" footer="0.3"/>
  <ignoredErrors>
    <ignoredError sqref="C21:H2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62B1-2FD1-4E98-9936-70494BDA28D1}">
  <dimension ref="B2:J41"/>
  <sheetViews>
    <sheetView showGridLines="0" workbookViewId="0">
      <selection activeCell="O8" sqref="O8"/>
    </sheetView>
  </sheetViews>
  <sheetFormatPr defaultRowHeight="14.4" x14ac:dyDescent="0.3"/>
  <cols>
    <col min="1" max="1" width="1.88671875" customWidth="1"/>
    <col min="2" max="2" width="23.88671875" bestFit="1" customWidth="1"/>
    <col min="3" max="7" width="10.88671875" bestFit="1" customWidth="1"/>
  </cols>
  <sheetData>
    <row r="2" spans="2:10" x14ac:dyDescent="0.3">
      <c r="B2" s="166" t="str">
        <f>"Historical Financial Statement"&amp;"-"&amp;'Data Sheet'!$B$2</f>
        <v>Historical Financial Statement-Walmart Inc.</v>
      </c>
      <c r="C2" s="166"/>
      <c r="D2" s="166"/>
      <c r="E2" s="166"/>
      <c r="F2" s="166"/>
      <c r="G2" s="166"/>
      <c r="H2" s="166"/>
      <c r="I2" s="166"/>
      <c r="J2" s="166"/>
    </row>
    <row r="3" spans="2:10" x14ac:dyDescent="0.3">
      <c r="B3" s="27" t="str">
        <f>'Historical FS'!$B$3</f>
        <v>Years</v>
      </c>
      <c r="C3" s="146">
        <f>'Historical FS'!$C$3</f>
        <v>43861</v>
      </c>
      <c r="D3" s="146">
        <f>'Historical FS'!$D$3</f>
        <v>44227</v>
      </c>
      <c r="E3" s="146">
        <f>'Historical FS'!$E$3</f>
        <v>44592</v>
      </c>
      <c r="F3" s="146">
        <f>'Historical FS'!$F$3</f>
        <v>44957</v>
      </c>
      <c r="G3" s="146">
        <f>'Historical FS'!$G$3</f>
        <v>45322</v>
      </c>
      <c r="H3" s="145" t="s">
        <v>290</v>
      </c>
      <c r="I3" s="145" t="s">
        <v>291</v>
      </c>
      <c r="J3" s="145" t="s">
        <v>292</v>
      </c>
    </row>
    <row r="5" spans="2:10" x14ac:dyDescent="0.3">
      <c r="B5" s="28" t="s">
        <v>293</v>
      </c>
      <c r="C5" s="30"/>
      <c r="D5" s="30">
        <f>'Historical FS'!D7</f>
        <v>6.7155377086975443E-2</v>
      </c>
      <c r="E5" s="30">
        <f>'Historical FS'!E7</f>
        <v>2.4327954345069579E-2</v>
      </c>
      <c r="F5" s="30">
        <f>'Historical FS'!F7</f>
        <v>6.7280193590965751E-2</v>
      </c>
      <c r="G5" s="30">
        <f>'Historical FS'!G7</f>
        <v>6.0259549901928548E-2</v>
      </c>
      <c r="I5" s="40">
        <f t="shared" ref="I5:I10" si="0">AVERAGE(C5:G5)</f>
        <v>5.4755768731234833E-2</v>
      </c>
      <c r="J5" s="40">
        <f t="shared" ref="J5:J10" si="1">MEDIAN(C5:G5)</f>
        <v>6.3707463494451999E-2</v>
      </c>
    </row>
    <row r="6" spans="2:10" x14ac:dyDescent="0.3">
      <c r="B6" t="s">
        <v>294</v>
      </c>
      <c r="C6" s="31"/>
      <c r="D6" s="31">
        <f>'Historical FS'!D13</f>
        <v>0.2649724026841539</v>
      </c>
      <c r="E6" s="31">
        <f>'Historical FS'!E13</f>
        <v>0.2743585437167439</v>
      </c>
      <c r="F6" s="31">
        <f>'Historical FS'!F13</f>
        <v>0.28163766976357152</v>
      </c>
      <c r="G6" s="31">
        <f>'Historical FS'!G13</f>
        <v>0.30151498957943673</v>
      </c>
      <c r="I6" s="41">
        <f t="shared" si="0"/>
        <v>0.28062090143597651</v>
      </c>
      <c r="J6" s="41">
        <f t="shared" si="1"/>
        <v>0.27799810674015768</v>
      </c>
    </row>
    <row r="7" spans="2:10" x14ac:dyDescent="0.3">
      <c r="B7" t="s">
        <v>295</v>
      </c>
      <c r="C7" s="31"/>
      <c r="D7" s="31">
        <f>'Historical FS'!D18/'Historical FS'!C18-1</f>
        <v>9.62660443407235E-2</v>
      </c>
      <c r="E7" s="31">
        <f>'Historical FS'!E18/'Historical FS'!D18-1</f>
        <v>0.1505233280113536</v>
      </c>
      <c r="F7" s="31">
        <f>'Historical FS'!F18/'Historical FS'!E18-1</f>
        <v>-0.212551075476062</v>
      </c>
      <c r="G7" s="31">
        <f>'Historical FS'!G18/'Historical FS'!F18-1</f>
        <v>0.32230272175445474</v>
      </c>
      <c r="I7" s="41">
        <f t="shared" si="0"/>
        <v>8.9135254657617458E-2</v>
      </c>
      <c r="J7" s="41">
        <f t="shared" si="1"/>
        <v>0.12339468617603855</v>
      </c>
    </row>
    <row r="8" spans="2:10" x14ac:dyDescent="0.3">
      <c r="B8" t="s">
        <v>296</v>
      </c>
      <c r="C8" s="31"/>
      <c r="D8" s="31">
        <f>('Historical FS'!D18-'Historical FS'!D24)/('Historical FS'!C18-'Historical FS'!C24)-1</f>
        <v>0.18603678929765888</v>
      </c>
      <c r="E8" s="31">
        <f>('Historical FS'!E18-'Historical FS'!E24)/('Historical FS'!D18-'Historical FS'!D24)-1</f>
        <v>0.3431441663729291</v>
      </c>
      <c r="F8" s="31">
        <f>('Historical FS'!F18-'Historical FS'!F24)/('Historical FS'!E18-'Historical FS'!E24)-1</f>
        <v>0.34024406245899486</v>
      </c>
      <c r="G8" s="31">
        <f>('Historical FS'!G18-'Historical FS'!G24)/('Historical FS'!F18-'Historical FS'!F24)-1</f>
        <v>-0.26023105541413749</v>
      </c>
      <c r="I8" s="41">
        <f t="shared" si="0"/>
        <v>0.15229849067886134</v>
      </c>
      <c r="J8" s="41">
        <f t="shared" si="1"/>
        <v>0.26314042587832687</v>
      </c>
    </row>
    <row r="9" spans="2:10" x14ac:dyDescent="0.3">
      <c r="B9" t="s">
        <v>297</v>
      </c>
      <c r="C9" s="31"/>
      <c r="D9" s="31">
        <f>'Historical FS'!D33/'Historical FS'!C33-1</f>
        <v>-0.10417479516191963</v>
      </c>
      <c r="E9" s="31">
        <f>'Historical FS'!E33/'Historical FS'!D33-1</f>
        <v>2.7674216027874565</v>
      </c>
      <c r="F9" s="31">
        <f>'Historical FS'!F33/'Historical FS'!E33-1</f>
        <v>0.48323699421965327</v>
      </c>
      <c r="G9" s="31">
        <f>'Historical FS'!G33/'Historical FS'!F33-1</f>
        <v>-0.42346063912704601</v>
      </c>
      <c r="I9" s="41">
        <f t="shared" si="0"/>
        <v>0.68075579067953607</v>
      </c>
      <c r="J9" s="41">
        <f t="shared" si="1"/>
        <v>0.18953109952886682</v>
      </c>
    </row>
    <row r="10" spans="2:10" x14ac:dyDescent="0.3">
      <c r="B10" s="29" t="s">
        <v>298</v>
      </c>
      <c r="C10" s="32"/>
      <c r="D10" s="32">
        <f>'Historical FS'!D41/'Historical FS'!C41-1</f>
        <v>1.8030254607435792E-2</v>
      </c>
      <c r="E10" s="32">
        <f>'Historical FS'!E41/'Historical FS'!D41-1</f>
        <v>1.9936902783061372E-2</v>
      </c>
      <c r="F10" s="32">
        <f>'Historical FS'!F41/'Historical FS'!E41-1</f>
        <v>1.8632241654875425E-2</v>
      </c>
      <c r="G10" s="32">
        <f>'Historical FS'!G41/'Historical FS'!F41-1</f>
        <v>1.6064345473076003E-2</v>
      </c>
      <c r="I10" s="42">
        <f t="shared" si="0"/>
        <v>1.8165936129612148E-2</v>
      </c>
      <c r="J10" s="42">
        <f t="shared" si="1"/>
        <v>1.8331248131155609E-2</v>
      </c>
    </row>
    <row r="11" spans="2:10" x14ac:dyDescent="0.3">
      <c r="I11" s="41"/>
      <c r="J11" s="41"/>
    </row>
    <row r="12" spans="2:10" x14ac:dyDescent="0.3">
      <c r="B12" s="28" t="s">
        <v>250</v>
      </c>
      <c r="C12" s="30">
        <f>'Historical FS'!C13</f>
        <v>0.24688528219495995</v>
      </c>
      <c r="D12" s="30">
        <f>'Historical FS'!D13</f>
        <v>0.2649724026841539</v>
      </c>
      <c r="E12" s="30">
        <f>'Historical FS'!E13</f>
        <v>0.2743585437167439</v>
      </c>
      <c r="F12" s="30">
        <f>'Historical FS'!F13</f>
        <v>0.28163766976357152</v>
      </c>
      <c r="G12" s="30">
        <f>'Historical FS'!G13</f>
        <v>0.30151498957943673</v>
      </c>
      <c r="I12" s="40">
        <f>AVERAGE(C12:G12)</f>
        <v>0.2738737775877732</v>
      </c>
      <c r="J12" s="40">
        <f>MEDIAN(C12:G12)</f>
        <v>0.2743585437167439</v>
      </c>
    </row>
    <row r="13" spans="2:10" x14ac:dyDescent="0.3">
      <c r="B13" t="s">
        <v>252</v>
      </c>
      <c r="C13" s="31">
        <f>'Historical FS'!C19</f>
        <v>3.9254605278225219E-2</v>
      </c>
      <c r="D13" s="31">
        <f>'Historical FS'!D19</f>
        <v>4.303349085051645E-2</v>
      </c>
      <c r="E13" s="31">
        <f>'Historical FS'!E19</f>
        <v>4.9511035109282314E-2</v>
      </c>
      <c r="F13" s="31">
        <f>'Historical FS'!F19</f>
        <v>3.8987411348871299E-2</v>
      </c>
      <c r="G13" s="31">
        <f>'Historical FS'!G19</f>
        <v>5.1553160140773033E-2</v>
      </c>
      <c r="I13" s="41">
        <f>AVERAGE(C13:G13)</f>
        <v>4.4467940545533657E-2</v>
      </c>
      <c r="J13" s="41">
        <f>MEDIAN(C13:G13)</f>
        <v>4.303349085051645E-2</v>
      </c>
    </row>
    <row r="14" spans="2:10" x14ac:dyDescent="0.3">
      <c r="B14" t="s">
        <v>299</v>
      </c>
      <c r="C14" s="31">
        <f>'Historical FS'!C19-'Historical FS'!C25</f>
        <v>1.8260796543273963E-2</v>
      </c>
      <c r="D14" s="31">
        <f>'Historical FS'!D19-'Historical FS'!D25</f>
        <v>2.1657976502202442E-2</v>
      </c>
      <c r="E14" s="31">
        <f>'Historical FS'!E19-'Historical FS'!E25</f>
        <v>2.9089784794375184E-2</v>
      </c>
      <c r="F14" s="31">
        <f>'Historical FS'!F19-'Historical FS'!F25</f>
        <v>3.8987411348871299E-2</v>
      </c>
      <c r="G14" s="31">
        <f>'Historical FS'!G19-'Historical FS'!G25</f>
        <v>2.8841676145689402E-2</v>
      </c>
      <c r="I14" s="41">
        <f>AVERAGE(C14:G14)</f>
        <v>2.7367529066882456E-2</v>
      </c>
      <c r="J14" s="41">
        <f>MEDIAN(C14:G14)</f>
        <v>2.8841676145689402E-2</v>
      </c>
    </row>
    <row r="15" spans="2:10" x14ac:dyDescent="0.3">
      <c r="B15" t="s">
        <v>300</v>
      </c>
      <c r="C15" s="31">
        <f>'Historical FS'!C28</f>
        <v>1.3661243902252826E-2</v>
      </c>
      <c r="D15" s="31">
        <f>'Historical FS'!D28</f>
        <v>1.7470665923613071E-2</v>
      </c>
      <c r="E15" s="31">
        <f>'Historical FS'!E28</f>
        <v>2.558572726370514E-2</v>
      </c>
      <c r="F15" s="31">
        <f>'Historical FS'!F28</f>
        <v>3.5410829751662327E-2</v>
      </c>
      <c r="G15" s="31">
        <f>'Historical FS'!G28</f>
        <v>2.4763151666908415E-2</v>
      </c>
      <c r="I15" s="41">
        <f>AVERAGE(C15:G15)</f>
        <v>2.3378323701628352E-2</v>
      </c>
      <c r="J15" s="41">
        <f>MEDIAN(C15:G15)</f>
        <v>2.4763151666908415E-2</v>
      </c>
    </row>
    <row r="16" spans="2:10" x14ac:dyDescent="0.3">
      <c r="B16" s="29" t="s">
        <v>301</v>
      </c>
      <c r="C16" s="32">
        <f>'Historical FS'!C34</f>
        <v>4.8915574352436427E-3</v>
      </c>
      <c r="D16" s="32">
        <f>'Historical FS'!D34</f>
        <v>4.3819804414043711E-3</v>
      </c>
      <c r="E16" s="32">
        <f>'Historical FS'!E34</f>
        <v>1.6508767777938943E-2</v>
      </c>
      <c r="F16" s="32">
        <f>'Historical FS'!F34</f>
        <v>2.448641509722042E-2</v>
      </c>
      <c r="G16" s="32">
        <f>'Historical FS'!G34</f>
        <v>1.4117382110221312E-2</v>
      </c>
      <c r="I16" s="42">
        <f>AVERAGE(C16:G16)</f>
        <v>1.2877220572405737E-2</v>
      </c>
      <c r="J16" s="42">
        <f>MEDIAN(C16:G16)</f>
        <v>1.4117382110221312E-2</v>
      </c>
    </row>
    <row r="17" spans="2:10" x14ac:dyDescent="0.3">
      <c r="I17" s="41"/>
      <c r="J17" s="41"/>
    </row>
    <row r="18" spans="2:10" hidden="1" x14ac:dyDescent="0.3">
      <c r="B18" s="28" t="s">
        <v>302</v>
      </c>
      <c r="C18" s="30">
        <f>'Historical FS'!C16</f>
        <v>0.20763067691673473</v>
      </c>
      <c r="D18" s="30">
        <f>'Historical FS'!D16</f>
        <v>0.22193891183363743</v>
      </c>
      <c r="E18" s="30">
        <f>'Historical FS'!E16</f>
        <v>0.22484750860746158</v>
      </c>
      <c r="F18" s="30">
        <f>'Historical FS'!F16</f>
        <v>0.24265025841470025</v>
      </c>
      <c r="G18" s="30">
        <f>'Historical FS'!G16</f>
        <v>0.24996182943866371</v>
      </c>
      <c r="I18" s="40">
        <f>AVERAGE(C18:G18)</f>
        <v>0.22940583704223952</v>
      </c>
      <c r="J18" s="40">
        <f>MEDIAN(C18:G18)</f>
        <v>0.22484750860746158</v>
      </c>
    </row>
    <row r="19" spans="2:10" hidden="1" x14ac:dyDescent="0.3">
      <c r="B19" t="s">
        <v>303</v>
      </c>
      <c r="C19" s="31">
        <f>'Historical FS'!C25</f>
        <v>2.0993808734951255E-2</v>
      </c>
      <c r="D19" s="31">
        <f>'Historical FS'!D25</f>
        <v>2.1375514348314008E-2</v>
      </c>
      <c r="E19" s="31">
        <f>'Historical FS'!E25</f>
        <v>2.042125031490713E-2</v>
      </c>
      <c r="F19" s="31">
        <f>'Historical FS'!F25</f>
        <v>0</v>
      </c>
      <c r="G19" s="31">
        <f>'Historical FS'!G25</f>
        <v>2.2711483995083631E-2</v>
      </c>
      <c r="I19" s="41">
        <f>AVERAGE(C19:G19)</f>
        <v>1.7100411478651205E-2</v>
      </c>
      <c r="J19" s="41">
        <f>MEDIAN(C19:G19)</f>
        <v>2.0993808734951255E-2</v>
      </c>
    </row>
    <row r="20" spans="2:10" hidden="1" x14ac:dyDescent="0.3">
      <c r="B20" s="29" t="s">
        <v>304</v>
      </c>
      <c r="C20" s="32">
        <f>C14</f>
        <v>1.8260796543273963E-2</v>
      </c>
      <c r="D20" s="32">
        <f t="shared" ref="D20:G20" si="2">D14</f>
        <v>2.1657976502202442E-2</v>
      </c>
      <c r="E20" s="32">
        <f t="shared" si="2"/>
        <v>2.9089784794375184E-2</v>
      </c>
      <c r="F20" s="32">
        <f t="shared" si="2"/>
        <v>3.8987411348871299E-2</v>
      </c>
      <c r="G20" s="32">
        <f t="shared" si="2"/>
        <v>2.8841676145689402E-2</v>
      </c>
      <c r="I20" s="42">
        <f>AVERAGE(C20:G20)</f>
        <v>2.7367529066882456E-2</v>
      </c>
      <c r="J20" s="42">
        <f>MEDIAN(C20:G20)</f>
        <v>2.8841676145689402E-2</v>
      </c>
    </row>
    <row r="21" spans="2:10" hidden="1" x14ac:dyDescent="0.3">
      <c r="I21" s="41"/>
      <c r="J21" s="41"/>
    </row>
    <row r="22" spans="2:10" hidden="1" x14ac:dyDescent="0.3">
      <c r="B22" s="28" t="s">
        <v>305</v>
      </c>
      <c r="C22" s="30">
        <f>('Historical FS'!C18-'Historical FS'!C24)/('Historical FS'!C68+'Historical FS'!C69+'Historical FS'!C70+'Historical FS'!C71+'Historical FS'!C72)</f>
        <v>6.5649357778021736E-2</v>
      </c>
      <c r="D22" s="30">
        <f>('Historical FS'!D18-'Historical FS'!D24)/('Historical FS'!D68+'Historical FS'!D69+'Historical FS'!D70+'Historical FS'!D71+'Historical FS'!D72)</f>
        <v>7.8003313147421316E-2</v>
      </c>
      <c r="E22" s="30">
        <f>('Historical FS'!E18-'Historical FS'!E24)/('Historical FS'!E68+'Historical FS'!E69+'Historical FS'!E70+'Historical FS'!E71+'Historical FS'!E72)</f>
        <v>0.10584207712125104</v>
      </c>
      <c r="F22" s="30">
        <f>('Historical FS'!F18-'Historical FS'!F24)/('Historical FS'!F68+'Historical FS'!F69+'Historical FS'!F70+'Historical FS'!F71+'Historical FS'!F72)</f>
        <v>0.14986318052101444</v>
      </c>
      <c r="G22" s="30">
        <f>('Historical FS'!G18-'Historical FS'!G24)/('Historical FS'!G68+'Historical FS'!G69+'Historical FS'!G70+'Historical FS'!G71+'Historical FS'!G72)</f>
        <v>0.1039661518351622</v>
      </c>
      <c r="I22" s="40">
        <f>AVERAGE(C22:G22)</f>
        <v>0.10066481608057413</v>
      </c>
      <c r="J22" s="40">
        <f>MEDIAN(C22:G22)</f>
        <v>0.1039661518351622</v>
      </c>
    </row>
    <row r="23" spans="2:10" hidden="1" x14ac:dyDescent="0.3">
      <c r="B23" t="s">
        <v>306</v>
      </c>
      <c r="C23" s="31">
        <f>'Historical FS'!C44</f>
        <v>0</v>
      </c>
      <c r="D23" s="31">
        <f>'Historical FS'!D44</f>
        <v>0</v>
      </c>
      <c r="E23" s="31">
        <f>'Historical FS'!E44</f>
        <v>0.28878612716762997</v>
      </c>
      <c r="F23" s="31">
        <f>'Historical FS'!F44</f>
        <v>0.52346063912704599</v>
      </c>
      <c r="G23" s="31">
        <f>'Historical FS'!G44</f>
        <v>0.16993375692848456</v>
      </c>
      <c r="I23" s="41">
        <f>AVERAGE(C23:G23)</f>
        <v>0.1964361046446321</v>
      </c>
      <c r="J23" s="41">
        <f>MEDIAN(C23:G23)</f>
        <v>0.16993375692848456</v>
      </c>
    </row>
    <row r="24" spans="2:10" hidden="1" x14ac:dyDescent="0.3">
      <c r="B24" t="s">
        <v>307</v>
      </c>
      <c r="C24" s="31">
        <f>'Historical FS'!C33/(SUM('Historical FS'!C68:C71))</f>
        <v>3.1427800667059053E-2</v>
      </c>
      <c r="D24" s="31">
        <f>'Historical FS'!D33/(SUM('Historical FS'!D68:D71))</f>
        <v>2.623070683529264E-2</v>
      </c>
      <c r="E24" s="31">
        <f>'Historical FS'!E33/(SUM('Historical FS'!E68:E71))</f>
        <v>9.4133266587587472E-2</v>
      </c>
      <c r="F24" s="31">
        <f>'Historical FS'!F33/(SUM('Historical FS'!F68:F71))</f>
        <v>0.15275446178757249</v>
      </c>
      <c r="G24" s="31">
        <f>'Historical FS'!G33/(SUM('Historical FS'!G68:G71))</f>
        <v>8.1670733457729294E-2</v>
      </c>
      <c r="I24" s="41">
        <f>AVERAGE(C24:G24)</f>
        <v>7.7243393867048177E-2</v>
      </c>
      <c r="J24" s="41">
        <f>MEDIAN(C24:G24)</f>
        <v>8.1670733457729294E-2</v>
      </c>
    </row>
    <row r="25" spans="2:10" hidden="1" x14ac:dyDescent="0.3">
      <c r="B25" t="s">
        <v>308</v>
      </c>
      <c r="C25" s="31">
        <f>C24*C23</f>
        <v>0</v>
      </c>
      <c r="D25" s="31">
        <f t="shared" ref="D25:G25" si="3">D24*D23</f>
        <v>0</v>
      </c>
      <c r="E25" s="31">
        <f t="shared" si="3"/>
        <v>2.7184381495467449E-2</v>
      </c>
      <c r="F25" s="31">
        <f t="shared" si="3"/>
        <v>7.9960948196830625E-2</v>
      </c>
      <c r="G25" s="31">
        <f t="shared" si="3"/>
        <v>1.3878614567576822E-2</v>
      </c>
      <c r="I25" s="41">
        <f>AVERAGE(C25:G25)</f>
        <v>2.4204788851974978E-2</v>
      </c>
      <c r="J25" s="41">
        <f>MEDIAN(C25:G25)</f>
        <v>1.3878614567576822E-2</v>
      </c>
    </row>
    <row r="26" spans="2:10" hidden="1" x14ac:dyDescent="0.3">
      <c r="B26" s="29" t="s">
        <v>309</v>
      </c>
      <c r="C26" s="33">
        <f>('Historical FS'!C18-'Historical FS'!C24)/'Historical FS'!C21</f>
        <v>3.9701244813278009</v>
      </c>
      <c r="D26" s="33">
        <f>('Historical FS'!D18-'Historical FS'!D24)/'Historical FS'!D21</f>
        <v>5.1722880583409294</v>
      </c>
      <c r="E26" s="33">
        <f>('Historical FS'!E18-'Historical FS'!E24)/'Historical FS'!E21</f>
        <v>8.3017429193899783</v>
      </c>
      <c r="F26" s="33">
        <f>('Historical FS'!F18-'Historical FS'!F24)/'Historical FS'!F21</f>
        <v>10.900747065101388</v>
      </c>
      <c r="G26" s="33">
        <f>('Historical FS'!G18-'Historical FS'!G24)/'Historical FS'!G21</f>
        <v>7.0715956948993917</v>
      </c>
      <c r="I26" s="33">
        <f>AVERAGE(C26:G26)</f>
        <v>7.0832996438118965</v>
      </c>
      <c r="J26" s="33">
        <f>MEDIAN(C26:G26)</f>
        <v>7.0715956948993917</v>
      </c>
    </row>
    <row r="27" spans="2:10" x14ac:dyDescent="0.3">
      <c r="I27" s="41"/>
      <c r="J27" s="41"/>
    </row>
    <row r="28" spans="2:10" x14ac:dyDescent="0.3">
      <c r="B28" s="28" t="s">
        <v>310</v>
      </c>
      <c r="C28" s="34">
        <f>'Historical FS'!C6/'Historical FS'!C49</f>
        <v>83.380649267982179</v>
      </c>
      <c r="D28" s="34">
        <f>'Historical FS'!D6/'Historical FS'!D49</f>
        <v>85.812001227747089</v>
      </c>
      <c r="E28" s="34">
        <f>'Historical FS'!E6/'Historical FS'!E49</f>
        <v>69.173188405797106</v>
      </c>
      <c r="F28" s="34">
        <f>'Historical FS'!F6/'Historical FS'!F49</f>
        <v>77.056472961048783</v>
      </c>
      <c r="G28" s="34">
        <f>'Historical FS'!G6/'Historical FS'!G49</f>
        <v>73.68406093678945</v>
      </c>
      <c r="I28" s="34">
        <f>AVERAGE(C28:G28)</f>
        <v>77.821274559872933</v>
      </c>
      <c r="J28" s="34">
        <f>MEDIAN(C28:G28)</f>
        <v>77.056472961048783</v>
      </c>
    </row>
    <row r="29" spans="2:10" x14ac:dyDescent="0.3">
      <c r="B29" t="s">
        <v>311</v>
      </c>
      <c r="C29" s="35">
        <f>'Historical FS'!C6/'Historical FS'!C61</f>
        <v>10.418436331822159</v>
      </c>
      <c r="D29" s="35">
        <f>'Historical FS'!D6/'Historical FS'!D61</f>
        <v>10.607861736639411</v>
      </c>
      <c r="E29" s="35">
        <f>'Historical FS'!E6/'Historical FS'!E61</f>
        <v>9.6489833049748146</v>
      </c>
      <c r="F29" s="35">
        <f>'Historical FS'!F6/'Historical FS'!F61</f>
        <v>10.558762566069023</v>
      </c>
      <c r="G29" s="35">
        <f>'Historical FS'!G6/'Historical FS'!G61</f>
        <v>10.699016144474891</v>
      </c>
      <c r="I29" s="35">
        <f>AVERAGE(C29:G29)</f>
        <v>10.386612016796059</v>
      </c>
      <c r="J29" s="35">
        <f>MEDIAN(C29:G29)</f>
        <v>10.558762566069023</v>
      </c>
    </row>
    <row r="30" spans="2:10" x14ac:dyDescent="0.3">
      <c r="B30" t="s">
        <v>312</v>
      </c>
      <c r="C30" s="35">
        <f>'Historical FS'!C6/'Historical FS'!C48</f>
        <v>11.79169573534376</v>
      </c>
      <c r="D30" s="35">
        <f>'Historical FS'!D6/'Historical FS'!D48</f>
        <v>12.439676077332088</v>
      </c>
      <c r="E30" s="35">
        <f>'Historical FS'!E6/'Historical FS'!E48</f>
        <v>10.135265700483092</v>
      </c>
      <c r="F30" s="35">
        <f>'Historical FS'!F6/'Historical FS'!F48</f>
        <v>10.804740526018099</v>
      </c>
      <c r="G30" s="35">
        <f>'Historical FS'!G6/'Historical FS'!G48</f>
        <v>11.807276105807768</v>
      </c>
      <c r="I30" s="35">
        <f>AVERAGE(C30:G30)</f>
        <v>11.39573082899696</v>
      </c>
      <c r="J30" s="35">
        <f>MEDIAN(C30:G30)</f>
        <v>11.79169573534376</v>
      </c>
    </row>
    <row r="31" spans="2:10" x14ac:dyDescent="0.3">
      <c r="B31" t="s">
        <v>313</v>
      </c>
      <c r="C31" s="35">
        <f>'Historical FS'!C6/('Historical FS'!C53+'Historical FS'!C54)</f>
        <v>4.1241095955103937</v>
      </c>
      <c r="D31" s="35">
        <f>'Historical FS'!D6/('Historical FS'!D53+'Historical FS'!D54)</f>
        <v>5.0902246740951131</v>
      </c>
      <c r="E31" s="35">
        <f>'Historical FS'!E6/('Historical FS'!E53+'Historical FS'!E54)</f>
        <v>5.0855412700667708</v>
      </c>
      <c r="F31" s="35">
        <f>'Historical FS'!F6/('Historical FS'!F53+'Historical FS'!F54)</f>
        <v>5.1268010802287938</v>
      </c>
      <c r="G31" s="35">
        <f>'Historical FS'!G6/('Historical FS'!G53+'Historical FS'!G54)</f>
        <v>4.9726480381776614</v>
      </c>
      <c r="I31" s="35">
        <f>AVERAGE(C31:G31)</f>
        <v>4.8798649316157467</v>
      </c>
      <c r="J31" s="35">
        <f>MEDIAN(C31:G31)</f>
        <v>5.0855412700667708</v>
      </c>
    </row>
    <row r="32" spans="2:10" x14ac:dyDescent="0.3">
      <c r="B32" s="29" t="s">
        <v>314</v>
      </c>
      <c r="C32" s="36">
        <f>'Historical FS'!C6/(SUM('Historical FS'!C68:C71))</f>
        <v>6.4249068079262308</v>
      </c>
      <c r="D32" s="36">
        <f>'Historical FS'!D6/(SUM('Historical FS'!D68:D71))</f>
        <v>6.3880339536849799</v>
      </c>
      <c r="E32" s="36">
        <f>'Historical FS'!E6/(SUM('Historical FS'!E68:E71))</f>
        <v>6.232971672960355</v>
      </c>
      <c r="F32" s="36">
        <f>'Historical FS'!F6/(SUM('Historical FS'!F68:F71))</f>
        <v>7.278029788905954</v>
      </c>
      <c r="G32" s="36">
        <f>'Historical FS'!G6/(SUM('Historical FS'!G68:G71))</f>
        <v>7.1559881198176019</v>
      </c>
      <c r="I32" s="36">
        <f>AVERAGE(C32:G32)</f>
        <v>6.6959860686590247</v>
      </c>
      <c r="J32" s="36">
        <f>MEDIAN(C32:G32)</f>
        <v>6.4249068079262308</v>
      </c>
    </row>
    <row r="33" spans="2:10" x14ac:dyDescent="0.3">
      <c r="I33" s="41"/>
      <c r="J33" s="41"/>
    </row>
    <row r="34" spans="2:10" x14ac:dyDescent="0.3">
      <c r="B34" s="28" t="s">
        <v>315</v>
      </c>
      <c r="C34" s="37">
        <f t="shared" ref="C34:G36" si="4">365/C28</f>
        <v>4.3775144857280273</v>
      </c>
      <c r="D34" s="37">
        <f t="shared" si="4"/>
        <v>4.253484300305284</v>
      </c>
      <c r="E34" s="37">
        <f t="shared" si="4"/>
        <v>5.2766109010150952</v>
      </c>
      <c r="F34" s="37">
        <f t="shared" si="4"/>
        <v>4.7367857101959956</v>
      </c>
      <c r="G34" s="37">
        <f t="shared" si="4"/>
        <v>4.9535814850530375</v>
      </c>
      <c r="I34" s="37">
        <f>AVERAGE(C34:G34)</f>
        <v>4.7195953764594876</v>
      </c>
      <c r="J34" s="37">
        <f>MEDIAN(C34:G34)</f>
        <v>4.7367857101959956</v>
      </c>
    </row>
    <row r="35" spans="2:10" x14ac:dyDescent="0.3">
      <c r="B35" t="s">
        <v>316</v>
      </c>
      <c r="C35" s="38">
        <f t="shared" si="4"/>
        <v>35.03404814071196</v>
      </c>
      <c r="D35" s="38">
        <f t="shared" si="4"/>
        <v>34.408442442202556</v>
      </c>
      <c r="E35" s="38">
        <f t="shared" si="4"/>
        <v>37.827819622385874</v>
      </c>
      <c r="F35" s="38">
        <f t="shared" si="4"/>
        <v>34.568444712729985</v>
      </c>
      <c r="G35" s="38">
        <f t="shared" si="4"/>
        <v>34.115286403085825</v>
      </c>
      <c r="I35" s="38">
        <f>AVERAGE(C35:G35)</f>
        <v>35.190808264223236</v>
      </c>
      <c r="J35" s="38">
        <f>MEDIAN(C35:G35)</f>
        <v>34.568444712729985</v>
      </c>
    </row>
    <row r="36" spans="2:10" x14ac:dyDescent="0.3">
      <c r="B36" t="s">
        <v>317</v>
      </c>
      <c r="C36" s="38">
        <f t="shared" si="4"/>
        <v>30.953987296837187</v>
      </c>
      <c r="D36" s="38">
        <f t="shared" si="4"/>
        <v>29.341600032907031</v>
      </c>
      <c r="E36" s="38">
        <f t="shared" si="4"/>
        <v>36.012869399428027</v>
      </c>
      <c r="F36" s="38">
        <f t="shared" si="4"/>
        <v>33.781468339852346</v>
      </c>
      <c r="G36" s="38">
        <f t="shared" si="4"/>
        <v>30.913141755062682</v>
      </c>
      <c r="I36" s="38">
        <f>AVERAGE(C36:G36)</f>
        <v>32.200613364817457</v>
      </c>
      <c r="J36" s="38">
        <f>MEDIAN(C36:G36)</f>
        <v>30.953987296837187</v>
      </c>
    </row>
    <row r="37" spans="2:10" x14ac:dyDescent="0.3">
      <c r="B37" s="29" t="s">
        <v>318</v>
      </c>
      <c r="C37" s="39">
        <f>IFERROR(C34+C36-C35,0)</f>
        <v>0.29745364185325229</v>
      </c>
      <c r="D37" s="39">
        <f t="shared" ref="D37:G37" si="5">IFERROR(D34+D36-D35,0)</f>
        <v>-0.81335810899024352</v>
      </c>
      <c r="E37" s="39">
        <f t="shared" si="5"/>
        <v>3.4616606780572496</v>
      </c>
      <c r="F37" s="39">
        <f t="shared" si="5"/>
        <v>3.9498093373183565</v>
      </c>
      <c r="G37" s="39">
        <f t="shared" si="5"/>
        <v>1.7514368370298925</v>
      </c>
      <c r="I37" s="39">
        <f>AVERAGE(C37:G37)</f>
        <v>1.7294004770537015</v>
      </c>
      <c r="J37" s="39">
        <f>MEDIAN(C37:G37)</f>
        <v>1.7514368370298925</v>
      </c>
    </row>
    <row r="38" spans="2:10" x14ac:dyDescent="0.3">
      <c r="I38" s="41"/>
      <c r="J38" s="41"/>
    </row>
    <row r="39" spans="2:10" x14ac:dyDescent="0.3">
      <c r="B39" s="28" t="s">
        <v>319</v>
      </c>
      <c r="C39" s="30">
        <f>'Historical FS'!C82/'Historical FS'!C6</f>
        <v>4.8199876327381271E-2</v>
      </c>
      <c r="D39" s="30">
        <f>'Historical FS'!D82/'Historical FS'!D6</f>
        <v>6.4515667503053736E-2</v>
      </c>
      <c r="E39" s="30">
        <f>'Historical FS'!E82/'Historical FS'!E6</f>
        <v>4.221882343903316E-2</v>
      </c>
      <c r="F39" s="30">
        <f>'Historical FS'!F82/'Historical FS'!F6</f>
        <v>4.7180629783948345E-2</v>
      </c>
      <c r="G39" s="30">
        <f>'Historical FS'!G82/'Historical FS'!G6</f>
        <v>5.512208293153327E-2</v>
      </c>
      <c r="I39" s="40">
        <f>AVERAGE(C39:G39)</f>
        <v>5.1447415996989952E-2</v>
      </c>
      <c r="J39" s="40">
        <f>MEDIAN(C39:G39)</f>
        <v>4.8199876327381271E-2</v>
      </c>
    </row>
    <row r="40" spans="2:10" x14ac:dyDescent="0.3">
      <c r="B40" t="s">
        <v>320</v>
      </c>
      <c r="C40" s="31">
        <f>'Historical FS'!C82/'Historical FS'!C59</f>
        <v>0.10678872703439819</v>
      </c>
      <c r="D40" s="31">
        <f>'Historical FS'!D82/'Historical FS'!D59</f>
        <v>0.14286959001330715</v>
      </c>
      <c r="E40" s="31">
        <f>'Historical FS'!E82/'Historical FS'!E59</f>
        <v>9.8754390263824224E-2</v>
      </c>
      <c r="F40" s="31">
        <f>'Historical FS'!F82/'Historical FS'!F59</f>
        <v>0.11859110104154245</v>
      </c>
      <c r="G40" s="31">
        <f>'Historical FS'!G82/'Historical FS'!G59</f>
        <v>0.1415457272017718</v>
      </c>
      <c r="I40" s="41">
        <f>AVERAGE(C40:G40)</f>
        <v>0.12170990711096877</v>
      </c>
      <c r="J40" s="41">
        <f>MEDIAN(C40:G40)</f>
        <v>0.11859110104154245</v>
      </c>
    </row>
    <row r="41" spans="2:10" x14ac:dyDescent="0.3">
      <c r="B41" s="29" t="s">
        <v>321</v>
      </c>
      <c r="C41" s="32">
        <f>'Historical FS'!C82/('Historical FS'!C72+'Historical FS'!C63)</f>
        <v>0.3486670440268938</v>
      </c>
      <c r="D41" s="32">
        <f>'Historical FS'!D82/('Historical FS'!D72+'Historical FS'!D63)</f>
        <v>0.57037599215760681</v>
      </c>
      <c r="E41" s="32">
        <f>'Historical FS'!E82/('Historical FS'!E72+'Historical FS'!E63)</f>
        <v>0.42183765678697904</v>
      </c>
      <c r="F41" s="32">
        <f>'Historical FS'!F82/('Historical FS'!F72+'Historical FS'!F63)</f>
        <v>0.48946930740118461</v>
      </c>
      <c r="G41" s="32">
        <f>'Historical FS'!G82/('Historical FS'!G72+'Historical FS'!G63)</f>
        <v>0.58260628495947553</v>
      </c>
      <c r="I41" s="42">
        <f>AVERAGE(C41:G41)</f>
        <v>0.48259125706642791</v>
      </c>
      <c r="J41" s="42">
        <f>MEDIAN(C41:G41)</f>
        <v>0.48946930740118461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E028-8B83-4047-9BC0-1DCD0CA7C880}">
  <dimension ref="B2:O40"/>
  <sheetViews>
    <sheetView showGridLines="0" topLeftCell="A22" zoomScale="85" zoomScaleNormal="85" workbookViewId="0">
      <selection sqref="A1:XFD1048576"/>
    </sheetView>
  </sheetViews>
  <sheetFormatPr defaultRowHeight="14.4" x14ac:dyDescent="0.3"/>
  <cols>
    <col min="1" max="1" width="1.88671875" customWidth="1"/>
    <col min="2" max="2" width="63.5546875" bestFit="1" customWidth="1"/>
    <col min="3" max="7" width="19.21875" bestFit="1" customWidth="1"/>
  </cols>
  <sheetData>
    <row r="2" spans="2:15" x14ac:dyDescent="0.3">
      <c r="B2" s="166" t="str">
        <f>"Common Size Income Statement"&amp;"-"&amp;'Data Sheet'!$B$2</f>
        <v>Common Size Income Statement-Walmart Inc.</v>
      </c>
      <c r="C2" s="166"/>
      <c r="D2" s="166"/>
      <c r="E2" s="166"/>
      <c r="F2" s="166"/>
      <c r="G2" s="166"/>
      <c r="H2" s="45"/>
      <c r="I2" s="45"/>
      <c r="J2" s="45"/>
      <c r="K2" s="45"/>
      <c r="L2" s="45"/>
      <c r="M2" s="45"/>
      <c r="N2" s="45"/>
      <c r="O2" s="45"/>
    </row>
    <row r="3" spans="2:15" x14ac:dyDescent="0.3">
      <c r="B3" s="27" t="str">
        <f>'Historical FS'!$B$3</f>
        <v>Years</v>
      </c>
      <c r="C3" s="146">
        <f>'Historical FS'!$C$3</f>
        <v>43861</v>
      </c>
      <c r="D3" s="146">
        <f>'Historical FS'!$D$3</f>
        <v>44227</v>
      </c>
      <c r="E3" s="146">
        <f>'Historical FS'!$E$3</f>
        <v>44592</v>
      </c>
      <c r="F3" s="146">
        <f>'Historical FS'!$F$3</f>
        <v>44957</v>
      </c>
      <c r="G3" s="146">
        <f>'Historical FS'!$G$3</f>
        <v>45322</v>
      </c>
      <c r="H3" s="45"/>
      <c r="I3" s="45"/>
      <c r="J3" s="45"/>
      <c r="K3" s="45"/>
      <c r="L3" s="45"/>
      <c r="M3" s="45"/>
      <c r="N3" s="45"/>
      <c r="O3" s="45"/>
    </row>
    <row r="5" spans="2:15" x14ac:dyDescent="0.3">
      <c r="B5" s="132" t="str">
        <f>TRIM('Data Sheet'!B11)</f>
        <v>Total Revenue</v>
      </c>
      <c r="C5" s="147">
        <f>IF('Data Sheet'!C11&gt;0,'Data Sheet'!C11/'Data Sheet'!C$11,('Data Sheet'!C11/'Data Sheet'!C$11)*-1)</f>
        <v>1</v>
      </c>
      <c r="D5" s="147">
        <f>IF('Data Sheet'!D11&gt;0,'Data Sheet'!D11/'Data Sheet'!D$11,('Data Sheet'!D11/'Data Sheet'!D$11)*-1)</f>
        <v>1</v>
      </c>
      <c r="E5" s="147">
        <f>IF('Data Sheet'!E11&gt;0,'Data Sheet'!E11/'Data Sheet'!E$11,('Data Sheet'!E11/'Data Sheet'!E$11)*-1)</f>
        <v>1</v>
      </c>
      <c r="F5" s="147">
        <f>IF('Data Sheet'!F11&gt;0,'Data Sheet'!F11/'Data Sheet'!F$11,('Data Sheet'!F11/'Data Sheet'!F$11)*-1)</f>
        <v>1</v>
      </c>
      <c r="G5" s="147">
        <f>IF('Data Sheet'!G11&gt;0,'Data Sheet'!G11/'Data Sheet'!G$11,('Data Sheet'!G11/'Data Sheet'!G$11)*-1)</f>
        <v>1</v>
      </c>
    </row>
    <row r="6" spans="2:15" x14ac:dyDescent="0.3">
      <c r="B6" s="132" t="str">
        <f>TRIM('Data Sheet'!B14)</f>
        <v>Cost of Goods and Services</v>
      </c>
      <c r="C6" s="147">
        <f>IF('Data Sheet'!C14&gt;0,'Data Sheet'!C14/'Data Sheet'!C$11,('Data Sheet'!C14/'Data Sheet'!C$11)*-1)</f>
        <v>0.75311471780504002</v>
      </c>
      <c r="D6" s="147">
        <f>IF('Data Sheet'!D14&gt;0,'Data Sheet'!D14/'Data Sheet'!D$11,('Data Sheet'!D14/'Data Sheet'!D$11)*-1)</f>
        <v>0.75170213412834819</v>
      </c>
      <c r="E6" s="147">
        <f>IF('Data Sheet'!E14&gt;0,'Data Sheet'!E14/'Data Sheet'!E$11,('Data Sheet'!E14/'Data Sheet'!E$11)*-1)</f>
        <v>0.7490126651232466</v>
      </c>
      <c r="F6" s="147">
        <f>IF('Data Sheet'!F14&gt;0,'Data Sheet'!F14/'Data Sheet'!F$11,('Data Sheet'!F14/'Data Sheet'!F$11)*-1)</f>
        <v>0.75859536160474017</v>
      </c>
      <c r="G6" s="147">
        <f>IF('Data Sheet'!G14&gt;0,'Data Sheet'!G14/'Data Sheet'!G$11,('Data Sheet'!G14/'Data Sheet'!G$11)*-1)</f>
        <v>0.7562460945033751</v>
      </c>
    </row>
    <row r="7" spans="2:15" x14ac:dyDescent="0.3">
      <c r="B7" s="132" t="str">
        <f>'Data Sheet'!B10</f>
        <v>Gross Profit</v>
      </c>
      <c r="C7" s="147">
        <f>IF('Data Sheet'!C10&gt;0,'Data Sheet'!C10/'Data Sheet'!C$11,('Data Sheet'!C10/'Data Sheet'!C$11)*-1)</f>
        <v>0.24688528219495995</v>
      </c>
      <c r="D7" s="147">
        <f>IF('Data Sheet'!D10&gt;0,'Data Sheet'!D10/'Data Sheet'!D$11,('Data Sheet'!D10/'Data Sheet'!D$11)*-1)</f>
        <v>0.24829786587165184</v>
      </c>
      <c r="E7" s="147">
        <f>IF('Data Sheet'!E10&gt;0,'Data Sheet'!E10/'Data Sheet'!E$11,('Data Sheet'!E10/'Data Sheet'!E$11)*-1)</f>
        <v>0.25098733487675334</v>
      </c>
      <c r="F7" s="147">
        <f>IF('Data Sheet'!F10&gt;0,'Data Sheet'!F10/'Data Sheet'!F$11,('Data Sheet'!F10/'Data Sheet'!F$11)*-1)</f>
        <v>0.24140463839525986</v>
      </c>
      <c r="G7" s="147">
        <f>IF('Data Sheet'!G10&gt;0,'Data Sheet'!G10/'Data Sheet'!G$11,('Data Sheet'!G10/'Data Sheet'!G$11)*-1)</f>
        <v>0.24375390549662487</v>
      </c>
    </row>
    <row r="8" spans="2:15" x14ac:dyDescent="0.3">
      <c r="B8" s="132" t="str">
        <f>TRIM('Data Sheet'!B16)</f>
        <v>Selling, General and Administrative Expenses</v>
      </c>
      <c r="C8" s="147">
        <f>IF('Data Sheet'!C16&gt;0,'Data Sheet'!C16/'Data Sheet'!C$11,('Data Sheet'!C16/'Data Sheet'!C$11)*-1)</f>
        <v>0.20763067691673473</v>
      </c>
      <c r="D8" s="147">
        <f>IF('Data Sheet'!D16&gt;0,'Data Sheet'!D16/'Data Sheet'!D$11,('Data Sheet'!D16/'Data Sheet'!D$11)*-1)</f>
        <v>0.20797244393732642</v>
      </c>
      <c r="E8" s="147">
        <f>IF('Data Sheet'!E16&gt;0,'Data Sheet'!E16/'Data Sheet'!E$11,('Data Sheet'!E16/'Data Sheet'!E$11)*-1)</f>
        <v>0.20569389301515137</v>
      </c>
      <c r="F8" s="147">
        <f>IF('Data Sheet'!F16&gt;0,'Data Sheet'!F16/'Data Sheet'!F$11,('Data Sheet'!F16/'Data Sheet'!F$11)*-1)</f>
        <v>0.20798672968105103</v>
      </c>
      <c r="G8" s="147">
        <f>IF('Data Sheet'!G16&gt;0,'Data Sheet'!G16/'Data Sheet'!G$11,('Data Sheet'!G16/'Data Sheet'!G$11)*-1)</f>
        <v>0.20207675988428159</v>
      </c>
    </row>
    <row r="9" spans="2:15" x14ac:dyDescent="0.3">
      <c r="B9" s="132" t="str">
        <f>'Data Sheet'!B17</f>
        <v>Total Operating Profit/Loss</v>
      </c>
      <c r="C9" s="147">
        <f>IF('Data Sheet'!C20&gt;0,'Data Sheet'!C20/'Data Sheet'!C$11,('Data Sheet'!C20/'Data Sheet'!C$11)*-1)</f>
        <v>4.5995526410211388E-3</v>
      </c>
      <c r="D9" s="147">
        <f>IF('Data Sheet'!D20&gt;0,'Data Sheet'!D20/'Data Sheet'!D$11,('Data Sheet'!D20/'Data Sheet'!D$11)*-1)</f>
        <v>3.9238059128929399E-3</v>
      </c>
      <c r="E9" s="147">
        <f>IF('Data Sheet'!E20&gt;0,'Data Sheet'!E20/'Data Sheet'!E$11,('Data Sheet'!E20/'Data Sheet'!E$11)*-1)</f>
        <v>3.2055646926952932E-3</v>
      </c>
      <c r="F9" s="147">
        <f>IF('Data Sheet'!F20&gt;0,'Data Sheet'!F20/'Data Sheet'!F$11,('Data Sheet'!F20/'Data Sheet'!F$11)*-1)</f>
        <v>3.0656530708061164E-3</v>
      </c>
      <c r="G9" s="147">
        <f>IF('Data Sheet'!G20&gt;0,'Data Sheet'!G20/'Data Sheet'!G$11,('Data Sheet'!G20/'Data Sheet'!G$11)*-1)</f>
        <v>3.2972034715525555E-3</v>
      </c>
    </row>
    <row r="10" spans="2:15" x14ac:dyDescent="0.3">
      <c r="B10" s="132" t="str">
        <f>TRIM('Data Sheet'!B44)</f>
        <v>Depreciation and Amortization, Supplemental</v>
      </c>
      <c r="C10" s="147">
        <f>IF('Data Sheet'!C44&gt;0,'Data Sheet'!C44/'Data Sheet'!C$11,('Data Sheet'!C44/'Data Sheet'!C$11)*-1)</f>
        <v>2.0993808734951255E-2</v>
      </c>
      <c r="D10" s="147">
        <f>IF('Data Sheet'!D44&gt;0,'Data Sheet'!D44/'Data Sheet'!D$11,('Data Sheet'!D44/'Data Sheet'!D$11)*-1)</f>
        <v>2.003036746782175E-2</v>
      </c>
      <c r="E10" s="147">
        <f>IF('Data Sheet'!E44&gt;0,'Data Sheet'!E44/'Data Sheet'!E$11,('Data Sheet'!E44/'Data Sheet'!E$11)*-1)</f>
        <v>1.8681667871372352E-2</v>
      </c>
      <c r="F10" s="147">
        <f>IF('Data Sheet'!F44&gt;0,'Data Sheet'!F44/'Data Sheet'!F$11,('Data Sheet'!F44/'Data Sheet'!F$11)*-1)</f>
        <v>0</v>
      </c>
      <c r="G10" s="147">
        <f>IF('Data Sheet'!G44&gt;0,'Data Sheet'!G44/'Data Sheet'!G$11,('Data Sheet'!G44/'Data Sheet'!G$11)*-1)</f>
        <v>1.8360655737704918E-2</v>
      </c>
    </row>
    <row r="11" spans="2:15" x14ac:dyDescent="0.3">
      <c r="B11" s="132" t="str">
        <f>TRIM('Data Sheet'!B21)</f>
        <v>Interest Expense Net of Capitalized Interest</v>
      </c>
      <c r="C11" s="147">
        <f>IF('Data Sheet'!C21&gt;0,'Data Sheet'!C21/'Data Sheet'!C$11,('Data Sheet'!C21/'Data Sheet'!C$11)*-1)</f>
        <v>4.9602644456489377E-3</v>
      </c>
      <c r="D11" s="147">
        <f>IF('Data Sheet'!D21&gt;0,'Data Sheet'!D21/'Data Sheet'!D$11,('Data Sheet'!D21/'Data Sheet'!D$11)*-1)</f>
        <v>4.1402054185720851E-3</v>
      </c>
      <c r="E11" s="147">
        <f>IF('Data Sheet'!E21&gt;0,'Data Sheet'!E21/'Data Sheet'!E$11,('Data Sheet'!E21/'Data Sheet'!E$11)*-1)</f>
        <v>3.481424835094997E-3</v>
      </c>
      <c r="F11" s="147">
        <f>IF('Data Sheet'!F21&gt;0,'Data Sheet'!F21/'Data Sheet'!F$11,('Data Sheet'!F21/'Data Sheet'!F$11)*-1)</f>
        <v>3.4811684816837864E-3</v>
      </c>
      <c r="G11" s="147">
        <f>IF('Data Sheet'!G21&gt;0,'Data Sheet'!G21/'Data Sheet'!G$11,('Data Sheet'!G21/'Data Sheet'!G$11)*-1)</f>
        <v>4.139633558341369E-3</v>
      </c>
    </row>
    <row r="12" spans="2:15" x14ac:dyDescent="0.3">
      <c r="B12" s="132" t="str">
        <f>TRIM('Data Sheet'!B23)</f>
        <v>Irregular Income/Expense</v>
      </c>
      <c r="C12" s="147">
        <f>IF('Data Sheet'!C23&gt;0,'Data Sheet'!C23/'Data Sheet'!C$11,('Data Sheet'!C23/'Data Sheet'!C$11)*-1)</f>
        <v>0</v>
      </c>
      <c r="D12" s="147">
        <f>IF('Data Sheet'!D23&gt;0,'Data Sheet'!D23/'Data Sheet'!D$11,('Data Sheet'!D23/'Data Sheet'!D$11)*-1)</f>
        <v>0</v>
      </c>
      <c r="E12" s="147">
        <f>IF('Data Sheet'!E23&gt;0,'Data Sheet'!E23/'Data Sheet'!E$11,('Data Sheet'!E23/'Data Sheet'!E$11)*-1)</f>
        <v>4.2077401467296603E-3</v>
      </c>
      <c r="F12" s="147">
        <f>IF('Data Sheet'!F23&gt;0,'Data Sheet'!F23/'Data Sheet'!F$11,('Data Sheet'!F23/'Data Sheet'!F$11)*-1)</f>
        <v>0</v>
      </c>
      <c r="G12" s="147">
        <f>IF('Data Sheet'!G23&gt;0,'Data Sheet'!G23/'Data Sheet'!G$11,('Data Sheet'!G23/'Data Sheet'!G$11)*-1)</f>
        <v>0</v>
      </c>
    </row>
    <row r="13" spans="2:15" x14ac:dyDescent="0.3">
      <c r="B13" s="132" t="str">
        <f>TRIM('Data Sheet'!B24)</f>
        <v>Gain/Loss on Extinguishment of Debt</v>
      </c>
      <c r="C13" s="147">
        <f>IF('Data Sheet'!C24&gt;0,'Data Sheet'!C24/'Data Sheet'!C$11,('Data Sheet'!C24/'Data Sheet'!C$11)*-1)</f>
        <v>0</v>
      </c>
      <c r="D13" s="147">
        <f>IF('Data Sheet'!D24&gt;0,'Data Sheet'!D24/'Data Sheet'!D$11,('Data Sheet'!D24/'Data Sheet'!D$11)*-1)</f>
        <v>0</v>
      </c>
      <c r="E13" s="147">
        <f>IF('Data Sheet'!E24&gt;0,'Data Sheet'!E24/'Data Sheet'!E$11,('Data Sheet'!E24/'Data Sheet'!E$11)*-1)</f>
        <v>4.2077401467296603E-3</v>
      </c>
      <c r="F13" s="147">
        <f>IF('Data Sheet'!F24&gt;0,'Data Sheet'!F24/'Data Sheet'!F$11,('Data Sheet'!F24/'Data Sheet'!F$11)*-1)</f>
        <v>0</v>
      </c>
      <c r="G13" s="147">
        <f>IF('Data Sheet'!G24&gt;0,'Data Sheet'!G24/'Data Sheet'!G$11,('Data Sheet'!G24/'Data Sheet'!G$11)*-1)</f>
        <v>0</v>
      </c>
    </row>
    <row r="14" spans="2:15" x14ac:dyDescent="0.3">
      <c r="B14" s="132" t="str">
        <f>TRIM('Data Sheet'!B25)</f>
        <v>Other Income/Expense, Non-Operating</v>
      </c>
      <c r="C14" s="147">
        <f>IF('Data Sheet'!C25&gt;0,'Data Sheet'!C25/'Data Sheet'!C$11,('Data Sheet'!C25/'Data Sheet'!C$11)*-1)</f>
        <v>3.7368979548213234E-3</v>
      </c>
      <c r="D14" s="147">
        <f>IF('Data Sheet'!D25&gt;0,'Data Sheet'!D25/'Data Sheet'!D$11,('Data Sheet'!D25/'Data Sheet'!D$11)*-1)</f>
        <v>3.7556939002165784E-4</v>
      </c>
      <c r="E14" s="147">
        <f>IF('Data Sheet'!E25&gt;0,'Data Sheet'!E25/'Data Sheet'!E$11,('Data Sheet'!E25/'Data Sheet'!E$11)*-1)</f>
        <v>5.2378508050576686E-3</v>
      </c>
      <c r="F14" s="147">
        <f>IF('Data Sheet'!F25&gt;0,'Data Sheet'!F25/'Data Sheet'!F$11,('Data Sheet'!F25/'Data Sheet'!F$11)*-1)</f>
        <v>2.5159948894876239E-3</v>
      </c>
      <c r="G14" s="147">
        <f>IF('Data Sheet'!G25&gt;0,'Data Sheet'!G25/'Data Sheet'!G$11,('Data Sheet'!G25/'Data Sheet'!G$11)*-1)</f>
        <v>4.6703953712632596E-3</v>
      </c>
    </row>
    <row r="15" spans="2:15" x14ac:dyDescent="0.3">
      <c r="B15" s="132" t="str">
        <f>TRIM('Data Sheet'!B26)</f>
        <v>Pretax Income</v>
      </c>
      <c r="C15" s="147">
        <f>IF('Data Sheet'!C26&gt;0,'Data Sheet'!C26/'Data Sheet'!C$11,('Data Sheet'!C26/'Data Sheet'!C$11)*-1)</f>
        <v>3.8391950592025409E-2</v>
      </c>
      <c r="D15" s="147">
        <f>IF('Data Sheet'!D26&gt;0,'Data Sheet'!D26/'Data Sheet'!D$11,('Data Sheet'!D26/'Data Sheet'!D$11)*-1)</f>
        <v>3.6777185411454152E-2</v>
      </c>
      <c r="E15" s="147">
        <f>IF('Data Sheet'!E26&gt;0,'Data Sheet'!E26/'Data Sheet'!E$11,('Data Sheet'!E26/'Data Sheet'!E$11)*-1)</f>
        <v>3.2642286217119391E-2</v>
      </c>
      <c r="F15" s="147">
        <f>IF('Data Sheet'!F26&gt;0,'Data Sheet'!F26/'Data Sheet'!F$11,('Data Sheet'!F26/'Data Sheet'!F$11)*-1)</f>
        <v>2.7836260753915088E-2</v>
      </c>
      <c r="G15" s="147">
        <f>IF('Data Sheet'!G26&gt;0,'Data Sheet'!G26/'Data Sheet'!G$11,('Data Sheet'!G26/'Data Sheet'!G$11)*-1)</f>
        <v>3.3709546769527483E-2</v>
      </c>
    </row>
    <row r="16" spans="2:15" x14ac:dyDescent="0.3">
      <c r="B16" s="132" t="str">
        <f>TRIM('Data Sheet'!B27)</f>
        <v>Provision for Income Tax</v>
      </c>
      <c r="C16" s="147">
        <f>IF('Data Sheet'!C27&gt;0,'Data Sheet'!C27/'Data Sheet'!C$11,('Data Sheet'!C27/'Data Sheet'!C$11)*-1)</f>
        <v>9.3804154483895837E-3</v>
      </c>
      <c r="D16" s="147">
        <f>IF('Data Sheet'!D27&gt;0,'Data Sheet'!D27/'Data Sheet'!D$11,('Data Sheet'!D27/'Data Sheet'!D$11)*-1)</f>
        <v>1.2265023222707283E-2</v>
      </c>
      <c r="E16" s="147">
        <f>IF('Data Sheet'!E27&gt;0,'Data Sheet'!E27/'Data Sheet'!E$11,('Data Sheet'!E27/'Data Sheet'!E$11)*-1)</f>
        <v>8.3037394762847574E-3</v>
      </c>
      <c r="F16" s="147">
        <f>IF('Data Sheet'!F27&gt;0,'Data Sheet'!F27/'Data Sheet'!F$11,('Data Sheet'!F27/'Data Sheet'!F$11)*-1)</f>
        <v>9.3638197317471774E-3</v>
      </c>
      <c r="G16" s="147">
        <f>IF('Data Sheet'!G27&gt;0,'Data Sheet'!G27/'Data Sheet'!G$11,('Data Sheet'!G27/'Data Sheet'!G$11)*-1)</f>
        <v>8.6063645130183223E-3</v>
      </c>
    </row>
    <row r="17" spans="2:7" x14ac:dyDescent="0.3">
      <c r="B17" s="132" t="str">
        <f>TRIM('Data Sheet'!B31)</f>
        <v>Net Income after Extraordinary Items and Discontinued Operations</v>
      </c>
      <c r="C17" s="147">
        <f>IF('Data Sheet'!C31&gt;0,'Data Sheet'!C31/'Data Sheet'!C$11,('Data Sheet'!C31/'Data Sheet'!C$11)*-1)</f>
        <v>2.9011535143635823E-2</v>
      </c>
      <c r="D17" s="147">
        <f>IF('Data Sheet'!D31&gt;0,'Data Sheet'!D31/'Data Sheet'!D$11,('Data Sheet'!D31/'Data Sheet'!D$11)*-1)</f>
        <v>2.4512162188746869E-2</v>
      </c>
      <c r="E17" s="147">
        <f>IF('Data Sheet'!E31&gt;0,'Data Sheet'!E31/'Data Sheet'!E$11,('Data Sheet'!E31/'Data Sheet'!E$11)*-1)</f>
        <v>2.4338546740834636E-2</v>
      </c>
      <c r="F17" s="147">
        <f>IF('Data Sheet'!F31&gt;0,'Data Sheet'!F31/'Data Sheet'!F$11,('Data Sheet'!F31/'Data Sheet'!F$11)*-1)</f>
        <v>1.8472441022167909E-2</v>
      </c>
      <c r="G17" s="147">
        <f>IF('Data Sheet'!G31&gt;0,'Data Sheet'!G31/'Data Sheet'!G$11,('Data Sheet'!G31/'Data Sheet'!G$11)*-1)</f>
        <v>2.5103182256509159E-2</v>
      </c>
    </row>
    <row r="18" spans="2:7" x14ac:dyDescent="0.3">
      <c r="B18" s="132" t="str">
        <f>TRIM('Data Sheet'!B32)</f>
        <v>Non-Controlling/Minority Interests</v>
      </c>
      <c r="C18" s="147">
        <f>IF('Data Sheet'!C32&gt;0,'Data Sheet'!C32/'Data Sheet'!C$11,('Data Sheet'!C32/'Data Sheet'!C$11)*-1)</f>
        <v>6.1072898138040017E-4</v>
      </c>
      <c r="D18" s="147">
        <f>IF('Data Sheet'!D32&gt;0,'Data Sheet'!D32/'Data Sheet'!D$11,('Data Sheet'!D32/'Data Sheet'!D$11)*-1)</f>
        <v>3.5053143068688064E-4</v>
      </c>
      <c r="E18" s="147">
        <f>IF('Data Sheet'!E32&gt;0,'Data Sheet'!E32/'Data Sheet'!E$11,('Data Sheet'!E32/'Data Sheet'!E$11)*-1)</f>
        <v>4.6616872165013254E-4</v>
      </c>
      <c r="F18" s="147">
        <f>IF('Data Sheet'!F32&gt;0,'Data Sheet'!F32/'Data Sheet'!F$11,('Data Sheet'!F32/'Data Sheet'!F$11)*-1)</f>
        <v>6.3472432842730687E-4</v>
      </c>
      <c r="G18" s="147">
        <f>IF('Data Sheet'!G32&gt;0,'Data Sheet'!G32/'Data Sheet'!G$11,('Data Sheet'!G32/'Data Sheet'!G$11)*-1)</f>
        <v>1.1710703953712633E-3</v>
      </c>
    </row>
    <row r="19" spans="2:7" x14ac:dyDescent="0.3">
      <c r="B19" s="132" t="str">
        <f>TRIM('Data Sheet'!B34)</f>
        <v>Net Income Available to Common Stockholders</v>
      </c>
      <c r="C19" s="147">
        <f>IF('Data Sheet'!C34&gt;0,'Data Sheet'!C34/'Data Sheet'!C$11,('Data Sheet'!C34/'Data Sheet'!C$11)*-1)</f>
        <v>2.8400806162255422E-2</v>
      </c>
      <c r="D19" s="147">
        <f>IF('Data Sheet'!D34&gt;0,'Data Sheet'!D34/'Data Sheet'!D$11,('Data Sheet'!D34/'Data Sheet'!D$11)*-1)</f>
        <v>2.4161630758059986E-2</v>
      </c>
      <c r="E19" s="147">
        <f>IF('Data Sheet'!E34&gt;0,'Data Sheet'!E34/'Data Sheet'!E$11,('Data Sheet'!E34/'Data Sheet'!E$11)*-1)</f>
        <v>2.3872378019184501E-2</v>
      </c>
      <c r="F19" s="147">
        <f>IF('Data Sheet'!F34&gt;0,'Data Sheet'!F34/'Data Sheet'!F$11,('Data Sheet'!F34/'Data Sheet'!F$11)*-1)</f>
        <v>1.9107165350595218E-2</v>
      </c>
      <c r="G19" s="147">
        <f>IF('Data Sheet'!G34&gt;0,'Data Sheet'!G34/'Data Sheet'!G$11,('Data Sheet'!G34/'Data Sheet'!G$11)*-1)</f>
        <v>2.3932111861137896E-2</v>
      </c>
    </row>
    <row r="22" spans="2:7" x14ac:dyDescent="0.3">
      <c r="B22" s="166" t="str">
        <f>"Balance Sheet"&amp;"-"&amp;'Data Sheet'!$B$2</f>
        <v>Balance Sheet-Walmart Inc.</v>
      </c>
      <c r="C22" s="166"/>
      <c r="D22" s="166"/>
      <c r="E22" s="166"/>
      <c r="F22" s="166"/>
      <c r="G22" s="166"/>
    </row>
    <row r="23" spans="2:7" x14ac:dyDescent="0.3">
      <c r="B23" s="27" t="str">
        <f>'Historical FS'!$B$3</f>
        <v>Years</v>
      </c>
      <c r="C23" s="146">
        <f>'Historical FS'!$C$3</f>
        <v>43861</v>
      </c>
      <c r="D23" s="146">
        <f>'Historical FS'!$D$3</f>
        <v>44227</v>
      </c>
      <c r="E23" s="146">
        <f>'Historical FS'!$E$3</f>
        <v>44592</v>
      </c>
      <c r="F23" s="146">
        <f>'Historical FS'!$F$3</f>
        <v>44957</v>
      </c>
      <c r="G23" s="146">
        <f>'Historical FS'!$G$3</f>
        <v>45322</v>
      </c>
    </row>
    <row r="25" spans="2:7" x14ac:dyDescent="0.3">
      <c r="B25" s="148" t="str">
        <f>TRIM('Data Sheet'!B66)</f>
        <v>Total Assets</v>
      </c>
      <c r="C25" s="149">
        <f>IF('Data Sheet'!C66&gt;0,'Data Sheet'!C66/'Data Sheet'!C$66,('Data Sheet'!C66/'Data Sheet'!C$66)*-1)</f>
        <v>1</v>
      </c>
      <c r="D25" s="149">
        <f>IF('Data Sheet'!D66&gt;0,'Data Sheet'!D66/'Data Sheet'!D$66,('Data Sheet'!D66/'Data Sheet'!D$66)*-1)</f>
        <v>1</v>
      </c>
      <c r="E25" s="149">
        <f>IF('Data Sheet'!E66&gt;0,'Data Sheet'!E66/'Data Sheet'!E$66,('Data Sheet'!E66/'Data Sheet'!E$66)*-1)</f>
        <v>1</v>
      </c>
      <c r="F25" s="149">
        <f>IF('Data Sheet'!F66&gt;0,'Data Sheet'!F66/'Data Sheet'!F$66,('Data Sheet'!F66/'Data Sheet'!F$66)*-1)</f>
        <v>1</v>
      </c>
      <c r="G25" s="149">
        <f>IF('Data Sheet'!G66&gt;0,'Data Sheet'!G66/'Data Sheet'!G$66,('Data Sheet'!G66/'Data Sheet'!G$66)*-1)</f>
        <v>1</v>
      </c>
    </row>
    <row r="26" spans="2:7" x14ac:dyDescent="0.3">
      <c r="B26" s="132" t="str">
        <f>TRIM('Data Sheet'!B69)</f>
        <v>Cash and Cash Equivalents</v>
      </c>
      <c r="C26" s="147">
        <f>IF('Data Sheet'!C69&gt;0,'Data Sheet'!C69/'Data Sheet'!C$66,('Data Sheet'!C69/'Data Sheet'!C$66)*-1)</f>
        <v>4.0021987779868498E-2</v>
      </c>
      <c r="D26" s="147">
        <f>IF('Data Sheet'!D69&gt;0,'Data Sheet'!D69/'Data Sheet'!D$66,('Data Sheet'!D69/'Data Sheet'!D$66)*-1)</f>
        <v>7.0262499207908238E-2</v>
      </c>
      <c r="E26" s="147">
        <f>IF('Data Sheet'!E69&gt;0,'Data Sheet'!E69/'Data Sheet'!E$66,('Data Sheet'!E69/'Data Sheet'!E$66)*-1)</f>
        <v>6.0279343298211226E-2</v>
      </c>
      <c r="F26" s="147">
        <f>IF('Data Sheet'!F69&gt;0,'Data Sheet'!F69/'Data Sheet'!F$66,('Data Sheet'!F69/'Data Sheet'!F$66)*-1)</f>
        <v>3.5465075638268562E-2</v>
      </c>
      <c r="G26" s="147">
        <f>IF('Data Sheet'!G69&gt;0,'Data Sheet'!G69/'Data Sheet'!G$66,('Data Sheet'!G69/'Data Sheet'!G$66)*-1)</f>
        <v>3.9092864868719768E-2</v>
      </c>
    </row>
    <row r="27" spans="2:7" x14ac:dyDescent="0.3">
      <c r="B27" s="132" t="str">
        <f>TRIM('Data Sheet'!B70)</f>
        <v>Inventories</v>
      </c>
      <c r="C27" s="147">
        <f>IF('Data Sheet'!C70&gt;0,'Data Sheet'!C70/'Data Sheet'!C$66,('Data Sheet'!C70/'Data Sheet'!C$66)*-1)</f>
        <v>0.1878898073955052</v>
      </c>
      <c r="D27" s="147">
        <f>IF('Data Sheet'!D70&gt;0,'Data Sheet'!D70/'Data Sheet'!D$66,('Data Sheet'!D70/'Data Sheet'!D$66)*-1)</f>
        <v>0.17801866168176922</v>
      </c>
      <c r="E27" s="147">
        <f>IF('Data Sheet'!E70&gt;0,'Data Sheet'!E70/'Data Sheet'!E$66,('Data Sheet'!E70/'Data Sheet'!E$66)*-1)</f>
        <v>0.23078902229845627</v>
      </c>
      <c r="F27" s="147">
        <f>IF('Data Sheet'!F70&gt;0,'Data Sheet'!F70/'Data Sheet'!F$66,('Data Sheet'!F70/'Data Sheet'!F$66)*-1)</f>
        <v>0.23263444861573129</v>
      </c>
      <c r="G27" s="147">
        <f>IF('Data Sheet'!G70&gt;0,'Data Sheet'!G70/'Data Sheet'!G$66,('Data Sheet'!G70/'Data Sheet'!G$66)*-1)</f>
        <v>0.21748105182667127</v>
      </c>
    </row>
    <row r="28" spans="2:7" x14ac:dyDescent="0.3">
      <c r="B28" s="132" t="str">
        <f>TRIM('Data Sheet'!B71)</f>
        <v>Trade and Other Receivables, Current</v>
      </c>
      <c r="C28" s="147">
        <f>IF('Data Sheet'!C71&gt;0,'Data Sheet'!C71/'Data Sheet'!C$66,('Data Sheet'!C71/'Data Sheet'!C$66)*-1)</f>
        <v>2.6571386287236518E-2</v>
      </c>
      <c r="D28" s="147">
        <f>IF('Data Sheet'!D71&gt;0,'Data Sheet'!D71/'Data Sheet'!D$66,('Data Sheet'!D71/'Data Sheet'!D$66)*-1)</f>
        <v>2.5806349407515368E-2</v>
      </c>
      <c r="E28" s="147">
        <f>IF('Data Sheet'!E71&gt;0,'Data Sheet'!E71/'Data Sheet'!E$66,('Data Sheet'!E71/'Data Sheet'!E$66)*-1)</f>
        <v>3.3815241362411173E-2</v>
      </c>
      <c r="F28" s="147">
        <f>IF('Data Sheet'!F71&gt;0,'Data Sheet'!F71/'Data Sheet'!F$66,('Data Sheet'!F71/'Data Sheet'!F$66)*-1)</f>
        <v>3.2619645801551828E-2</v>
      </c>
      <c r="G28" s="147">
        <f>IF('Data Sheet'!G71&gt;0,'Data Sheet'!G71/'Data Sheet'!G$66,('Data Sheet'!G71/'Data Sheet'!G$66)*-1)</f>
        <v>3.4849583397715524E-2</v>
      </c>
    </row>
    <row r="29" spans="2:7" x14ac:dyDescent="0.3">
      <c r="B29" s="132" t="str">
        <f>TRIM('Data Sheet'!B73)</f>
        <v>Other Current Assets</v>
      </c>
      <c r="C29" s="147">
        <f>IF('Data Sheet'!C73&gt;0,'Data Sheet'!C73/'Data Sheet'!C$66,('Data Sheet'!C73/'Data Sheet'!C$66)*-1)</f>
        <v>6.8584959512886104E-3</v>
      </c>
      <c r="D29" s="147">
        <f>IF('Data Sheet'!D73&gt;0,'Data Sheet'!D73/'Data Sheet'!D$66,('Data Sheet'!D73/'Data Sheet'!D$66)*-1)</f>
        <v>8.2619130600088714E-2</v>
      </c>
      <c r="E29" s="147">
        <f>IF('Data Sheet'!E73&gt;0,'Data Sheet'!E73/'Data Sheet'!E$66,('Data Sheet'!E73/'Data Sheet'!E$66)*-1)</f>
        <v>6.2035448827901657E-3</v>
      </c>
      <c r="F29" s="147">
        <f>IF('Data Sheet'!F73&gt;0,'Data Sheet'!F73/'Data Sheet'!F$66,('Data Sheet'!F73/'Data Sheet'!F$66)*-1)</f>
        <v>1.0366081818443484E-2</v>
      </c>
      <c r="G29" s="147">
        <f>IF('Data Sheet'!G73&gt;0,'Data Sheet'!G73/'Data Sheet'!G$66,('Data Sheet'!G73/'Data Sheet'!G$66)*-1)</f>
        <v>1.3161700323693834E-2</v>
      </c>
    </row>
    <row r="30" spans="2:7" x14ac:dyDescent="0.3">
      <c r="B30" s="132" t="str">
        <f>TRIM('Data Sheet'!B76)</f>
        <v>Net Property, Plant and Equipment</v>
      </c>
      <c r="C30" s="147">
        <f>IF('Data Sheet'!C76&gt;0,'Data Sheet'!C76/'Data Sheet'!C$66,('Data Sheet'!C76/'Data Sheet'!C$66)*-1)</f>
        <v>0.53721643163703248</v>
      </c>
      <c r="D30" s="147">
        <f>IF('Data Sheet'!D76&gt;0,'Data Sheet'!D76/'Data Sheet'!D$66,('Data Sheet'!D76/'Data Sheet'!D$66)*-1)</f>
        <v>0.43504847601546165</v>
      </c>
      <c r="E30" s="147">
        <f>IF('Data Sheet'!E76&gt;0,'Data Sheet'!E76/'Data Sheet'!E$66,('Data Sheet'!E76/'Data Sheet'!E$66)*-1)</f>
        <v>0.45995262599036185</v>
      </c>
      <c r="F30" s="147">
        <f>IF('Data Sheet'!F76&gt;0,'Data Sheet'!F76/'Data Sheet'!F$66,('Data Sheet'!F76/'Data Sheet'!F$66)*-1)</f>
        <v>0.49027742940907987</v>
      </c>
      <c r="G30" s="147">
        <f>IF('Data Sheet'!G76&gt;0,'Data Sheet'!G76/'Data Sheet'!G$66,('Data Sheet'!G76/'Data Sheet'!G$66)*-1)</f>
        <v>0.51639665767297016</v>
      </c>
    </row>
    <row r="31" spans="2:7" x14ac:dyDescent="0.3">
      <c r="B31" s="132" t="str">
        <f>TRIM('Data Sheet'!B91)</f>
        <v>Gross Goodwill and Other Intangible Assets</v>
      </c>
      <c r="C31" s="147">
        <f>IF('Data Sheet'!C91&gt;0,'Data Sheet'!C91/'Data Sheet'!C$66,('Data Sheet'!C91/'Data Sheet'!C$66)*-1)</f>
        <v>0.13138966997188101</v>
      </c>
      <c r="D31" s="147">
        <f>IF('Data Sheet'!D91&gt;0,'Data Sheet'!D91/'Data Sheet'!D$66,('Data Sheet'!D91/'Data Sheet'!D$66)*-1)</f>
        <v>0.11478597680755338</v>
      </c>
      <c r="E31" s="147">
        <f>IF('Data Sheet'!E91&gt;0,'Data Sheet'!E91/'Data Sheet'!E$66,('Data Sheet'!E91/'Data Sheet'!E$66)*-1)</f>
        <v>0.1184921996242751</v>
      </c>
      <c r="F31" s="147">
        <f>IF('Data Sheet'!F91&gt;0,'Data Sheet'!F91/'Data Sheet'!F$66,('Data Sheet'!F91/'Data Sheet'!F$66)*-1)</f>
        <v>0.11584846852551635</v>
      </c>
      <c r="G31" s="147">
        <f>IF('Data Sheet'!G91&gt;0,'Data Sheet'!G91/'Data Sheet'!G$66,('Data Sheet'!G91/'Data Sheet'!G$66)*-1)</f>
        <v>0.11138316712823744</v>
      </c>
    </row>
    <row r="32" spans="2:7" x14ac:dyDescent="0.3">
      <c r="B32" s="132" t="str">
        <f>TRIM('Data Sheet'!B93)</f>
        <v>Other Non-Current Assets</v>
      </c>
      <c r="C32" s="147">
        <f>IF('Data Sheet'!C93&gt;0,'Data Sheet'!C93/'Data Sheet'!C$66,('Data Sheet'!C93/'Data Sheet'!C$66)*-1)</f>
        <v>7.0052220977187676E-2</v>
      </c>
      <c r="D32" s="147">
        <f>IF('Data Sheet'!D93&gt;0,'Data Sheet'!D93/'Data Sheet'!D$66,('Data Sheet'!D93/'Data Sheet'!D$66)*-1)</f>
        <v>9.3458906279703435E-2</v>
      </c>
      <c r="E32" s="147">
        <f>IF('Data Sheet'!E93&gt;0,'Data Sheet'!E93/'Data Sheet'!E$66,('Data Sheet'!E93/'Data Sheet'!E$66)*-1)</f>
        <v>9.0468022543494245E-2</v>
      </c>
      <c r="F32" s="147">
        <f>IF('Data Sheet'!F93&gt;0,'Data Sheet'!F93/'Data Sheet'!F$66,('Data Sheet'!F93/'Data Sheet'!F$66)*-1)</f>
        <v>8.2788850191408608E-2</v>
      </c>
      <c r="G32" s="147">
        <f>IF('Data Sheet'!G93&gt;0,'Data Sheet'!G93/'Data Sheet'!G$66,('Data Sheet'!G93/'Data Sheet'!G$66)*-1)</f>
        <v>6.7634974781991999E-2</v>
      </c>
    </row>
    <row r="33" spans="2:7" x14ac:dyDescent="0.3">
      <c r="C33" s="11"/>
      <c r="D33" s="11"/>
      <c r="E33" s="11"/>
      <c r="F33" s="11"/>
      <c r="G33" s="11"/>
    </row>
    <row r="34" spans="2:7" x14ac:dyDescent="0.3">
      <c r="B34" s="148" t="str">
        <f>TRIM('Data Sheet'!B94)</f>
        <v>Total Liabilities</v>
      </c>
      <c r="C34" s="149">
        <f>IF('Data Sheet'!C94&gt;0,'Data Sheet'!C94/'Data Sheet'!C$94,('Data Sheet'!C94/'Data Sheet'!C$94)*-1)</f>
        <v>1</v>
      </c>
      <c r="D34" s="149">
        <f>IF('Data Sheet'!D94&gt;0,'Data Sheet'!D94/'Data Sheet'!D$94,('Data Sheet'!D94/'Data Sheet'!D$94)*-1)</f>
        <v>1</v>
      </c>
      <c r="E34" s="149">
        <f>IF('Data Sheet'!E94&gt;0,'Data Sheet'!E94/'Data Sheet'!E$94,('Data Sheet'!E94/'Data Sheet'!E$94)*-1)</f>
        <v>1</v>
      </c>
      <c r="F34" s="149">
        <f>IF('Data Sheet'!F94&gt;0,'Data Sheet'!F94/'Data Sheet'!F$94,('Data Sheet'!F94/'Data Sheet'!F$94)*-1)</f>
        <v>1</v>
      </c>
      <c r="G34" s="149">
        <f>IF('Data Sheet'!G94&gt;0,'Data Sheet'!G94/'Data Sheet'!G$94,('Data Sheet'!G94/'Data Sheet'!G$94)*-1)</f>
        <v>1</v>
      </c>
    </row>
    <row r="35" spans="2:7" x14ac:dyDescent="0.3">
      <c r="B35" s="132" t="str">
        <f>TRIM('Data Sheet'!B96)</f>
        <v>Payables and Accrued Expenses, Current</v>
      </c>
      <c r="C35" s="147">
        <f>IF('Data Sheet'!C96&gt;0,'Data Sheet'!C96/'Data Sheet'!C$94,('Data Sheet'!C96/'Data Sheet'!C$94)*-1)</f>
        <v>0.43602486075524549</v>
      </c>
      <c r="D35" s="147">
        <f>IF('Data Sheet'!D96&gt;0,'Data Sheet'!D96/'Data Sheet'!D$94,('Data Sheet'!D96/'Data Sheet'!D$94)*-1)</f>
        <v>0.4383050950201558</v>
      </c>
      <c r="E35" s="147">
        <f>IF('Data Sheet'!E96&gt;0,'Data Sheet'!E96/'Data Sheet'!E$94,('Data Sheet'!E96/'Data Sheet'!E$94)*-1)</f>
        <v>0.52031457354104427</v>
      </c>
      <c r="F35" s="147">
        <f>IF('Data Sheet'!F96&gt;0,'Data Sheet'!F96/'Data Sheet'!F$94,('Data Sheet'!F96/'Data Sheet'!F$94)*-1)</f>
        <v>0.52200922075801159</v>
      </c>
      <c r="G35" s="147">
        <f>IF('Data Sheet'!G96&gt;0,'Data Sheet'!G96/'Data Sheet'!G$94,('Data Sheet'!G96/'Data Sheet'!G$94)*-1)</f>
        <v>0.51421262080727681</v>
      </c>
    </row>
    <row r="36" spans="2:7" x14ac:dyDescent="0.3">
      <c r="B36" s="132" t="str">
        <f>TRIM('Data Sheet'!B101)</f>
        <v>Financial Liabilities, Current</v>
      </c>
      <c r="C36" s="147">
        <f>IF('Data Sheet'!C101&gt;0,'Data Sheet'!C101/'Data Sheet'!C$94,('Data Sheet'!C101/'Data Sheet'!C$94)*-1)</f>
        <v>5.3187301136546988E-2</v>
      </c>
      <c r="D36" s="147">
        <f>IF('Data Sheet'!D101&gt;0,'Data Sheet'!D101/'Data Sheet'!D$94,('Data Sheet'!D101/'Data Sheet'!D$94)*-1)</f>
        <v>3.2103779589609915E-2</v>
      </c>
      <c r="E36" s="147">
        <f>IF('Data Sheet'!E101&gt;0,'Data Sheet'!E101/'Data Sheet'!E$94,('Data Sheet'!E101/'Data Sheet'!E$94)*-1)</f>
        <v>3.4039576646248584E-2</v>
      </c>
      <c r="F36" s="147">
        <f>IF('Data Sheet'!F101&gt;0,'Data Sheet'!F101/'Data Sheet'!F$94,('Data Sheet'!F101/'Data Sheet'!F$94)*-1)</f>
        <v>4.1474567541424319E-2</v>
      </c>
      <c r="G36" s="147">
        <f>IF('Data Sheet'!G101&gt;0,'Data Sheet'!G101/'Data Sheet'!G$94,('Data Sheet'!G101/'Data Sheet'!G$94)*-1)</f>
        <v>4.039474009442124E-2</v>
      </c>
    </row>
    <row r="37" spans="2:7" x14ac:dyDescent="0.3">
      <c r="B37" s="132" t="str">
        <f>TRIM('Data Sheet'!B107)</f>
        <v>Deferred Liabilities, Current</v>
      </c>
      <c r="C37" s="147">
        <f>IF('Data Sheet'!C107&gt;0,'Data Sheet'!C107/'Data Sheet'!C$94,('Data Sheet'!C107/'Data Sheet'!C$94)*-1)</f>
        <v>1.2843432746235712E-2</v>
      </c>
      <c r="D37" s="147">
        <f>IF('Data Sheet'!D107&gt;0,'Data Sheet'!D107/'Data Sheet'!D$94,('Data Sheet'!D107/'Data Sheet'!D$94)*-1)</f>
        <v>1.4002970327039069E-2</v>
      </c>
      <c r="E37" s="147">
        <f>IF('Data Sheet'!E107&gt;0,'Data Sheet'!E107/'Data Sheet'!E$94,('Data Sheet'!E107/'Data Sheet'!E$94)*-1)</f>
        <v>1.6728879707653185E-2</v>
      </c>
      <c r="F37" s="147">
        <f>IF('Data Sheet'!F107&gt;0,'Data Sheet'!F107/'Data Sheet'!F$94,('Data Sheet'!F107/'Data Sheet'!F$94)*-1)</f>
        <v>1.5627551725437484E-2</v>
      </c>
      <c r="G37" s="147">
        <f>IF('Data Sheet'!G107&gt;0,'Data Sheet'!G107/'Data Sheet'!G$94,('Data Sheet'!G107/'Data Sheet'!G$94)*-1)</f>
        <v>1.6461922535037199E-2</v>
      </c>
    </row>
    <row r="38" spans="2:7" x14ac:dyDescent="0.3">
      <c r="B38" s="132" t="str">
        <f>TRIM('Data Sheet'!B109)</f>
        <v>Discontinued Operations Liabilities, Current</v>
      </c>
      <c r="C38" s="147">
        <f>IF('Data Sheet'!C109&gt;0,'Data Sheet'!C109/'Data Sheet'!C$94,('Data Sheet'!C109/'Data Sheet'!C$94)*-1)</f>
        <v>0</v>
      </c>
      <c r="D38" s="147">
        <f>IF('Data Sheet'!D109&gt;0,'Data Sheet'!D109/'Data Sheet'!D$94,('Data Sheet'!D109/'Data Sheet'!D$94)*-1)</f>
        <v>7.7192131664292424E-2</v>
      </c>
      <c r="E38" s="147">
        <f>IF('Data Sheet'!E109&gt;0,'Data Sheet'!E109/'Data Sheet'!E$94,('Data Sheet'!E109/'Data Sheet'!E$94)*-1)</f>
        <v>1.372827174133321E-4</v>
      </c>
      <c r="F38" s="147">
        <f>IF('Data Sheet'!F109&gt;0,'Data Sheet'!F109/'Data Sheet'!F$94,('Data Sheet'!F109/'Data Sheet'!F$94)*-1)</f>
        <v>0</v>
      </c>
      <c r="G38" s="147">
        <f>IF('Data Sheet'!G109&gt;0,'Data Sheet'!G109/'Data Sheet'!G$94,('Data Sheet'!G109/'Data Sheet'!G$94)*-1)</f>
        <v>0</v>
      </c>
    </row>
    <row r="39" spans="2:7" x14ac:dyDescent="0.3">
      <c r="B39" s="132" t="str">
        <f>TRIM('Data Sheet'!B112)</f>
        <v>Long Term Debt and Capital Lease Obligation</v>
      </c>
      <c r="C39" s="147">
        <f>IF('Data Sheet'!C112&gt;0,'Data Sheet'!C112/'Data Sheet'!C$94,('Data Sheet'!C112/'Data Sheet'!C$94)*-1)</f>
        <v>0.41429428886751901</v>
      </c>
      <c r="D39" s="147">
        <f>IF('Data Sheet'!D112&gt;0,'Data Sheet'!D112/'Data Sheet'!D$94,('Data Sheet'!D112/'Data Sheet'!D$94)*-1)</f>
        <v>0.35128663655927017</v>
      </c>
      <c r="E39" s="147">
        <f>IF('Data Sheet'!E112&gt;0,'Data Sheet'!E112/'Data Sheet'!E$94,('Data Sheet'!E112/'Data Sheet'!E$94)*-1)</f>
        <v>0.34069648098634364</v>
      </c>
      <c r="F39" s="147">
        <f>IF('Data Sheet'!F112&gt;0,'Data Sheet'!F112/'Data Sheet'!F$94,('Data Sheet'!F112/'Data Sheet'!F$94)*-1)</f>
        <v>0.32863083049633807</v>
      </c>
      <c r="G39" s="147">
        <f>IF('Data Sheet'!G112&gt;0,'Data Sheet'!G112/'Data Sheet'!G$94,('Data Sheet'!G112/'Data Sheet'!G$94)*-1)</f>
        <v>0.33853226882863285</v>
      </c>
    </row>
    <row r="40" spans="2:7" x14ac:dyDescent="0.3">
      <c r="B40" s="132" t="str">
        <f>TRIM('Data Sheet'!B115)</f>
        <v>Other Non-Current Liabilities</v>
      </c>
      <c r="C40" s="147">
        <f>IF('Data Sheet'!C115&gt;0,'Data Sheet'!C115/'Data Sheet'!C$94,('Data Sheet'!C115/'Data Sheet'!C$94)*-1)</f>
        <v>8.3650116494452795E-2</v>
      </c>
      <c r="D40" s="147">
        <f>IF('Data Sheet'!D115&gt;0,'Data Sheet'!D115/'Data Sheet'!D$94,('Data Sheet'!D115/'Data Sheet'!D$94)*-1)</f>
        <v>8.7109386839632652E-2</v>
      </c>
      <c r="E40" s="147">
        <f>IF('Data Sheet'!E115&gt;0,'Data Sheet'!E115/'Data Sheet'!E$94,('Data Sheet'!E115/'Data Sheet'!E$94)*-1)</f>
        <v>8.8083206401296993E-2</v>
      </c>
      <c r="F40" s="147">
        <f>IF('Data Sheet'!F115&gt;0,'Data Sheet'!F115/'Data Sheet'!F$94,('Data Sheet'!F115/'Data Sheet'!F$94)*-1)</f>
        <v>9.2257829478788494E-2</v>
      </c>
      <c r="G40" s="147">
        <f>IF('Data Sheet'!G115&gt;0,'Data Sheet'!G115/'Data Sheet'!G$94,('Data Sheet'!G115/'Data Sheet'!G$94)*-1)</f>
        <v>9.0398447734631834E-2</v>
      </c>
    </row>
  </sheetData>
  <mergeCells count="2">
    <mergeCell ref="B2:G2"/>
    <mergeCell ref="B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A4C4-4964-4F45-99D1-AE3F75A63C37}">
  <dimension ref="B1:J13"/>
  <sheetViews>
    <sheetView showGridLines="0" workbookViewId="0">
      <selection activeCell="I13" sqref="I13"/>
    </sheetView>
  </sheetViews>
  <sheetFormatPr defaultRowHeight="14.4" x14ac:dyDescent="0.3"/>
  <cols>
    <col min="1" max="1" width="1.88671875" customWidth="1"/>
    <col min="4" max="4" width="18.6640625" bestFit="1" customWidth="1"/>
    <col min="5" max="5" width="11.33203125" bestFit="1" customWidth="1"/>
    <col min="6" max="6" width="3.88671875" customWidth="1"/>
    <col min="9" max="9" width="18.6640625" bestFit="1" customWidth="1"/>
    <col min="10" max="10" width="14" bestFit="1" customWidth="1"/>
  </cols>
  <sheetData>
    <row r="1" spans="2:10" ht="15" thickBot="1" x14ac:dyDescent="0.35"/>
    <row r="2" spans="2:10" x14ac:dyDescent="0.3">
      <c r="B2" s="167" t="str">
        <f>"Sales Fortcasting"&amp;"-"&amp;Cover!$B$10</f>
        <v>Sales Fortcasting-Walmart Inc.</v>
      </c>
      <c r="C2" s="168"/>
      <c r="D2" s="168"/>
      <c r="E2" s="169"/>
      <c r="G2" s="170" t="str">
        <f>"EBITDA Fortcasting"&amp;"-"&amp;Cover!$B$10</f>
        <v>EBITDA Fortcasting-Walmart Inc.</v>
      </c>
      <c r="H2" s="171"/>
      <c r="I2" s="171"/>
      <c r="J2" s="172"/>
    </row>
    <row r="3" spans="2:10" x14ac:dyDescent="0.3">
      <c r="B3" s="59" t="s">
        <v>322</v>
      </c>
      <c r="C3" s="2" t="s">
        <v>323</v>
      </c>
      <c r="D3" s="44" t="s">
        <v>239</v>
      </c>
      <c r="E3" s="60" t="s">
        <v>248</v>
      </c>
      <c r="G3" s="49" t="s">
        <v>322</v>
      </c>
      <c r="H3" s="27" t="s">
        <v>323</v>
      </c>
      <c r="I3" s="43" t="s">
        <v>242</v>
      </c>
      <c r="J3" s="50" t="s">
        <v>324</v>
      </c>
    </row>
    <row r="4" spans="2:10" x14ac:dyDescent="0.3">
      <c r="B4" s="51">
        <v>1</v>
      </c>
      <c r="C4" s="150">
        <f>'Common Size Statement'!$C$3</f>
        <v>43861</v>
      </c>
      <c r="D4" s="16" cm="1">
        <f t="array" ref="D4:D8">TRANSPOSE('Historical FS'!C6:G6)</f>
        <v>523964000000</v>
      </c>
      <c r="E4" s="52"/>
      <c r="G4" s="51">
        <v>1</v>
      </c>
      <c r="H4" s="150">
        <f>'Common Size Statement'!$C$3</f>
        <v>43861</v>
      </c>
      <c r="I4" s="16" cm="1">
        <f t="array" ref="I4:I8">TRANSPOSE('Historical FS'!C18:G18)</f>
        <v>20568000000</v>
      </c>
      <c r="J4" s="52"/>
    </row>
    <row r="5" spans="2:10" x14ac:dyDescent="0.3">
      <c r="B5" s="51">
        <f>B4+1</f>
        <v>2</v>
      </c>
      <c r="C5" s="150">
        <f>C4+365</f>
        <v>44226</v>
      </c>
      <c r="D5" s="16">
        <v>559151000000</v>
      </c>
      <c r="E5" s="53">
        <f>D5/D4-1</f>
        <v>6.7155377086975498E-2</v>
      </c>
      <c r="G5" s="51">
        <f>G4+1</f>
        <v>2</v>
      </c>
      <c r="H5" s="150">
        <f>H4+365</f>
        <v>44226</v>
      </c>
      <c r="I5" s="16">
        <v>22548000000</v>
      </c>
      <c r="J5" s="53">
        <f>I5/I4-1</f>
        <v>9.62660443407235E-2</v>
      </c>
    </row>
    <row r="6" spans="2:10" x14ac:dyDescent="0.3">
      <c r="B6" s="51">
        <f t="shared" ref="B6:B13" si="0">B5+1</f>
        <v>3</v>
      </c>
      <c r="C6" s="150">
        <f t="shared" ref="C6:C13" si="1">C5+365</f>
        <v>44591</v>
      </c>
      <c r="D6" s="16">
        <v>572754000000</v>
      </c>
      <c r="E6" s="53">
        <f t="shared" ref="E6:E13" si="2">D6/D5-1</f>
        <v>2.4327954345069625E-2</v>
      </c>
      <c r="G6" s="51">
        <f t="shared" ref="G6:G13" si="3">G5+1</f>
        <v>3</v>
      </c>
      <c r="H6" s="150">
        <f t="shared" ref="H6:H13" si="4">H5+365</f>
        <v>44591</v>
      </c>
      <c r="I6" s="16">
        <v>25942000000</v>
      </c>
      <c r="J6" s="53">
        <f t="shared" ref="J6:J13" si="5">I6/I5-1</f>
        <v>0.1505233280113536</v>
      </c>
    </row>
    <row r="7" spans="2:10" x14ac:dyDescent="0.3">
      <c r="B7" s="51">
        <f t="shared" si="0"/>
        <v>4</v>
      </c>
      <c r="C7" s="150">
        <f t="shared" si="1"/>
        <v>44956</v>
      </c>
      <c r="D7" s="16">
        <v>611289000000</v>
      </c>
      <c r="E7" s="53">
        <f t="shared" si="2"/>
        <v>6.7280193590965709E-2</v>
      </c>
      <c r="G7" s="51">
        <f t="shared" si="3"/>
        <v>4</v>
      </c>
      <c r="H7" s="150">
        <f t="shared" si="4"/>
        <v>44956</v>
      </c>
      <c r="I7" s="16">
        <v>20428000000</v>
      </c>
      <c r="J7" s="53">
        <f t="shared" si="5"/>
        <v>-0.212551075476062</v>
      </c>
    </row>
    <row r="8" spans="2:10" x14ac:dyDescent="0.3">
      <c r="B8" s="51">
        <f t="shared" si="0"/>
        <v>5</v>
      </c>
      <c r="C8" s="150">
        <f t="shared" si="1"/>
        <v>45321</v>
      </c>
      <c r="D8" s="16">
        <v>648125000000</v>
      </c>
      <c r="E8" s="53">
        <f t="shared" si="2"/>
        <v>6.02595499019285E-2</v>
      </c>
      <c r="G8" s="51">
        <f t="shared" si="3"/>
        <v>5</v>
      </c>
      <c r="H8" s="150">
        <f t="shared" si="4"/>
        <v>45321</v>
      </c>
      <c r="I8" s="16">
        <v>27012000000</v>
      </c>
      <c r="J8" s="53">
        <f t="shared" si="5"/>
        <v>0.32230272175445474</v>
      </c>
    </row>
    <row r="9" spans="2:10" x14ac:dyDescent="0.3">
      <c r="B9" s="54">
        <f t="shared" si="0"/>
        <v>6</v>
      </c>
      <c r="C9" s="151">
        <f t="shared" si="1"/>
        <v>45686</v>
      </c>
      <c r="D9" s="48">
        <f>FORECAST(B9,$D$4:$D$8,$B$4:$B$8)</f>
        <v>673194600000</v>
      </c>
      <c r="E9" s="55">
        <f t="shared" si="2"/>
        <v>3.8680192864030793E-2</v>
      </c>
      <c r="G9" s="54">
        <f t="shared" si="3"/>
        <v>6</v>
      </c>
      <c r="H9" s="151">
        <f t="shared" si="4"/>
        <v>45686</v>
      </c>
      <c r="I9" s="48">
        <f>FORECAST(G9,$I$4:$I$8,$G$4:$G$8)</f>
        <v>26530000000</v>
      </c>
      <c r="J9" s="55">
        <f t="shared" si="5"/>
        <v>-1.78439212201984E-2</v>
      </c>
    </row>
    <row r="10" spans="2:10" x14ac:dyDescent="0.3">
      <c r="B10" s="54">
        <f t="shared" si="0"/>
        <v>7</v>
      </c>
      <c r="C10" s="151">
        <f t="shared" si="1"/>
        <v>46051</v>
      </c>
      <c r="D10" s="48">
        <f t="shared" ref="D10:D13" si="6">FORECAST(B10,$D$4:$D$8,$B$4:$B$8)</f>
        <v>703240600000</v>
      </c>
      <c r="E10" s="55">
        <f t="shared" si="2"/>
        <v>4.4631968230285812E-2</v>
      </c>
      <c r="G10" s="54">
        <f t="shared" si="3"/>
        <v>7</v>
      </c>
      <c r="H10" s="151">
        <f t="shared" si="4"/>
        <v>46051</v>
      </c>
      <c r="I10" s="48">
        <f t="shared" ref="I10:I13" si="7">FORECAST(G10,$I$4:$I$8,$G$4:$G$8)</f>
        <v>27606800000</v>
      </c>
      <c r="J10" s="55">
        <f>I10/I9-1</f>
        <v>4.0588013569544001E-2</v>
      </c>
    </row>
    <row r="11" spans="2:10" x14ac:dyDescent="0.3">
      <c r="B11" s="54">
        <f t="shared" si="0"/>
        <v>8</v>
      </c>
      <c r="C11" s="151">
        <f t="shared" si="1"/>
        <v>46416</v>
      </c>
      <c r="D11" s="48">
        <f t="shared" si="6"/>
        <v>733286600000</v>
      </c>
      <c r="E11" s="55">
        <f t="shared" si="2"/>
        <v>4.2725064508505328E-2</v>
      </c>
      <c r="G11" s="54">
        <f t="shared" si="3"/>
        <v>8</v>
      </c>
      <c r="H11" s="151">
        <f t="shared" si="4"/>
        <v>46416</v>
      </c>
      <c r="I11" s="48">
        <f t="shared" si="7"/>
        <v>28683600000</v>
      </c>
      <c r="J11" s="55">
        <f>I11/I10-1</f>
        <v>3.9004882854948741E-2</v>
      </c>
    </row>
    <row r="12" spans="2:10" x14ac:dyDescent="0.3">
      <c r="B12" s="54">
        <f t="shared" si="0"/>
        <v>9</v>
      </c>
      <c r="C12" s="151">
        <f t="shared" si="1"/>
        <v>46781</v>
      </c>
      <c r="D12" s="48">
        <f t="shared" si="6"/>
        <v>763332600000</v>
      </c>
      <c r="E12" s="55">
        <f t="shared" si="2"/>
        <v>4.097442937045348E-2</v>
      </c>
      <c r="G12" s="54">
        <f t="shared" si="3"/>
        <v>9</v>
      </c>
      <c r="H12" s="151">
        <f t="shared" si="4"/>
        <v>46781</v>
      </c>
      <c r="I12" s="48">
        <f t="shared" si="7"/>
        <v>29760400000</v>
      </c>
      <c r="J12" s="55">
        <f t="shared" si="5"/>
        <v>3.7540615543376621E-2</v>
      </c>
    </row>
    <row r="13" spans="2:10" ht="15" thickBot="1" x14ac:dyDescent="0.35">
      <c r="B13" s="56">
        <f t="shared" si="0"/>
        <v>10</v>
      </c>
      <c r="C13" s="152">
        <f t="shared" si="1"/>
        <v>47146</v>
      </c>
      <c r="D13" s="57">
        <f t="shared" si="6"/>
        <v>793378600000</v>
      </c>
      <c r="E13" s="58">
        <f t="shared" si="2"/>
        <v>3.9361609867048841E-2</v>
      </c>
      <c r="G13" s="56">
        <f t="shared" si="3"/>
        <v>10</v>
      </c>
      <c r="H13" s="152">
        <f t="shared" si="4"/>
        <v>47146</v>
      </c>
      <c r="I13" s="57">
        <f t="shared" si="7"/>
        <v>30837200000</v>
      </c>
      <c r="J13" s="58">
        <f t="shared" si="5"/>
        <v>3.6182309377562172E-2</v>
      </c>
    </row>
  </sheetData>
  <mergeCells count="2">
    <mergeCell ref="B2:E2"/>
    <mergeCell ref="G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FFB2-0048-4455-845E-364A32C5C16E}">
  <dimension ref="B2:P21"/>
  <sheetViews>
    <sheetView showGridLines="0" workbookViewId="0">
      <selection activeCell="D12" sqref="D12"/>
    </sheetView>
  </sheetViews>
  <sheetFormatPr defaultRowHeight="14.4" x14ac:dyDescent="0.3"/>
  <cols>
    <col min="4" max="4" width="18.6640625" bestFit="1" customWidth="1"/>
    <col min="5" max="5" width="11.88671875" bestFit="1" customWidth="1"/>
    <col min="8" max="8" width="17.44140625" bestFit="1" customWidth="1"/>
    <col min="9" max="9" width="15.6640625" bestFit="1" customWidth="1"/>
    <col min="10" max="11" width="26" bestFit="1" customWidth="1"/>
    <col min="12" max="12" width="12.109375" bestFit="1" customWidth="1"/>
    <col min="13" max="16" width="15.6640625" bestFit="1" customWidth="1"/>
  </cols>
  <sheetData>
    <row r="2" spans="2:13" x14ac:dyDescent="0.3">
      <c r="B2" s="61" t="s">
        <v>325</v>
      </c>
      <c r="C2" s="62" t="s">
        <v>323</v>
      </c>
      <c r="D2" s="61" t="s">
        <v>239</v>
      </c>
      <c r="E2" s="61" t="s">
        <v>248</v>
      </c>
    </row>
    <row r="3" spans="2:13" x14ac:dyDescent="0.3">
      <c r="B3" s="47">
        <v>1</v>
      </c>
      <c r="C3" s="150">
        <f>'Automated Forcasting'!C4</f>
        <v>43861</v>
      </c>
      <c r="D3" s="63">
        <v>523964000000</v>
      </c>
    </row>
    <row r="4" spans="2:13" x14ac:dyDescent="0.3">
      <c r="B4" s="47">
        <f>B3+1</f>
        <v>2</v>
      </c>
      <c r="C4" s="150">
        <f>'Automated Forcasting'!C5</f>
        <v>44226</v>
      </c>
      <c r="D4" s="63">
        <v>559151000000</v>
      </c>
      <c r="E4" s="11">
        <f>D4/D3-1</f>
        <v>6.7155377086975498E-2</v>
      </c>
      <c r="H4" t="s">
        <v>326</v>
      </c>
    </row>
    <row r="5" spans="2:13" ht="15" thickBot="1" x14ac:dyDescent="0.35">
      <c r="B5" s="47">
        <f t="shared" ref="B5:B12" si="0">B4+1</f>
        <v>3</v>
      </c>
      <c r="C5" s="150">
        <f>'Automated Forcasting'!C6</f>
        <v>44591</v>
      </c>
      <c r="D5" s="63">
        <v>572754000000</v>
      </c>
      <c r="E5" s="11">
        <f t="shared" ref="E5:E12" si="1">D5/D4-1</f>
        <v>2.4327954345069625E-2</v>
      </c>
    </row>
    <row r="6" spans="2:13" x14ac:dyDescent="0.3">
      <c r="B6" s="47">
        <f t="shared" si="0"/>
        <v>4</v>
      </c>
      <c r="C6" s="150">
        <f>'Automated Forcasting'!C7</f>
        <v>44956</v>
      </c>
      <c r="D6" s="63">
        <v>611289000000</v>
      </c>
      <c r="E6" s="11">
        <f t="shared" si="1"/>
        <v>6.7280193590965709E-2</v>
      </c>
      <c r="H6" s="65" t="s">
        <v>327</v>
      </c>
      <c r="I6" s="65"/>
    </row>
    <row r="7" spans="2:13" x14ac:dyDescent="0.3">
      <c r="B7" s="47">
        <f t="shared" si="0"/>
        <v>5</v>
      </c>
      <c r="C7" s="150">
        <f>'Automated Forcasting'!C8</f>
        <v>45321</v>
      </c>
      <c r="D7" s="63">
        <v>648125000000</v>
      </c>
      <c r="E7" s="11">
        <f t="shared" si="1"/>
        <v>6.02595499019285E-2</v>
      </c>
      <c r="H7" t="s">
        <v>328</v>
      </c>
      <c r="I7">
        <v>0.98222229219071955</v>
      </c>
    </row>
    <row r="8" spans="2:13" x14ac:dyDescent="0.3">
      <c r="B8" s="47">
        <f t="shared" si="0"/>
        <v>6</v>
      </c>
      <c r="C8" s="150">
        <f>'Automated Forcasting'!C9</f>
        <v>45686</v>
      </c>
      <c r="D8" s="16">
        <f>FORECAST(B8,$D$3:$D$7,$B$3:$B$7)</f>
        <v>673194600000</v>
      </c>
      <c r="E8" s="11">
        <f t="shared" si="1"/>
        <v>3.8680192864030793E-2</v>
      </c>
      <c r="H8" t="s">
        <v>329</v>
      </c>
      <c r="I8">
        <v>0.96476063127639122</v>
      </c>
    </row>
    <row r="9" spans="2:13" x14ac:dyDescent="0.3">
      <c r="B9" s="47">
        <f t="shared" si="0"/>
        <v>7</v>
      </c>
      <c r="C9" s="150">
        <f>'Automated Forcasting'!C10</f>
        <v>46051</v>
      </c>
      <c r="D9" s="16">
        <f t="shared" ref="D9:D12" si="2">FORECAST(B9,$D$3:$D$7,$B$3:$B$7)</f>
        <v>703240600000</v>
      </c>
      <c r="E9" s="11">
        <f t="shared" si="1"/>
        <v>4.4631968230285812E-2</v>
      </c>
      <c r="H9" t="s">
        <v>330</v>
      </c>
      <c r="I9">
        <v>0.94714094691458683</v>
      </c>
    </row>
    <row r="10" spans="2:13" x14ac:dyDescent="0.3">
      <c r="B10" s="47">
        <f t="shared" si="0"/>
        <v>8</v>
      </c>
      <c r="C10" s="150">
        <f>'Automated Forcasting'!C11</f>
        <v>46416</v>
      </c>
      <c r="D10" s="16">
        <f t="shared" si="2"/>
        <v>733286600000</v>
      </c>
      <c r="E10" s="11">
        <f t="shared" si="1"/>
        <v>4.2725064508505328E-2</v>
      </c>
      <c r="H10" t="s">
        <v>331</v>
      </c>
      <c r="I10">
        <v>9230481577.3609505</v>
      </c>
    </row>
    <row r="11" spans="2:13" ht="15" thickBot="1" x14ac:dyDescent="0.35">
      <c r="B11" s="47">
        <f t="shared" si="0"/>
        <v>9</v>
      </c>
      <c r="C11" s="150">
        <f>'Automated Forcasting'!C12</f>
        <v>46781</v>
      </c>
      <c r="D11" s="16">
        <f t="shared" si="2"/>
        <v>763332600000</v>
      </c>
      <c r="E11" s="11">
        <f t="shared" si="1"/>
        <v>4.097442937045348E-2</v>
      </c>
      <c r="H11" s="6" t="s">
        <v>332</v>
      </c>
      <c r="I11" s="6">
        <v>4</v>
      </c>
    </row>
    <row r="12" spans="2:13" x14ac:dyDescent="0.3">
      <c r="B12" s="47">
        <f t="shared" si="0"/>
        <v>10</v>
      </c>
      <c r="C12" s="150">
        <f>'Automated Forcasting'!C13</f>
        <v>47146</v>
      </c>
      <c r="D12" s="16">
        <f t="shared" si="2"/>
        <v>793378600000</v>
      </c>
      <c r="E12" s="11">
        <f t="shared" si="1"/>
        <v>3.9361609867048841E-2</v>
      </c>
    </row>
    <row r="13" spans="2:13" ht="15" thickBot="1" x14ac:dyDescent="0.35">
      <c r="H13" t="s">
        <v>333</v>
      </c>
    </row>
    <row r="14" spans="2:13" x14ac:dyDescent="0.3">
      <c r="H14" s="64"/>
      <c r="I14" s="64" t="s">
        <v>338</v>
      </c>
      <c r="J14" s="64" t="s">
        <v>339</v>
      </c>
      <c r="K14" s="64" t="s">
        <v>340</v>
      </c>
      <c r="L14" s="64" t="s">
        <v>341</v>
      </c>
      <c r="M14" s="64" t="s">
        <v>342</v>
      </c>
    </row>
    <row r="15" spans="2:13" x14ac:dyDescent="0.3">
      <c r="B15" s="47">
        <v>6</v>
      </c>
      <c r="C15" s="150">
        <v>45688</v>
      </c>
      <c r="D15" s="16">
        <v>673194600000</v>
      </c>
      <c r="E15" s="11">
        <v>3.8680192864030793E-2</v>
      </c>
      <c r="H15" t="s">
        <v>334</v>
      </c>
      <c r="I15">
        <v>1</v>
      </c>
      <c r="J15" s="66">
        <v>4.6651989424499998E+21</v>
      </c>
      <c r="K15" s="66">
        <v>4.6651989424499998E+21</v>
      </c>
      <c r="L15">
        <v>54.754705672695373</v>
      </c>
      <c r="M15">
        <v>1.7777707809280438E-2</v>
      </c>
    </row>
    <row r="16" spans="2:13" x14ac:dyDescent="0.3">
      <c r="B16" s="47">
        <v>7</v>
      </c>
      <c r="C16" s="150">
        <v>46053</v>
      </c>
      <c r="D16" s="16">
        <v>703240600000</v>
      </c>
      <c r="E16" s="11">
        <v>4.4631968230285812E-2</v>
      </c>
      <c r="H16" t="s">
        <v>335</v>
      </c>
      <c r="I16">
        <v>2</v>
      </c>
      <c r="J16" s="66">
        <v>1.7040358029999977E+20</v>
      </c>
      <c r="K16" s="66">
        <v>8.5201790149999886E+19</v>
      </c>
    </row>
    <row r="17" spans="2:16" ht="15" thickBot="1" x14ac:dyDescent="0.35">
      <c r="B17" s="47">
        <v>8</v>
      </c>
      <c r="C17" s="150">
        <v>46418</v>
      </c>
      <c r="D17" s="16">
        <v>733286600000</v>
      </c>
      <c r="E17" s="11">
        <v>4.2725064508505328E-2</v>
      </c>
      <c r="H17" s="6" t="s">
        <v>336</v>
      </c>
      <c r="I17" s="6">
        <v>3</v>
      </c>
      <c r="J17" s="67">
        <v>4.8356025227499998E+21</v>
      </c>
      <c r="K17" s="67"/>
      <c r="L17" s="6"/>
      <c r="M17" s="6"/>
    </row>
    <row r="18" spans="2:16" ht="15" thickBot="1" x14ac:dyDescent="0.35">
      <c r="B18" s="47">
        <v>9</v>
      </c>
      <c r="C18" s="150">
        <v>46783</v>
      </c>
      <c r="D18" s="16">
        <v>763332600000</v>
      </c>
      <c r="E18" s="11">
        <v>4.097442937045348E-2</v>
      </c>
    </row>
    <row r="19" spans="2:16" x14ac:dyDescent="0.3">
      <c r="B19" s="47">
        <v>10</v>
      </c>
      <c r="C19" s="150">
        <v>47149</v>
      </c>
      <c r="D19" s="16">
        <v>793378600000</v>
      </c>
      <c r="E19" s="11">
        <v>3.9361609867048841E-2</v>
      </c>
      <c r="H19" s="64"/>
      <c r="I19" s="64" t="s">
        <v>343</v>
      </c>
      <c r="J19" s="64" t="s">
        <v>331</v>
      </c>
      <c r="K19" s="64" t="s">
        <v>344</v>
      </c>
      <c r="L19" s="64" t="s">
        <v>345</v>
      </c>
      <c r="M19" s="64" t="s">
        <v>346</v>
      </c>
      <c r="N19" s="64" t="s">
        <v>347</v>
      </c>
      <c r="O19" s="64" t="s">
        <v>348</v>
      </c>
      <c r="P19" s="64" t="s">
        <v>349</v>
      </c>
    </row>
    <row r="20" spans="2:16" x14ac:dyDescent="0.3">
      <c r="H20" t="s">
        <v>337</v>
      </c>
      <c r="I20" s="66">
        <v>490919800000</v>
      </c>
      <c r="J20" s="66">
        <v>15167228929.669376</v>
      </c>
      <c r="K20" s="66">
        <v>32.367138537725054</v>
      </c>
      <c r="L20" s="66">
        <v>9.5316943345904461E-4</v>
      </c>
      <c r="M20" s="66">
        <v>425660481043.02301</v>
      </c>
      <c r="N20" s="66">
        <v>556179118956.97693</v>
      </c>
      <c r="O20" s="66">
        <v>425660481043.02301</v>
      </c>
      <c r="P20" s="66">
        <v>556179118956.97693</v>
      </c>
    </row>
    <row r="21" spans="2:16" ht="15" thickBot="1" x14ac:dyDescent="0.35">
      <c r="H21" s="6">
        <v>1</v>
      </c>
      <c r="I21" s="6">
        <v>30545699999.999992</v>
      </c>
      <c r="J21" s="6">
        <v>4127996854.4077134</v>
      </c>
      <c r="K21" s="6">
        <v>7.3996422665352783</v>
      </c>
      <c r="L21" s="6">
        <v>1.7777707809280445E-2</v>
      </c>
      <c r="M21" s="6">
        <v>12784363065.985443</v>
      </c>
      <c r="N21" s="6">
        <v>48307036934.014542</v>
      </c>
      <c r="O21" s="6">
        <v>12784363065.985443</v>
      </c>
      <c r="P21" s="6">
        <v>48307036934.014542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55C5-BB6C-4B53-A7DC-36AE148268C8}">
  <sheetPr>
    <tabColor rgb="FFFFC000"/>
  </sheetPr>
  <dimension ref="A1"/>
  <sheetViews>
    <sheetView showGridLines="0" topLeftCell="A7"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F582-F9CF-4DAA-ADE6-D2B95DBFEE71}">
  <dimension ref="B2:X1265"/>
  <sheetViews>
    <sheetView showGridLines="0" topLeftCell="A2" workbookViewId="0">
      <pane ySplit="4" topLeftCell="A78" activePane="bottomLeft" state="frozen"/>
      <selection activeCell="H16" sqref="H16"/>
      <selection pane="bottomLeft" activeCell="J273" sqref="J273"/>
    </sheetView>
  </sheetViews>
  <sheetFormatPr defaultRowHeight="14.4" x14ac:dyDescent="0.3"/>
  <cols>
    <col min="1" max="1" width="1.88671875" customWidth="1"/>
    <col min="2" max="2" width="10.5546875" bestFit="1" customWidth="1"/>
    <col min="3" max="3" width="20.88671875" bestFit="1" customWidth="1"/>
    <col min="4" max="4" width="13.44140625" bestFit="1" customWidth="1"/>
    <col min="5" max="5" width="2.88671875" customWidth="1"/>
    <col min="6" max="6" width="17.5546875" bestFit="1" customWidth="1"/>
    <col min="7" max="7" width="13.44140625" bestFit="1" customWidth="1"/>
    <col min="8" max="8" width="2.88671875" customWidth="1"/>
    <col min="9" max="9" width="17.5546875" bestFit="1" customWidth="1"/>
    <col min="10" max="10" width="13.44140625" bestFit="1" customWidth="1"/>
    <col min="11" max="11" width="2.88671875" customWidth="1"/>
    <col min="12" max="12" width="17.5546875" bestFit="1" customWidth="1"/>
    <col min="13" max="13" width="13.44140625" bestFit="1" customWidth="1"/>
    <col min="14" max="14" width="2.88671875" customWidth="1"/>
    <col min="15" max="15" width="17.5546875" bestFit="1" customWidth="1"/>
    <col min="16" max="16" width="13.44140625" bestFit="1" customWidth="1"/>
    <col min="17" max="17" width="2.88671875" customWidth="1"/>
    <col min="18" max="18" width="17.5546875" bestFit="1" customWidth="1"/>
    <col min="19" max="19" width="13.44140625" bestFit="1" customWidth="1"/>
    <col min="20" max="20" width="2.88671875" customWidth="1"/>
    <col min="21" max="21" width="17.5546875" bestFit="1" customWidth="1"/>
    <col min="22" max="22" width="13.44140625" bestFit="1" customWidth="1"/>
    <col min="24" max="24" width="10.5546875" bestFit="1" customWidth="1"/>
  </cols>
  <sheetData>
    <row r="2" spans="2:24" x14ac:dyDescent="0.3">
      <c r="B2" s="165" t="s">
        <v>370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</row>
    <row r="3" spans="2:24" x14ac:dyDescent="0.3"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</row>
    <row r="5" spans="2:24" x14ac:dyDescent="0.3">
      <c r="B5" s="173" t="s">
        <v>373</v>
      </c>
      <c r="C5" s="173"/>
      <c r="D5" s="173"/>
      <c r="F5" s="173" t="str">
        <f>Cover!B10&amp;"-"&amp;"Returrns"</f>
        <v>Walmart Inc.-Returrns</v>
      </c>
      <c r="G5" s="173"/>
      <c r="H5" s="13"/>
      <c r="I5" s="173" t="str">
        <f>WACC!B10&amp;"-"&amp;"Returrns"</f>
        <v>Costco -Returrns</v>
      </c>
      <c r="J5" s="173"/>
      <c r="K5" s="13"/>
      <c r="L5" s="173" t="str">
        <f>WACC!B9&amp;"-"&amp;"Returrns"</f>
        <v>Target-Returrns</v>
      </c>
      <c r="M5" s="173"/>
      <c r="N5" s="13"/>
      <c r="O5" s="173" t="str">
        <f>WACC!B11&amp;"-"&amp;"Returrns"</f>
        <v>Kroger-Returrns</v>
      </c>
      <c r="P5" s="173"/>
      <c r="R5" s="173" t="str">
        <f>WACC!B12&amp;"-"&amp;"Returrns"</f>
        <v>Dollar Tree-Returrns</v>
      </c>
      <c r="S5" s="173"/>
      <c r="U5" s="173" t="str">
        <f>WACC!B13&amp;"-"&amp;"Returrns"</f>
        <v>Tesco-Returrns</v>
      </c>
      <c r="V5" s="173"/>
    </row>
    <row r="6" spans="2:24" x14ac:dyDescent="0.3">
      <c r="B6" s="73"/>
      <c r="C6" s="73"/>
      <c r="D6" s="73"/>
    </row>
    <row r="7" spans="2:24" x14ac:dyDescent="0.3">
      <c r="B7" s="74" t="s">
        <v>371</v>
      </c>
      <c r="C7" s="75" t="s">
        <v>372</v>
      </c>
      <c r="D7" s="74" t="s">
        <v>374</v>
      </c>
      <c r="F7" s="75" t="s">
        <v>372</v>
      </c>
      <c r="G7" s="74" t="s">
        <v>374</v>
      </c>
      <c r="I7" s="75" t="s">
        <v>372</v>
      </c>
      <c r="J7" s="74" t="s">
        <v>374</v>
      </c>
      <c r="L7" s="75" t="s">
        <v>372</v>
      </c>
      <c r="M7" s="74" t="s">
        <v>374</v>
      </c>
      <c r="O7" s="75" t="s">
        <v>372</v>
      </c>
      <c r="P7" s="74" t="s">
        <v>374</v>
      </c>
      <c r="R7" s="75" t="s">
        <v>372</v>
      </c>
      <c r="S7" s="74" t="s">
        <v>374</v>
      </c>
      <c r="U7" s="75" t="s">
        <v>372</v>
      </c>
      <c r="V7" s="74" t="s">
        <v>374</v>
      </c>
    </row>
    <row r="8" spans="2:24" x14ac:dyDescent="0.3">
      <c r="B8" s="72">
        <v>43471</v>
      </c>
      <c r="C8" s="16">
        <v>11848</v>
      </c>
      <c r="F8" s="77">
        <v>52.24</v>
      </c>
      <c r="I8" s="77">
        <v>205.14</v>
      </c>
      <c r="L8" s="77">
        <v>69.61</v>
      </c>
      <c r="O8" s="77">
        <v>28.43</v>
      </c>
      <c r="R8" s="77">
        <v>97.28</v>
      </c>
      <c r="U8" s="77">
        <v>3.5150000000000001</v>
      </c>
      <c r="X8" s="72"/>
    </row>
    <row r="9" spans="2:24" x14ac:dyDescent="0.3">
      <c r="B9" s="72">
        <v>43478</v>
      </c>
      <c r="C9" s="16">
        <v>12151.8</v>
      </c>
      <c r="D9" s="11">
        <f>C9/C8-1</f>
        <v>2.5641458474003898E-2</v>
      </c>
      <c r="F9" s="77">
        <v>52.55</v>
      </c>
      <c r="G9" s="11">
        <f>F9/F8-1</f>
        <v>5.9341500765694999E-3</v>
      </c>
      <c r="I9" s="77">
        <v>208.14</v>
      </c>
      <c r="J9" s="11">
        <f>I9/I8-1</f>
        <v>1.4624159110851132E-2</v>
      </c>
      <c r="L9" s="77">
        <v>70.680000000000007</v>
      </c>
      <c r="M9" s="11">
        <f>L9/L8-1</f>
        <v>1.5371354690418171E-2</v>
      </c>
      <c r="O9" s="77">
        <v>29.43</v>
      </c>
      <c r="P9" s="11">
        <f>O9/O8-1</f>
        <v>3.5174111853675694E-2</v>
      </c>
      <c r="R9" s="77">
        <v>94.66</v>
      </c>
      <c r="S9" s="11">
        <f>R9/R8-1</f>
        <v>-2.6932565789473784E-2</v>
      </c>
      <c r="U9" s="77">
        <v>3.5720000000000001</v>
      </c>
      <c r="V9" s="11">
        <f>U9/U8-1</f>
        <v>1.6216216216216273E-2</v>
      </c>
      <c r="X9" s="72"/>
    </row>
    <row r="10" spans="2:24" x14ac:dyDescent="0.3">
      <c r="B10" s="72">
        <v>43485</v>
      </c>
      <c r="C10" s="16">
        <v>12127.2</v>
      </c>
      <c r="D10" s="11">
        <f t="shared" ref="D10:D73" si="0">C10/C9-1</f>
        <v>-2.0243914481804515E-3</v>
      </c>
      <c r="F10" s="77">
        <v>52.22</v>
      </c>
      <c r="G10" s="11">
        <f t="shared" ref="G10:G73" si="1">F10/F9-1</f>
        <v>-6.2797335870599102E-3</v>
      </c>
      <c r="I10" s="77">
        <v>203.73</v>
      </c>
      <c r="J10" s="11">
        <f t="shared" ref="J10:J73" si="2">I10/I9-1</f>
        <v>-2.1187662150475628E-2</v>
      </c>
      <c r="L10" s="77">
        <v>72.39</v>
      </c>
      <c r="M10" s="11">
        <f t="shared" ref="M10:M73" si="3">L10/L9-1</f>
        <v>2.4193548387096753E-2</v>
      </c>
      <c r="O10" s="77">
        <v>28.12</v>
      </c>
      <c r="P10" s="11">
        <f t="shared" ref="P10:P73" si="4">O10/O9-1</f>
        <v>-4.4512402310567412E-2</v>
      </c>
      <c r="R10" s="77">
        <v>96.92</v>
      </c>
      <c r="S10" s="11">
        <f t="shared" ref="S10:S73" si="5">R10/R9-1</f>
        <v>2.3874920769068275E-2</v>
      </c>
      <c r="U10" s="77">
        <v>3.7240000000000002</v>
      </c>
      <c r="V10" s="11">
        <f t="shared" ref="V10:V74" si="6">U10/U9-1</f>
        <v>4.2553191489361764E-2</v>
      </c>
      <c r="X10" s="72"/>
    </row>
    <row r="11" spans="2:24" x14ac:dyDescent="0.3">
      <c r="B11" s="72">
        <v>43492</v>
      </c>
      <c r="C11" s="16">
        <v>12329.7</v>
      </c>
      <c r="D11" s="11">
        <f t="shared" si="0"/>
        <v>1.669800118741338E-2</v>
      </c>
      <c r="F11" s="77">
        <v>50.91</v>
      </c>
      <c r="G11" s="11">
        <f t="shared" si="1"/>
        <v>-2.5086173879739659E-2</v>
      </c>
      <c r="I11" s="77">
        <v>204.9</v>
      </c>
      <c r="J11" s="11">
        <f t="shared" si="2"/>
        <v>5.7428950080991026E-3</v>
      </c>
      <c r="L11" s="77">
        <v>71.17</v>
      </c>
      <c r="M11" s="11">
        <f t="shared" si="3"/>
        <v>-1.6853156513330525E-2</v>
      </c>
      <c r="O11" s="77">
        <v>28.07</v>
      </c>
      <c r="P11" s="11">
        <f t="shared" si="4"/>
        <v>-1.7780938833570348E-3</v>
      </c>
      <c r="R11" s="77">
        <v>96.69</v>
      </c>
      <c r="S11" s="11">
        <f t="shared" si="5"/>
        <v>-2.373091209244782E-3</v>
      </c>
      <c r="U11" s="77">
        <v>3.6606999999999998</v>
      </c>
      <c r="V11" s="11">
        <f t="shared" si="6"/>
        <v>-1.6997851772287964E-2</v>
      </c>
      <c r="X11" s="72"/>
    </row>
    <row r="12" spans="2:24" x14ac:dyDescent="0.3">
      <c r="B12" s="72">
        <v>43499</v>
      </c>
      <c r="C12" s="16">
        <v>12292.1</v>
      </c>
      <c r="D12" s="11">
        <f t="shared" si="0"/>
        <v>-3.0495470287192905E-3</v>
      </c>
      <c r="F12" s="77">
        <v>50.29</v>
      </c>
      <c r="G12" s="11">
        <f t="shared" si="1"/>
        <v>-1.217835395796496E-2</v>
      </c>
      <c r="I12" s="77">
        <v>202.45</v>
      </c>
      <c r="J12" s="11">
        <f t="shared" si="2"/>
        <v>-1.195705222059551E-2</v>
      </c>
      <c r="L12" s="77">
        <v>70.88</v>
      </c>
      <c r="M12" s="11">
        <f t="shared" si="3"/>
        <v>-4.0747505971617803E-3</v>
      </c>
      <c r="O12" s="77">
        <v>27.83</v>
      </c>
      <c r="P12" s="11">
        <f t="shared" si="4"/>
        <v>-8.5500534378341042E-3</v>
      </c>
      <c r="R12" s="77">
        <v>97.65</v>
      </c>
      <c r="S12" s="11">
        <f t="shared" si="5"/>
        <v>9.9286379149861048E-3</v>
      </c>
      <c r="U12" s="77">
        <v>3.6606999999999998</v>
      </c>
      <c r="V12" s="11">
        <f t="shared" si="6"/>
        <v>0</v>
      </c>
      <c r="X12" s="72"/>
    </row>
    <row r="13" spans="2:24" x14ac:dyDescent="0.3">
      <c r="B13" s="72">
        <v>43506</v>
      </c>
      <c r="C13" s="16">
        <v>12603.5</v>
      </c>
      <c r="D13" s="11">
        <f t="shared" si="0"/>
        <v>2.5333344180408446E-2</v>
      </c>
      <c r="F13" s="77">
        <v>51.45</v>
      </c>
      <c r="G13" s="11">
        <f t="shared" si="1"/>
        <v>2.3066215947504576E-2</v>
      </c>
      <c r="I13" s="77">
        <v>210.94</v>
      </c>
      <c r="J13" s="11">
        <f t="shared" si="2"/>
        <v>4.1936280563102057E-2</v>
      </c>
      <c r="L13" s="77">
        <v>72.84</v>
      </c>
      <c r="M13" s="11">
        <f t="shared" si="3"/>
        <v>2.7652370203160359E-2</v>
      </c>
      <c r="O13" s="77">
        <v>29.5</v>
      </c>
      <c r="P13" s="11">
        <f t="shared" si="4"/>
        <v>6.0007186489400066E-2</v>
      </c>
      <c r="R13" s="77">
        <v>98.85</v>
      </c>
      <c r="S13" s="11">
        <f t="shared" si="5"/>
        <v>1.2288786482334668E-2</v>
      </c>
      <c r="U13" s="77">
        <v>3.5973000000000002</v>
      </c>
      <c r="V13" s="11">
        <f t="shared" si="6"/>
        <v>-1.7319091976944256E-2</v>
      </c>
      <c r="X13" s="72"/>
    </row>
    <row r="14" spans="2:24" x14ac:dyDescent="0.3">
      <c r="B14" s="72">
        <v>43513</v>
      </c>
      <c r="C14" s="16">
        <v>12694.5</v>
      </c>
      <c r="D14" s="11">
        <f t="shared" si="0"/>
        <v>7.2202166064982976E-3</v>
      </c>
      <c r="F14" s="77">
        <v>52.02</v>
      </c>
      <c r="G14" s="11">
        <f t="shared" si="1"/>
        <v>1.1078717201166155E-2</v>
      </c>
      <c r="I14" s="77">
        <v>210.77</v>
      </c>
      <c r="J14" s="11">
        <f t="shared" si="2"/>
        <v>-8.0591637432436691E-4</v>
      </c>
      <c r="L14" s="77">
        <v>72.25</v>
      </c>
      <c r="M14" s="11">
        <f t="shared" si="3"/>
        <v>-8.099945085118132E-3</v>
      </c>
      <c r="O14" s="77">
        <v>28.52</v>
      </c>
      <c r="P14" s="11">
        <f t="shared" si="4"/>
        <v>-3.3220338983050879E-2</v>
      </c>
      <c r="R14" s="77">
        <v>97.11</v>
      </c>
      <c r="S14" s="11">
        <f t="shared" si="5"/>
        <v>-1.7602427921092567E-2</v>
      </c>
      <c r="U14" s="77">
        <v>3.6606999999999998</v>
      </c>
      <c r="V14" s="11">
        <f t="shared" si="6"/>
        <v>1.762432935812952E-2</v>
      </c>
      <c r="X14" s="72"/>
    </row>
    <row r="15" spans="2:24" x14ac:dyDescent="0.3">
      <c r="B15" s="72">
        <v>43520</v>
      </c>
      <c r="C15" s="16">
        <v>12700.7</v>
      </c>
      <c r="D15" s="11">
        <f t="shared" si="0"/>
        <v>4.8840048840048667E-4</v>
      </c>
      <c r="F15" s="77">
        <v>51.78</v>
      </c>
      <c r="G15" s="11">
        <f t="shared" si="1"/>
        <v>-4.6136101499423265E-3</v>
      </c>
      <c r="I15" s="77">
        <v>209.08</v>
      </c>
      <c r="J15" s="11">
        <f t="shared" si="2"/>
        <v>-8.018218911609809E-3</v>
      </c>
      <c r="L15" s="77">
        <v>72.94</v>
      </c>
      <c r="M15" s="11">
        <f t="shared" si="3"/>
        <v>9.5501730103806359E-3</v>
      </c>
      <c r="O15" s="77">
        <v>28.02</v>
      </c>
      <c r="P15" s="11">
        <f t="shared" si="4"/>
        <v>-1.7531556802244053E-2</v>
      </c>
      <c r="R15" s="77">
        <v>96.36</v>
      </c>
      <c r="S15" s="11">
        <f t="shared" si="5"/>
        <v>-7.7232004942848764E-3</v>
      </c>
      <c r="U15" s="77">
        <v>3.7873000000000001</v>
      </c>
      <c r="V15" s="11">
        <f t="shared" si="6"/>
        <v>3.4583549594339846E-2</v>
      </c>
      <c r="X15" s="72"/>
    </row>
    <row r="16" spans="2:24" x14ac:dyDescent="0.3">
      <c r="B16" s="72">
        <v>43527</v>
      </c>
      <c r="C16" s="16">
        <v>12415.1</v>
      </c>
      <c r="D16" s="11">
        <f t="shared" si="0"/>
        <v>-2.2486949538214507E-2</v>
      </c>
      <c r="F16" s="77">
        <v>55.4</v>
      </c>
      <c r="G16" s="11">
        <f t="shared" si="1"/>
        <v>6.9911162611046684E-2</v>
      </c>
      <c r="I16" s="77">
        <v>217.07</v>
      </c>
      <c r="J16" s="11">
        <f t="shared" si="2"/>
        <v>3.8215037306294164E-2</v>
      </c>
      <c r="L16" s="77">
        <v>75.81</v>
      </c>
      <c r="M16" s="11">
        <f t="shared" si="3"/>
        <v>3.9347408829174757E-2</v>
      </c>
      <c r="O16" s="77">
        <v>24.47</v>
      </c>
      <c r="P16" s="11">
        <f t="shared" si="4"/>
        <v>-0.12669521770164172</v>
      </c>
      <c r="R16" s="77">
        <v>102.4</v>
      </c>
      <c r="S16" s="11">
        <f t="shared" si="5"/>
        <v>6.2681610626816209E-2</v>
      </c>
      <c r="U16" s="77">
        <v>3.9315000000000002</v>
      </c>
      <c r="V16" s="11">
        <f t="shared" si="6"/>
        <v>3.8074617801600041E-2</v>
      </c>
      <c r="X16" s="72"/>
    </row>
    <row r="17" spans="2:24" x14ac:dyDescent="0.3">
      <c r="B17" s="72">
        <v>43534</v>
      </c>
      <c r="C17" s="16">
        <v>12715.8</v>
      </c>
      <c r="D17" s="11">
        <f t="shared" si="0"/>
        <v>2.4220505674541482E-2</v>
      </c>
      <c r="F17" s="77">
        <v>54.89</v>
      </c>
      <c r="G17" s="11">
        <f t="shared" si="1"/>
        <v>-9.2057761732852184E-3</v>
      </c>
      <c r="I17" s="77">
        <v>222.58</v>
      </c>
      <c r="J17" s="11">
        <f t="shared" si="2"/>
        <v>2.5383516837886422E-2</v>
      </c>
      <c r="L17" s="77">
        <v>76.66</v>
      </c>
      <c r="M17" s="11">
        <f t="shared" si="3"/>
        <v>1.1212241129138656E-2</v>
      </c>
      <c r="O17" s="77">
        <v>24.36</v>
      </c>
      <c r="P17" s="11">
        <f t="shared" si="4"/>
        <v>-4.495300367797328E-3</v>
      </c>
      <c r="R17" s="77">
        <v>99.86</v>
      </c>
      <c r="S17" s="11">
        <f t="shared" si="5"/>
        <v>-2.4804687500000089E-2</v>
      </c>
      <c r="U17" s="77">
        <v>3.8765000000000001</v>
      </c>
      <c r="V17" s="11">
        <f t="shared" si="6"/>
        <v>-1.3989571410403245E-2</v>
      </c>
      <c r="X17" s="72"/>
    </row>
    <row r="18" spans="2:24" x14ac:dyDescent="0.3">
      <c r="B18" s="72">
        <v>43541</v>
      </c>
      <c r="C18" s="16">
        <v>12539.4</v>
      </c>
      <c r="D18" s="11">
        <f t="shared" si="0"/>
        <v>-1.3872505072429542E-2</v>
      </c>
      <c r="F18" s="77">
        <v>53.72</v>
      </c>
      <c r="G18" s="11">
        <f t="shared" si="1"/>
        <v>-2.1315357988704764E-2</v>
      </c>
      <c r="I18" s="77">
        <v>226.35</v>
      </c>
      <c r="J18" s="11">
        <f t="shared" si="2"/>
        <v>1.6937730254290573E-2</v>
      </c>
      <c r="L18" s="77">
        <v>78.319999999999993</v>
      </c>
      <c r="M18" s="11">
        <f t="shared" si="3"/>
        <v>2.1654056874510719E-2</v>
      </c>
      <c r="O18" s="77">
        <v>24.34</v>
      </c>
      <c r="P18" s="11">
        <f t="shared" si="4"/>
        <v>-8.2101806239731623E-4</v>
      </c>
      <c r="R18" s="77">
        <v>101.43</v>
      </c>
      <c r="S18" s="11">
        <f t="shared" si="5"/>
        <v>1.5722010815141241E-2</v>
      </c>
      <c r="U18" s="77">
        <v>3.8506999999999998</v>
      </c>
      <c r="V18" s="11">
        <f t="shared" si="6"/>
        <v>-6.655488198116899E-3</v>
      </c>
      <c r="X18" s="72"/>
    </row>
    <row r="19" spans="2:24" x14ac:dyDescent="0.3">
      <c r="B19" s="72">
        <v>43548</v>
      </c>
      <c r="C19" s="16">
        <v>12696.9</v>
      </c>
      <c r="D19" s="11">
        <f t="shared" si="0"/>
        <v>1.256040958897553E-2</v>
      </c>
      <c r="F19" s="77">
        <v>52.92</v>
      </c>
      <c r="G19" s="11">
        <f t="shared" si="1"/>
        <v>-1.4892032762471974E-2</v>
      </c>
      <c r="I19" s="77">
        <v>230.71</v>
      </c>
      <c r="J19" s="11">
        <f t="shared" si="2"/>
        <v>1.9262204550474893E-2</v>
      </c>
      <c r="L19" s="77">
        <v>80.260000000000005</v>
      </c>
      <c r="M19" s="11">
        <f t="shared" si="3"/>
        <v>2.4770173646578186E-2</v>
      </c>
      <c r="O19" s="77">
        <v>24.6</v>
      </c>
      <c r="P19" s="11">
        <f t="shared" si="4"/>
        <v>1.0682004930156141E-2</v>
      </c>
      <c r="R19" s="77">
        <v>105.04</v>
      </c>
      <c r="S19" s="11">
        <f t="shared" si="5"/>
        <v>3.5591048013408288E-2</v>
      </c>
      <c r="U19" s="77">
        <v>3.8127</v>
      </c>
      <c r="V19" s="11">
        <f t="shared" si="6"/>
        <v>-9.8683356272885048E-3</v>
      </c>
      <c r="X19" s="72"/>
    </row>
    <row r="20" spans="2:24" x14ac:dyDescent="0.3">
      <c r="B20" s="72">
        <v>43555</v>
      </c>
      <c r="C20" s="16">
        <v>12927.7</v>
      </c>
      <c r="D20" s="11">
        <f t="shared" si="0"/>
        <v>1.8177665414392585E-2</v>
      </c>
      <c r="F20" s="77">
        <v>53.28</v>
      </c>
      <c r="G20" s="11">
        <f t="shared" si="1"/>
        <v>6.8027210884353817E-3</v>
      </c>
      <c r="I20" s="77">
        <v>234.27</v>
      </c>
      <c r="J20" s="11">
        <f t="shared" si="2"/>
        <v>1.5430627194313207E-2</v>
      </c>
      <c r="L20" s="77">
        <v>80.94</v>
      </c>
      <c r="M20" s="11">
        <f t="shared" si="3"/>
        <v>8.472464490406173E-3</v>
      </c>
      <c r="O20" s="77">
        <v>23.9</v>
      </c>
      <c r="P20" s="11">
        <f t="shared" si="4"/>
        <v>-2.8455284552845628E-2</v>
      </c>
      <c r="R20" s="77">
        <v>105.99</v>
      </c>
      <c r="S20" s="11">
        <f t="shared" si="5"/>
        <v>9.0441736481339241E-3</v>
      </c>
      <c r="U20" s="77">
        <v>3.8759999999999999</v>
      </c>
      <c r="V20" s="11">
        <f t="shared" si="6"/>
        <v>1.6602407742544623E-2</v>
      </c>
      <c r="X20" s="72"/>
    </row>
    <row r="21" spans="2:24" x14ac:dyDescent="0.3">
      <c r="B21" s="72">
        <v>43562</v>
      </c>
      <c r="C21" s="16">
        <v>12969.5</v>
      </c>
      <c r="D21" s="11">
        <f t="shared" si="0"/>
        <v>3.2333671109323614E-3</v>
      </c>
      <c r="F21" s="77">
        <v>52.14</v>
      </c>
      <c r="G21" s="11">
        <f t="shared" si="1"/>
        <v>-2.1396396396396455E-2</v>
      </c>
      <c r="I21" s="77">
        <v>230.53</v>
      </c>
      <c r="J21" s="11">
        <f t="shared" si="2"/>
        <v>-1.5964485422802821E-2</v>
      </c>
      <c r="L21" s="77">
        <v>80.73</v>
      </c>
      <c r="M21" s="11">
        <f t="shared" si="3"/>
        <v>-2.5945144551519084E-3</v>
      </c>
      <c r="O21" s="77">
        <v>25.67</v>
      </c>
      <c r="P21" s="11">
        <f t="shared" si="4"/>
        <v>7.4058577405857973E-2</v>
      </c>
      <c r="R21" s="77">
        <v>104.45</v>
      </c>
      <c r="S21" s="11">
        <f t="shared" si="5"/>
        <v>-1.4529672610623545E-2</v>
      </c>
      <c r="U21" s="77">
        <v>4.0659999999999998</v>
      </c>
      <c r="V21" s="11">
        <f t="shared" si="6"/>
        <v>4.9019607843137303E-2</v>
      </c>
      <c r="X21" s="72"/>
    </row>
    <row r="22" spans="2:24" x14ac:dyDescent="0.3">
      <c r="B22" s="72">
        <v>43569</v>
      </c>
      <c r="C22" s="16">
        <v>12922.7</v>
      </c>
      <c r="D22" s="11">
        <f t="shared" si="0"/>
        <v>-3.608466016423062E-3</v>
      </c>
      <c r="F22" s="77">
        <v>53.31</v>
      </c>
      <c r="G22" s="11">
        <f t="shared" si="1"/>
        <v>2.2439585730724909E-2</v>
      </c>
      <c r="I22" s="77">
        <v>234.21</v>
      </c>
      <c r="J22" s="11">
        <f t="shared" si="2"/>
        <v>1.5963215199757075E-2</v>
      </c>
      <c r="L22" s="77">
        <v>83.26</v>
      </c>
      <c r="M22" s="11">
        <f t="shared" si="3"/>
        <v>3.1339031339031376E-2</v>
      </c>
      <c r="O22" s="77">
        <v>25.78</v>
      </c>
      <c r="P22" s="11">
        <f t="shared" si="4"/>
        <v>4.2851577717180067E-3</v>
      </c>
      <c r="R22" s="77">
        <v>108.67</v>
      </c>
      <c r="S22" s="11">
        <f t="shared" si="5"/>
        <v>4.0402106270942983E-2</v>
      </c>
      <c r="U22" s="77">
        <v>4.0944000000000003</v>
      </c>
      <c r="V22" s="11">
        <f t="shared" si="6"/>
        <v>6.9847515986227737E-3</v>
      </c>
      <c r="X22" s="72"/>
    </row>
    <row r="23" spans="2:24" x14ac:dyDescent="0.3">
      <c r="B23" s="72">
        <v>43576</v>
      </c>
      <c r="C23" s="16">
        <v>12991.2</v>
      </c>
      <c r="D23" s="11">
        <f t="shared" si="0"/>
        <v>5.3007498432990907E-3</v>
      </c>
      <c r="F23" s="77">
        <v>54.12</v>
      </c>
      <c r="G23" s="11">
        <f t="shared" si="1"/>
        <v>1.5194147439504757E-2</v>
      </c>
      <c r="I23" s="77">
        <v>232.31</v>
      </c>
      <c r="J23" s="11">
        <f t="shared" si="2"/>
        <v>-8.1123777806242359E-3</v>
      </c>
      <c r="L23" s="77">
        <v>77.12</v>
      </c>
      <c r="M23" s="11">
        <f t="shared" si="3"/>
        <v>-7.3744895508047081E-2</v>
      </c>
      <c r="O23" s="77">
        <v>25</v>
      </c>
      <c r="P23" s="11">
        <f t="shared" si="4"/>
        <v>-3.0256012412723132E-2</v>
      </c>
      <c r="R23" s="77">
        <v>109.94</v>
      </c>
      <c r="S23" s="11">
        <f t="shared" si="5"/>
        <v>1.1686758074905601E-2</v>
      </c>
      <c r="U23" s="77">
        <v>4.0976999999999997</v>
      </c>
      <c r="V23" s="11">
        <f t="shared" si="6"/>
        <v>8.0597889800682054E-4</v>
      </c>
      <c r="X23" s="72"/>
    </row>
    <row r="24" spans="2:24" x14ac:dyDescent="0.3">
      <c r="B24" s="72">
        <v>43583</v>
      </c>
      <c r="C24" s="16">
        <v>13037.9</v>
      </c>
      <c r="D24" s="11">
        <f t="shared" si="0"/>
        <v>3.5947410554835191E-3</v>
      </c>
      <c r="F24" s="77">
        <v>54.88</v>
      </c>
      <c r="G24" s="11">
        <f t="shared" si="1"/>
        <v>1.4042867701404393E-2</v>
      </c>
      <c r="I24" s="77">
        <v>233.08</v>
      </c>
      <c r="J24" s="11">
        <f t="shared" si="2"/>
        <v>3.3145366105635787E-3</v>
      </c>
      <c r="L24" s="77">
        <v>75.94</v>
      </c>
      <c r="M24" s="11">
        <f t="shared" si="3"/>
        <v>-1.5300829875518729E-2</v>
      </c>
      <c r="O24" s="77">
        <v>25.74</v>
      </c>
      <c r="P24" s="11">
        <f t="shared" si="4"/>
        <v>2.9599999999999849E-2</v>
      </c>
      <c r="R24" s="77">
        <v>108.82</v>
      </c>
      <c r="S24" s="11">
        <f t="shared" si="5"/>
        <v>-1.0187374931781012E-2</v>
      </c>
      <c r="U24" s="77">
        <v>4.0659999999999998</v>
      </c>
      <c r="V24" s="11">
        <f t="shared" si="6"/>
        <v>-7.7360470507845669E-3</v>
      </c>
      <c r="X24" s="72"/>
    </row>
    <row r="25" spans="2:24" x14ac:dyDescent="0.3">
      <c r="B25" s="72">
        <v>43590</v>
      </c>
      <c r="C25" s="16">
        <v>12788.1</v>
      </c>
      <c r="D25" s="11">
        <f t="shared" si="0"/>
        <v>-1.9159527224476225E-2</v>
      </c>
      <c r="F25" s="77">
        <v>54.59</v>
      </c>
      <c r="G25" s="11">
        <f t="shared" si="1"/>
        <v>-5.2842565597667202E-3</v>
      </c>
      <c r="I25" s="77">
        <v>235.36</v>
      </c>
      <c r="J25" s="11">
        <f t="shared" si="2"/>
        <v>9.7820490818603112E-3</v>
      </c>
      <c r="L25" s="77">
        <v>74.64</v>
      </c>
      <c r="M25" s="11">
        <f t="shared" si="3"/>
        <v>-1.711877798261785E-2</v>
      </c>
      <c r="O25" s="77">
        <v>25.83</v>
      </c>
      <c r="P25" s="11">
        <f t="shared" si="4"/>
        <v>3.4965034965035446E-3</v>
      </c>
      <c r="R25" s="77">
        <v>104.02</v>
      </c>
      <c r="S25" s="11">
        <f t="shared" si="5"/>
        <v>-4.4109538687741146E-2</v>
      </c>
      <c r="U25" s="77">
        <v>4.0976999999999997</v>
      </c>
      <c r="V25" s="11">
        <f t="shared" si="6"/>
        <v>7.796360059026064E-3</v>
      </c>
      <c r="X25" s="72"/>
    </row>
    <row r="26" spans="2:24" x14ac:dyDescent="0.3">
      <c r="B26" s="72">
        <v>43597</v>
      </c>
      <c r="C26" s="16">
        <v>12657.6</v>
      </c>
      <c r="D26" s="11">
        <f t="shared" si="0"/>
        <v>-1.0204799774790607E-2</v>
      </c>
      <c r="F26" s="77">
        <v>53.86</v>
      </c>
      <c r="G26" s="11">
        <f t="shared" si="1"/>
        <v>-1.3372412529767397E-2</v>
      </c>
      <c r="I26" s="77">
        <v>236.63</v>
      </c>
      <c r="J26" s="11">
        <f t="shared" si="2"/>
        <v>5.3959891230455082E-3</v>
      </c>
      <c r="L26" s="77">
        <v>70.89</v>
      </c>
      <c r="M26" s="11">
        <f t="shared" si="3"/>
        <v>-5.0241157556270122E-2</v>
      </c>
      <c r="O26" s="77">
        <v>24.22</v>
      </c>
      <c r="P26" s="11">
        <f t="shared" si="4"/>
        <v>-6.2330623306233068E-2</v>
      </c>
      <c r="R26" s="77">
        <v>100.39</v>
      </c>
      <c r="S26" s="11">
        <f t="shared" si="5"/>
        <v>-3.4897135166314097E-2</v>
      </c>
      <c r="U26" s="77">
        <v>3.8887</v>
      </c>
      <c r="V26" s="11">
        <f t="shared" si="6"/>
        <v>-5.100422188056708E-2</v>
      </c>
      <c r="X26" s="72"/>
    </row>
    <row r="27" spans="2:24" x14ac:dyDescent="0.3">
      <c r="B27" s="72">
        <v>43604</v>
      </c>
      <c r="C27" s="16">
        <v>12581.4</v>
      </c>
      <c r="D27" s="11">
        <f t="shared" si="0"/>
        <v>-6.0200985968904552E-3</v>
      </c>
      <c r="F27" s="77">
        <v>52.61</v>
      </c>
      <c r="G27" s="11">
        <f t="shared" si="1"/>
        <v>-2.320831786112143E-2</v>
      </c>
      <c r="I27" s="77">
        <v>235.63</v>
      </c>
      <c r="J27" s="11">
        <f t="shared" si="2"/>
        <v>-4.2260068461310585E-3</v>
      </c>
      <c r="L27" s="77">
        <v>81.569999999999993</v>
      </c>
      <c r="M27" s="11">
        <f t="shared" si="3"/>
        <v>0.15065594583156994</v>
      </c>
      <c r="O27" s="77">
        <v>23.72</v>
      </c>
      <c r="P27" s="11">
        <f t="shared" si="4"/>
        <v>-2.0644095788604488E-2</v>
      </c>
      <c r="R27" s="77">
        <v>98.42</v>
      </c>
      <c r="S27" s="11">
        <f t="shared" si="5"/>
        <v>-1.9623468472955485E-2</v>
      </c>
      <c r="U27" s="77">
        <v>3.6859999999999999</v>
      </c>
      <c r="V27" s="11">
        <f t="shared" si="6"/>
        <v>-5.2125388947463214E-2</v>
      </c>
      <c r="X27" s="72"/>
    </row>
    <row r="28" spans="2:24" x14ac:dyDescent="0.3">
      <c r="B28" s="72">
        <v>43611</v>
      </c>
      <c r="C28" s="16">
        <v>12264.5</v>
      </c>
      <c r="D28" s="11">
        <f t="shared" si="0"/>
        <v>-2.5187975900933135E-2</v>
      </c>
      <c r="F28" s="77">
        <v>52.64</v>
      </c>
      <c r="G28" s="11">
        <f t="shared" si="1"/>
        <v>5.7023379585641187E-4</v>
      </c>
      <c r="I28" s="77">
        <v>228.27</v>
      </c>
      <c r="J28" s="11">
        <f t="shared" si="2"/>
        <v>-3.1235411450154849E-2</v>
      </c>
      <c r="L28" s="77">
        <v>80.45</v>
      </c>
      <c r="M28" s="11">
        <f t="shared" si="3"/>
        <v>-1.3730538188059249E-2</v>
      </c>
      <c r="O28" s="77">
        <v>22.81</v>
      </c>
      <c r="P28" s="11">
        <f t="shared" si="4"/>
        <v>-3.8364249578414888E-2</v>
      </c>
      <c r="R28" s="77">
        <v>101.59</v>
      </c>
      <c r="S28" s="11">
        <f t="shared" si="5"/>
        <v>3.2208900629953297E-2</v>
      </c>
      <c r="U28" s="77">
        <v>3.61</v>
      </c>
      <c r="V28" s="11">
        <f t="shared" si="6"/>
        <v>-2.0618556701030966E-2</v>
      </c>
      <c r="X28" s="72"/>
    </row>
    <row r="29" spans="2:24" x14ac:dyDescent="0.3">
      <c r="B29" s="72">
        <v>43618</v>
      </c>
      <c r="C29" s="16">
        <v>12765.9</v>
      </c>
      <c r="D29" s="11">
        <f t="shared" si="0"/>
        <v>4.0882221044477918E-2</v>
      </c>
      <c r="F29" s="77">
        <v>53.73</v>
      </c>
      <c r="G29" s="11">
        <f t="shared" si="1"/>
        <v>2.0706686930091145E-2</v>
      </c>
      <c r="I29" s="77">
        <v>243.93</v>
      </c>
      <c r="J29" s="11">
        <f t="shared" si="2"/>
        <v>6.8602970166907529E-2</v>
      </c>
      <c r="L29" s="77">
        <v>86.85</v>
      </c>
      <c r="M29" s="11">
        <f t="shared" si="3"/>
        <v>7.9552517091360908E-2</v>
      </c>
      <c r="O29" s="77">
        <v>23.93</v>
      </c>
      <c r="P29" s="11">
        <f t="shared" si="4"/>
        <v>4.9101271372205213E-2</v>
      </c>
      <c r="R29" s="77">
        <v>102.64</v>
      </c>
      <c r="S29" s="11">
        <f t="shared" si="5"/>
        <v>1.0335662958952607E-2</v>
      </c>
      <c r="U29" s="77">
        <v>3.6606999999999998</v>
      </c>
      <c r="V29" s="11">
        <f t="shared" si="6"/>
        <v>1.4044321329639953E-2</v>
      </c>
      <c r="X29" s="72"/>
    </row>
    <row r="30" spans="2:24" x14ac:dyDescent="0.3">
      <c r="B30" s="72">
        <v>43625</v>
      </c>
      <c r="C30" s="16">
        <v>12787.2</v>
      </c>
      <c r="D30" s="11">
        <f t="shared" si="0"/>
        <v>1.6685075082838452E-3</v>
      </c>
      <c r="F30" s="77">
        <v>52.78</v>
      </c>
      <c r="G30" s="11">
        <f t="shared" si="1"/>
        <v>-1.7680997580495017E-2</v>
      </c>
      <c r="I30" s="77">
        <v>247.87</v>
      </c>
      <c r="J30" s="11">
        <f t="shared" si="2"/>
        <v>1.6152174804247021E-2</v>
      </c>
      <c r="L30" s="77">
        <v>87.79</v>
      </c>
      <c r="M30" s="11">
        <f t="shared" si="3"/>
        <v>1.0823258491652332E-2</v>
      </c>
      <c r="O30" s="77">
        <v>24.26</v>
      </c>
      <c r="P30" s="11">
        <f t="shared" si="4"/>
        <v>1.3790221479314635E-2</v>
      </c>
      <c r="R30" s="77">
        <v>110.31</v>
      </c>
      <c r="S30" s="11">
        <f t="shared" si="5"/>
        <v>7.4727201870615767E-2</v>
      </c>
      <c r="U30" s="77">
        <v>3.5973000000000002</v>
      </c>
      <c r="V30" s="11">
        <f t="shared" si="6"/>
        <v>-1.7319091976944256E-2</v>
      </c>
      <c r="X30" s="72"/>
    </row>
    <row r="31" spans="2:24" x14ac:dyDescent="0.3">
      <c r="B31" s="72">
        <v>43632</v>
      </c>
      <c r="C31" s="16">
        <v>13047.2</v>
      </c>
      <c r="D31" s="11">
        <f t="shared" si="0"/>
        <v>2.0332832832832937E-2</v>
      </c>
      <c r="F31" s="77">
        <v>53.3</v>
      </c>
      <c r="G31" s="11">
        <f t="shared" si="1"/>
        <v>9.8522167487684609E-3</v>
      </c>
      <c r="I31" s="77">
        <v>253.57</v>
      </c>
      <c r="J31" s="11">
        <f t="shared" si="2"/>
        <v>2.2995925283414653E-2</v>
      </c>
      <c r="L31" s="77">
        <v>87.6</v>
      </c>
      <c r="M31" s="11">
        <f t="shared" si="3"/>
        <v>-2.1642556099784604E-3</v>
      </c>
      <c r="O31" s="77">
        <v>22.24</v>
      </c>
      <c r="P31" s="11">
        <f t="shared" si="4"/>
        <v>-8.3264633140972877E-2</v>
      </c>
      <c r="R31" s="77">
        <v>112.19</v>
      </c>
      <c r="S31" s="11">
        <f t="shared" si="5"/>
        <v>1.7042879158734481E-2</v>
      </c>
      <c r="U31" s="77">
        <v>3.8</v>
      </c>
      <c r="V31" s="11">
        <f t="shared" si="6"/>
        <v>5.634781641786879E-2</v>
      </c>
      <c r="X31" s="72"/>
    </row>
    <row r="32" spans="2:24" x14ac:dyDescent="0.3">
      <c r="B32" s="72">
        <v>43639</v>
      </c>
      <c r="C32" s="16">
        <v>13049.7</v>
      </c>
      <c r="D32" s="11">
        <f t="shared" si="0"/>
        <v>1.9161199337780488E-4</v>
      </c>
      <c r="F32" s="77">
        <v>52.79</v>
      </c>
      <c r="G32" s="11">
        <f t="shared" si="1"/>
        <v>-9.5684803001875318E-3</v>
      </c>
      <c r="I32" s="77">
        <v>251.79</v>
      </c>
      <c r="J32" s="11">
        <f t="shared" si="2"/>
        <v>-7.0197578577907427E-3</v>
      </c>
      <c r="L32" s="77">
        <v>86.61</v>
      </c>
      <c r="M32" s="11">
        <f t="shared" si="3"/>
        <v>-1.1301369863013666E-2</v>
      </c>
      <c r="O32" s="77">
        <v>21.71</v>
      </c>
      <c r="P32" s="11">
        <f t="shared" si="4"/>
        <v>-2.3830935251798468E-2</v>
      </c>
      <c r="R32" s="77">
        <v>107.39</v>
      </c>
      <c r="S32" s="11">
        <f t="shared" si="5"/>
        <v>-4.2784561903912999E-2</v>
      </c>
      <c r="U32" s="77">
        <v>3.6272000000000002</v>
      </c>
      <c r="V32" s="11">
        <f t="shared" si="6"/>
        <v>-4.5473684210526222E-2</v>
      </c>
      <c r="X32" s="72"/>
    </row>
    <row r="33" spans="2:24" x14ac:dyDescent="0.3">
      <c r="B33" s="72">
        <v>43646</v>
      </c>
      <c r="C33" s="16">
        <v>13210.9</v>
      </c>
      <c r="D33" s="11">
        <f t="shared" si="0"/>
        <v>1.2352774393280974E-2</v>
      </c>
      <c r="F33" s="77">
        <v>51.55</v>
      </c>
      <c r="G33" s="11">
        <f t="shared" si="1"/>
        <v>-2.3489297215381733E-2</v>
      </c>
      <c r="I33" s="77">
        <v>255.59</v>
      </c>
      <c r="J33" s="11">
        <f t="shared" si="2"/>
        <v>1.5091941697446432E-2</v>
      </c>
      <c r="L33" s="77">
        <v>88.64</v>
      </c>
      <c r="M33" s="11">
        <f t="shared" si="3"/>
        <v>2.3438402032097905E-2</v>
      </c>
      <c r="O33" s="77">
        <v>21.75</v>
      </c>
      <c r="P33" s="11">
        <f t="shared" si="4"/>
        <v>1.8424689083371693E-3</v>
      </c>
      <c r="R33" s="77">
        <v>109.64</v>
      </c>
      <c r="S33" s="11">
        <f t="shared" si="5"/>
        <v>2.0951671477791312E-2</v>
      </c>
      <c r="U33" s="77">
        <v>3.7366999999999999</v>
      </c>
      <c r="V33" s="11">
        <f t="shared" si="6"/>
        <v>3.018857520952789E-2</v>
      </c>
      <c r="X33" s="72"/>
    </row>
    <row r="34" spans="2:24" x14ac:dyDescent="0.3">
      <c r="B34" s="72">
        <v>43653</v>
      </c>
      <c r="C34" s="16">
        <v>13234.8</v>
      </c>
      <c r="D34" s="11">
        <f t="shared" si="0"/>
        <v>1.8091121725241077E-3</v>
      </c>
      <c r="F34" s="77">
        <v>51.16</v>
      </c>
      <c r="G34" s="11">
        <f t="shared" si="1"/>
        <v>-7.5654704170707854E-3</v>
      </c>
      <c r="I34" s="77">
        <v>266.25</v>
      </c>
      <c r="J34" s="11">
        <f t="shared" si="2"/>
        <v>4.1707422043115949E-2</v>
      </c>
      <c r="L34" s="77">
        <v>87.53</v>
      </c>
      <c r="M34" s="11">
        <f t="shared" si="3"/>
        <v>-1.2522563176895263E-2</v>
      </c>
      <c r="O34" s="77">
        <v>21.89</v>
      </c>
      <c r="P34" s="11">
        <f t="shared" si="4"/>
        <v>6.4367816091954744E-3</v>
      </c>
      <c r="R34" s="77">
        <v>112.43</v>
      </c>
      <c r="S34" s="11">
        <f t="shared" si="5"/>
        <v>2.5446917183509665E-2</v>
      </c>
      <c r="U34" s="77">
        <v>3.8887</v>
      </c>
      <c r="V34" s="11">
        <f t="shared" si="6"/>
        <v>4.067760323279912E-2</v>
      </c>
      <c r="X34" s="72"/>
    </row>
    <row r="35" spans="2:24" x14ac:dyDescent="0.3">
      <c r="B35" s="72">
        <v>43660</v>
      </c>
      <c r="C35" s="16">
        <v>13112</v>
      </c>
      <c r="D35" s="11">
        <f t="shared" si="0"/>
        <v>-9.2785686221174002E-3</v>
      </c>
      <c r="F35" s="77">
        <v>52.39</v>
      </c>
      <c r="G35" s="11">
        <f t="shared" si="1"/>
        <v>2.4042220484753685E-2</v>
      </c>
      <c r="I35" s="77">
        <v>268.22000000000003</v>
      </c>
      <c r="J35" s="11">
        <f t="shared" si="2"/>
        <v>7.3990610328640294E-3</v>
      </c>
      <c r="L35" s="77">
        <v>88.01</v>
      </c>
      <c r="M35" s="11">
        <f t="shared" si="3"/>
        <v>5.4838341140182045E-3</v>
      </c>
      <c r="O35" s="77">
        <v>21.69</v>
      </c>
      <c r="P35" s="11">
        <f t="shared" si="4"/>
        <v>-9.1365920511649046E-3</v>
      </c>
      <c r="R35" s="77">
        <v>108.2</v>
      </c>
      <c r="S35" s="11">
        <f t="shared" si="5"/>
        <v>-3.7623410121853662E-2</v>
      </c>
      <c r="U35" s="77">
        <v>3.6987000000000001</v>
      </c>
      <c r="V35" s="11">
        <f t="shared" si="6"/>
        <v>-4.8859516033635919E-2</v>
      </c>
      <c r="X35" s="72"/>
    </row>
    <row r="36" spans="2:24" x14ac:dyDescent="0.3">
      <c r="B36" s="72">
        <v>43667</v>
      </c>
      <c r="C36" s="16">
        <v>13235.5</v>
      </c>
      <c r="D36" s="11">
        <f t="shared" si="0"/>
        <v>9.418852959121482E-3</v>
      </c>
      <c r="F36" s="77">
        <v>51.82</v>
      </c>
      <c r="G36" s="11">
        <f t="shared" si="1"/>
        <v>-1.0879938919641119E-2</v>
      </c>
      <c r="I36" s="77">
        <v>268.08999999999997</v>
      </c>
      <c r="J36" s="11">
        <f t="shared" si="2"/>
        <v>-4.8467675788554931E-4</v>
      </c>
      <c r="L36" s="77">
        <v>87.06</v>
      </c>
      <c r="M36" s="11">
        <f t="shared" si="3"/>
        <v>-1.0794227928644484E-2</v>
      </c>
      <c r="O36" s="77">
        <v>21.48</v>
      </c>
      <c r="P36" s="11">
        <f t="shared" si="4"/>
        <v>-9.6818810511757336E-3</v>
      </c>
      <c r="R36" s="77">
        <v>106.1</v>
      </c>
      <c r="S36" s="11">
        <f t="shared" si="5"/>
        <v>-1.9408502772643277E-2</v>
      </c>
      <c r="U36" s="77">
        <v>3.5213000000000001</v>
      </c>
      <c r="V36" s="11">
        <f t="shared" si="6"/>
        <v>-4.7962797739746432E-2</v>
      </c>
      <c r="X36" s="72"/>
    </row>
    <row r="37" spans="2:24" x14ac:dyDescent="0.3">
      <c r="B37" s="72">
        <v>43674</v>
      </c>
      <c r="C37" s="16">
        <v>12839.5</v>
      </c>
      <c r="D37" s="11">
        <f t="shared" si="0"/>
        <v>-2.9919534585017615E-2</v>
      </c>
      <c r="F37" s="77">
        <v>51.84</v>
      </c>
      <c r="G37" s="11">
        <f t="shared" si="1"/>
        <v>3.859513701274242E-4</v>
      </c>
      <c r="I37" s="77">
        <v>259.64</v>
      </c>
      <c r="J37" s="11">
        <f t="shared" si="2"/>
        <v>-3.1519265918161787E-2</v>
      </c>
      <c r="L37" s="77">
        <v>81.52</v>
      </c>
      <c r="M37" s="11">
        <f t="shared" si="3"/>
        <v>-6.3634275212497204E-2</v>
      </c>
      <c r="O37" s="77">
        <v>22.24</v>
      </c>
      <c r="P37" s="11">
        <f t="shared" si="4"/>
        <v>3.5381750465549144E-2</v>
      </c>
      <c r="R37" s="77">
        <v>96.87</v>
      </c>
      <c r="S37" s="11">
        <f t="shared" si="5"/>
        <v>-8.6993402450518342E-2</v>
      </c>
      <c r="U37" s="77">
        <v>3.4073000000000002</v>
      </c>
      <c r="V37" s="11">
        <f t="shared" si="6"/>
        <v>-3.2374407179166731E-2</v>
      </c>
      <c r="X37" s="72"/>
    </row>
    <row r="38" spans="2:24" x14ac:dyDescent="0.3">
      <c r="B38" s="72">
        <v>43681</v>
      </c>
      <c r="C38" s="16">
        <v>12748.4</v>
      </c>
      <c r="D38" s="11">
        <f t="shared" si="0"/>
        <v>-7.0952918727364978E-3</v>
      </c>
      <c r="F38" s="77">
        <v>51.03</v>
      </c>
      <c r="G38" s="11">
        <f t="shared" si="1"/>
        <v>-1.5625E-2</v>
      </c>
      <c r="I38" s="77">
        <v>261.01</v>
      </c>
      <c r="J38" s="11">
        <f t="shared" si="2"/>
        <v>5.2765367431828469E-3</v>
      </c>
      <c r="L38" s="77">
        <v>82.41</v>
      </c>
      <c r="M38" s="11">
        <f t="shared" si="3"/>
        <v>1.0917566241413157E-2</v>
      </c>
      <c r="O38" s="77">
        <v>23.32</v>
      </c>
      <c r="P38" s="11">
        <f t="shared" si="4"/>
        <v>4.8561151079136833E-2</v>
      </c>
      <c r="R38" s="77">
        <v>90.09</v>
      </c>
      <c r="S38" s="11">
        <f t="shared" si="5"/>
        <v>-6.9990709197894074E-2</v>
      </c>
      <c r="U38" s="77">
        <v>3.2875000000000001</v>
      </c>
      <c r="V38" s="11">
        <f t="shared" si="6"/>
        <v>-3.5159803950341906E-2</v>
      </c>
      <c r="X38" s="72"/>
    </row>
    <row r="39" spans="2:24" x14ac:dyDescent="0.3">
      <c r="B39" s="72">
        <v>43688</v>
      </c>
      <c r="C39" s="16">
        <v>12580.4</v>
      </c>
      <c r="D39" s="11">
        <f t="shared" si="0"/>
        <v>-1.3178124313639406E-2</v>
      </c>
      <c r="F39" s="77">
        <v>49.61</v>
      </c>
      <c r="G39" s="11">
        <f t="shared" si="1"/>
        <v>-2.7826768567509319E-2</v>
      </c>
      <c r="I39" s="77">
        <v>261.16000000000003</v>
      </c>
      <c r="J39" s="11">
        <f t="shared" si="2"/>
        <v>5.7469062488046951E-4</v>
      </c>
      <c r="L39" s="77">
        <v>84.21</v>
      </c>
      <c r="M39" s="11">
        <f t="shared" si="3"/>
        <v>2.1842009464870804E-2</v>
      </c>
      <c r="O39" s="77">
        <v>22.66</v>
      </c>
      <c r="P39" s="11">
        <f t="shared" si="4"/>
        <v>-2.8301886792452824E-2</v>
      </c>
      <c r="R39" s="77">
        <v>93.71</v>
      </c>
      <c r="S39" s="11">
        <f t="shared" si="5"/>
        <v>4.018204018204008E-2</v>
      </c>
      <c r="U39" s="77">
        <v>3.2439</v>
      </c>
      <c r="V39" s="11">
        <f t="shared" si="6"/>
        <v>-1.32623574144487E-2</v>
      </c>
      <c r="X39" s="72"/>
    </row>
    <row r="40" spans="2:24" x14ac:dyDescent="0.3">
      <c r="B40" s="72">
        <v>43695</v>
      </c>
      <c r="C40" s="16">
        <v>12416.5</v>
      </c>
      <c r="D40" s="11">
        <f t="shared" si="0"/>
        <v>-1.3028202600871119E-2</v>
      </c>
      <c r="F40" s="77">
        <v>48.81</v>
      </c>
      <c r="G40" s="11">
        <f t="shared" si="1"/>
        <v>-1.6125781092521607E-2</v>
      </c>
      <c r="I40" s="77">
        <v>261.08</v>
      </c>
      <c r="J40" s="11">
        <f t="shared" si="2"/>
        <v>-3.0632562413857034E-4</v>
      </c>
      <c r="L40" s="77">
        <v>103.49</v>
      </c>
      <c r="M40" s="11">
        <f t="shared" si="3"/>
        <v>0.22895143094644355</v>
      </c>
      <c r="O40" s="77">
        <v>23.29</v>
      </c>
      <c r="P40" s="11">
        <f t="shared" si="4"/>
        <v>2.7802294792586002E-2</v>
      </c>
      <c r="R40" s="77">
        <v>95.16</v>
      </c>
      <c r="S40" s="11">
        <f t="shared" si="5"/>
        <v>1.5473268594600409E-2</v>
      </c>
      <c r="U40" s="77">
        <v>3.2932999999999999</v>
      </c>
      <c r="V40" s="11">
        <f t="shared" si="6"/>
        <v>1.5228582878633601E-2</v>
      </c>
      <c r="X40" s="72"/>
    </row>
    <row r="41" spans="2:24" x14ac:dyDescent="0.3">
      <c r="B41" s="72">
        <v>43702</v>
      </c>
      <c r="C41" s="16">
        <v>12736.9</v>
      </c>
      <c r="D41" s="11">
        <f t="shared" si="0"/>
        <v>2.5804373213063281E-2</v>
      </c>
      <c r="F41" s="77">
        <v>49.97</v>
      </c>
      <c r="G41" s="11">
        <f t="shared" si="1"/>
        <v>2.3765621798811587E-2</v>
      </c>
      <c r="I41" s="77">
        <v>280.85000000000002</v>
      </c>
      <c r="J41" s="11">
        <f t="shared" si="2"/>
        <v>7.5723916041060324E-2</v>
      </c>
      <c r="L41" s="77">
        <v>107.04</v>
      </c>
      <c r="M41" s="11">
        <f t="shared" si="3"/>
        <v>3.4302831191419525E-2</v>
      </c>
      <c r="O41" s="77">
        <v>23.68</v>
      </c>
      <c r="P41" s="11">
        <f t="shared" si="4"/>
        <v>1.6745384285100862E-2</v>
      </c>
      <c r="R41" s="77">
        <v>101.53</v>
      </c>
      <c r="S41" s="11">
        <f t="shared" si="5"/>
        <v>6.6939890710382643E-2</v>
      </c>
      <c r="U41" s="77">
        <v>3.4327000000000001</v>
      </c>
      <c r="V41" s="11">
        <f t="shared" si="6"/>
        <v>4.2328363647405443E-2</v>
      </c>
      <c r="X41" s="72"/>
    </row>
    <row r="42" spans="2:24" x14ac:dyDescent="0.3">
      <c r="B42" s="72">
        <v>43709</v>
      </c>
      <c r="C42" s="16">
        <v>12933.4</v>
      </c>
      <c r="D42" s="11">
        <f t="shared" si="0"/>
        <v>1.542761582488672E-2</v>
      </c>
      <c r="F42" s="77">
        <v>51.02</v>
      </c>
      <c r="G42" s="11">
        <f t="shared" si="1"/>
        <v>2.101260756453871E-2</v>
      </c>
      <c r="I42" s="77">
        <v>289.42</v>
      </c>
      <c r="J42" s="11">
        <f t="shared" si="2"/>
        <v>3.0514509524657285E-2</v>
      </c>
      <c r="L42" s="77">
        <v>109.85</v>
      </c>
      <c r="M42" s="11">
        <f t="shared" si="3"/>
        <v>2.6251868460388517E-2</v>
      </c>
      <c r="O42" s="77">
        <v>24.7</v>
      </c>
      <c r="P42" s="11">
        <f t="shared" si="4"/>
        <v>4.3074324324324342E-2</v>
      </c>
      <c r="R42" s="77">
        <v>109.62</v>
      </c>
      <c r="S42" s="11">
        <f t="shared" si="5"/>
        <v>7.9680882497783934E-2</v>
      </c>
      <c r="U42" s="77">
        <v>3.5973000000000002</v>
      </c>
      <c r="V42" s="11">
        <f t="shared" si="6"/>
        <v>4.7950592827803229E-2</v>
      </c>
      <c r="X42" s="72"/>
    </row>
    <row r="43" spans="2:24" x14ac:dyDescent="0.3">
      <c r="B43" s="72">
        <v>43716</v>
      </c>
      <c r="C43" s="16">
        <v>13124.3</v>
      </c>
      <c r="D43" s="11">
        <f t="shared" si="0"/>
        <v>1.4760233194674122E-2</v>
      </c>
      <c r="F43" s="77">
        <v>50.59</v>
      </c>
      <c r="G43" s="11">
        <f t="shared" si="1"/>
        <v>-8.4280674245393872E-3</v>
      </c>
      <c r="I43" s="77">
        <v>278.12</v>
      </c>
      <c r="J43" s="11">
        <f t="shared" si="2"/>
        <v>-3.9043604450279878E-2</v>
      </c>
      <c r="L43" s="77">
        <v>107.99</v>
      </c>
      <c r="M43" s="11">
        <f t="shared" si="3"/>
        <v>-1.6932180245789685E-2</v>
      </c>
      <c r="O43" s="77">
        <v>26.23</v>
      </c>
      <c r="P43" s="11">
        <f t="shared" si="4"/>
        <v>6.1943319838056787E-2</v>
      </c>
      <c r="R43" s="77">
        <v>112.86</v>
      </c>
      <c r="S43" s="11">
        <f t="shared" si="5"/>
        <v>2.9556650246305383E-2</v>
      </c>
      <c r="U43" s="77">
        <v>3.7785000000000002</v>
      </c>
      <c r="V43" s="11">
        <f t="shared" si="6"/>
        <v>5.0371111667083746E-2</v>
      </c>
      <c r="X43" s="72"/>
    </row>
    <row r="44" spans="2:24" x14ac:dyDescent="0.3">
      <c r="B44" s="72">
        <v>43723</v>
      </c>
      <c r="C44" s="16">
        <v>13093.8</v>
      </c>
      <c r="D44" s="11">
        <f t="shared" si="0"/>
        <v>-2.323933466927719E-3</v>
      </c>
      <c r="F44" s="77">
        <v>50.32</v>
      </c>
      <c r="G44" s="11">
        <f t="shared" si="1"/>
        <v>-5.337023127100271E-3</v>
      </c>
      <c r="I44" s="77">
        <v>272.85000000000002</v>
      </c>
      <c r="J44" s="11">
        <f t="shared" si="2"/>
        <v>-1.8948655256723623E-2</v>
      </c>
      <c r="L44" s="77">
        <v>106.67</v>
      </c>
      <c r="M44" s="11">
        <f t="shared" si="3"/>
        <v>-1.2223354014260557E-2</v>
      </c>
      <c r="O44" s="77">
        <v>25.68</v>
      </c>
      <c r="P44" s="11">
        <f t="shared" si="4"/>
        <v>-2.0968356843309222E-2</v>
      </c>
      <c r="R44" s="77">
        <v>111.07</v>
      </c>
      <c r="S44" s="11">
        <f t="shared" si="5"/>
        <v>-1.586035796562113E-2</v>
      </c>
      <c r="U44" s="77">
        <v>0</v>
      </c>
      <c r="V44" s="11">
        <f t="shared" si="6"/>
        <v>-1</v>
      </c>
      <c r="X44" s="72"/>
    </row>
    <row r="45" spans="2:24" x14ac:dyDescent="0.3">
      <c r="B45" s="72">
        <v>43730</v>
      </c>
      <c r="C45" s="16">
        <v>12972</v>
      </c>
      <c r="D45" s="11">
        <f t="shared" si="0"/>
        <v>-9.3021124501672103E-3</v>
      </c>
      <c r="F45" s="77">
        <v>50.58</v>
      </c>
      <c r="G45" s="11">
        <f t="shared" si="1"/>
        <v>5.1669316375198004E-3</v>
      </c>
      <c r="I45" s="77">
        <v>272.45999999999998</v>
      </c>
      <c r="J45" s="11">
        <f t="shared" si="2"/>
        <v>-1.4293567894448911E-3</v>
      </c>
      <c r="L45" s="77">
        <v>106.12</v>
      </c>
      <c r="M45" s="11">
        <f t="shared" si="3"/>
        <v>-5.1560888722227416E-3</v>
      </c>
      <c r="O45" s="77">
        <v>25.74</v>
      </c>
      <c r="P45" s="11">
        <f t="shared" si="4"/>
        <v>2.3364485981307581E-3</v>
      </c>
      <c r="R45" s="77">
        <v>114.3</v>
      </c>
      <c r="S45" s="11">
        <f t="shared" si="5"/>
        <v>2.9080759881155993E-2</v>
      </c>
      <c r="U45" s="77">
        <v>3.762</v>
      </c>
      <c r="V45" s="11">
        <f>U45/U43-1</f>
        <v>-4.366812227074246E-3</v>
      </c>
      <c r="X45" s="72"/>
    </row>
    <row r="46" spans="2:24" x14ac:dyDescent="0.3">
      <c r="B46" s="72">
        <v>43737</v>
      </c>
      <c r="C46" s="16">
        <v>12831.5</v>
      </c>
      <c r="D46" s="11">
        <f t="shared" si="0"/>
        <v>-1.083102065988284E-2</v>
      </c>
      <c r="F46" s="77">
        <v>49.49</v>
      </c>
      <c r="G46" s="11">
        <f t="shared" si="1"/>
        <v>-2.1550019770660289E-2</v>
      </c>
      <c r="I46" s="77">
        <v>277.91000000000003</v>
      </c>
      <c r="J46" s="11">
        <f t="shared" si="2"/>
        <v>2.0002936210820055E-2</v>
      </c>
      <c r="L46" s="77">
        <v>109.1</v>
      </c>
      <c r="M46" s="11">
        <f t="shared" si="3"/>
        <v>2.8081417263475128E-2</v>
      </c>
      <c r="O46" s="77">
        <v>24.79</v>
      </c>
      <c r="P46" s="11">
        <f t="shared" si="4"/>
        <v>-3.6907536907536898E-2</v>
      </c>
      <c r="R46" s="77">
        <v>115.72</v>
      </c>
      <c r="S46" s="11">
        <f t="shared" si="5"/>
        <v>1.2423447069116467E-2</v>
      </c>
      <c r="U46" s="77">
        <v>3.6964000000000001</v>
      </c>
      <c r="V46" s="11">
        <f t="shared" si="6"/>
        <v>-1.7437533227006918E-2</v>
      </c>
      <c r="X46" s="72"/>
    </row>
    <row r="47" spans="2:24" x14ac:dyDescent="0.3">
      <c r="B47" s="72">
        <v>43744</v>
      </c>
      <c r="C47" s="16">
        <v>12926.9</v>
      </c>
      <c r="D47" s="11">
        <f t="shared" si="0"/>
        <v>7.4348283521021852E-3</v>
      </c>
      <c r="F47" s="77">
        <v>50.27</v>
      </c>
      <c r="G47" s="11">
        <f t="shared" si="1"/>
        <v>1.5760759749444464E-2</v>
      </c>
      <c r="I47" s="77">
        <v>283.56</v>
      </c>
      <c r="J47" s="11">
        <f t="shared" si="2"/>
        <v>2.0330322766363151E-2</v>
      </c>
      <c r="L47" s="77">
        <v>111.83</v>
      </c>
      <c r="M47" s="11">
        <f t="shared" si="3"/>
        <v>2.502291475710372E-2</v>
      </c>
      <c r="O47" s="77">
        <v>24.25</v>
      </c>
      <c r="P47" s="11">
        <f t="shared" si="4"/>
        <v>-2.1782977006857607E-2</v>
      </c>
      <c r="R47" s="77">
        <v>115.19</v>
      </c>
      <c r="S47" s="11">
        <f t="shared" si="5"/>
        <v>-4.5800207397165282E-3</v>
      </c>
      <c r="U47" s="77">
        <v>3.895</v>
      </c>
      <c r="V47" s="11">
        <f t="shared" si="6"/>
        <v>5.372795152039811E-2</v>
      </c>
      <c r="X47" s="72"/>
    </row>
    <row r="48" spans="2:24" x14ac:dyDescent="0.3">
      <c r="B48" s="72">
        <v>43751</v>
      </c>
      <c r="C48" s="16">
        <v>13006.6</v>
      </c>
      <c r="D48" s="11">
        <f t="shared" si="0"/>
        <v>6.1654379626980838E-3</v>
      </c>
      <c r="F48" s="77">
        <v>49.15</v>
      </c>
      <c r="G48" s="11">
        <f t="shared" si="1"/>
        <v>-2.2279689675751002E-2</v>
      </c>
      <c r="I48" s="77">
        <v>288.57</v>
      </c>
      <c r="J48" s="11">
        <f t="shared" si="2"/>
        <v>1.7668218366483357E-2</v>
      </c>
      <c r="L48" s="77">
        <v>112.81</v>
      </c>
      <c r="M48" s="11">
        <f t="shared" si="3"/>
        <v>8.7633014396852893E-3</v>
      </c>
      <c r="O48" s="77">
        <v>23.94</v>
      </c>
      <c r="P48" s="11">
        <f t="shared" si="4"/>
        <v>-1.2783505154639108E-2</v>
      </c>
      <c r="R48" s="77">
        <v>116.98</v>
      </c>
      <c r="S48" s="11">
        <f t="shared" si="5"/>
        <v>1.5539543363139119E-2</v>
      </c>
      <c r="U48" s="77">
        <v>3.99</v>
      </c>
      <c r="V48" s="11">
        <f t="shared" si="6"/>
        <v>2.4390243902439046E-2</v>
      </c>
      <c r="X48" s="72"/>
    </row>
    <row r="49" spans="2:24" x14ac:dyDescent="0.3">
      <c r="B49" s="72">
        <v>43758</v>
      </c>
      <c r="C49" s="16">
        <v>13146.2</v>
      </c>
      <c r="D49" s="11">
        <f t="shared" si="0"/>
        <v>1.0733012470591774E-2</v>
      </c>
      <c r="F49" s="77">
        <v>47.27</v>
      </c>
      <c r="G49" s="11">
        <f t="shared" si="1"/>
        <v>-3.8250254323499377E-2</v>
      </c>
      <c r="I49" s="77">
        <v>282.51</v>
      </c>
      <c r="J49" s="11">
        <f t="shared" si="2"/>
        <v>-2.1000103960910677E-2</v>
      </c>
      <c r="L49" s="77">
        <v>109.02</v>
      </c>
      <c r="M49" s="11">
        <f t="shared" si="3"/>
        <v>-3.3596312383654015E-2</v>
      </c>
      <c r="O49" s="77">
        <v>25.28</v>
      </c>
      <c r="P49" s="11">
        <f t="shared" si="4"/>
        <v>5.597326649958223E-2</v>
      </c>
      <c r="R49" s="77">
        <v>114.55</v>
      </c>
      <c r="S49" s="11">
        <f t="shared" si="5"/>
        <v>-2.0772781672080742E-2</v>
      </c>
      <c r="U49" s="77">
        <v>3.8887</v>
      </c>
      <c r="V49" s="11">
        <f t="shared" si="6"/>
        <v>-2.5388471177944849E-2</v>
      </c>
      <c r="X49" s="72"/>
    </row>
    <row r="50" spans="2:24" x14ac:dyDescent="0.3">
      <c r="B50" s="72">
        <v>43765</v>
      </c>
      <c r="C50" s="16">
        <v>13300.3</v>
      </c>
      <c r="D50" s="11">
        <f t="shared" si="0"/>
        <v>1.1722018530069489E-2</v>
      </c>
      <c r="F50" s="77">
        <v>46.47</v>
      </c>
      <c r="G50" s="11">
        <f t="shared" si="1"/>
        <v>-1.6924053310768072E-2</v>
      </c>
      <c r="I50" s="77">
        <v>282.12</v>
      </c>
      <c r="J50" s="11">
        <f t="shared" si="2"/>
        <v>-1.3804821068280626E-3</v>
      </c>
      <c r="L50" s="77">
        <v>107.82</v>
      </c>
      <c r="M50" s="11">
        <f t="shared" si="3"/>
        <v>-1.1007154650522821E-2</v>
      </c>
      <c r="O50" s="77">
        <v>24.99</v>
      </c>
      <c r="P50" s="11">
        <f t="shared" si="4"/>
        <v>-1.1471518987341889E-2</v>
      </c>
      <c r="R50" s="77">
        <v>111.74</v>
      </c>
      <c r="S50" s="11">
        <f t="shared" si="5"/>
        <v>-2.4530772588389316E-2</v>
      </c>
      <c r="U50" s="77">
        <v>3.9234</v>
      </c>
      <c r="V50" s="11">
        <f t="shared" si="6"/>
        <v>8.9232905598271017E-3</v>
      </c>
      <c r="X50" s="72"/>
    </row>
    <row r="51" spans="2:24" x14ac:dyDescent="0.3">
      <c r="B51" s="72">
        <v>43772</v>
      </c>
      <c r="C51" s="16">
        <v>13407.8</v>
      </c>
      <c r="D51" s="11">
        <f t="shared" si="0"/>
        <v>8.08252445433566E-3</v>
      </c>
      <c r="F51" s="77">
        <v>45.66</v>
      </c>
      <c r="G51" s="11">
        <f t="shared" si="1"/>
        <v>-1.7430600387346673E-2</v>
      </c>
      <c r="I51" s="77">
        <v>288.33999999999997</v>
      </c>
      <c r="J51" s="11">
        <f t="shared" si="2"/>
        <v>2.2047355735148155E-2</v>
      </c>
      <c r="L51" s="77">
        <v>110.15</v>
      </c>
      <c r="M51" s="11">
        <f t="shared" si="3"/>
        <v>2.1610090892227873E-2</v>
      </c>
      <c r="O51" s="77">
        <v>27.02</v>
      </c>
      <c r="P51" s="11">
        <f t="shared" si="4"/>
        <v>8.1232492997199035E-2</v>
      </c>
      <c r="R51" s="77">
        <v>110.35</v>
      </c>
      <c r="S51" s="11">
        <f t="shared" si="5"/>
        <v>-1.2439591909790604E-2</v>
      </c>
      <c r="U51" s="77">
        <v>3.8</v>
      </c>
      <c r="V51" s="11">
        <f t="shared" si="6"/>
        <v>-3.1452311770403307E-2</v>
      </c>
      <c r="X51" s="72"/>
    </row>
    <row r="52" spans="2:24" x14ac:dyDescent="0.3">
      <c r="B52" s="72">
        <v>43779</v>
      </c>
      <c r="C52" s="16">
        <v>13493</v>
      </c>
      <c r="D52" s="11">
        <f t="shared" si="0"/>
        <v>6.3545100613076055E-3</v>
      </c>
      <c r="F52" s="77">
        <v>46.89</v>
      </c>
      <c r="G52" s="11">
        <f t="shared" si="1"/>
        <v>2.6938239159001398E-2</v>
      </c>
      <c r="I52" s="77">
        <v>289.33</v>
      </c>
      <c r="J52" s="11">
        <f t="shared" si="2"/>
        <v>3.4334466255114826E-3</v>
      </c>
      <c r="L52" s="77">
        <v>113.21</v>
      </c>
      <c r="M52" s="11">
        <f t="shared" si="3"/>
        <v>2.7780299591465996E-2</v>
      </c>
      <c r="O52" s="77">
        <v>26.75</v>
      </c>
      <c r="P52" s="11">
        <f t="shared" si="4"/>
        <v>-9.9925980754995702E-3</v>
      </c>
      <c r="R52" s="77">
        <v>108.85</v>
      </c>
      <c r="S52" s="11">
        <f t="shared" si="5"/>
        <v>-1.3593112822836484E-2</v>
      </c>
      <c r="U52" s="77">
        <v>3.7791999999999999</v>
      </c>
      <c r="V52" s="11">
        <f t="shared" si="6"/>
        <v>-5.4736842105262973E-3</v>
      </c>
      <c r="X52" s="72"/>
    </row>
    <row r="53" spans="2:24" x14ac:dyDescent="0.3">
      <c r="B53" s="72">
        <v>43786</v>
      </c>
      <c r="C53" s="16">
        <v>13441</v>
      </c>
      <c r="D53" s="11">
        <f t="shared" si="0"/>
        <v>-3.8538501445193329E-3</v>
      </c>
      <c r="F53" s="77">
        <v>47.49</v>
      </c>
      <c r="G53" s="11">
        <f t="shared" si="1"/>
        <v>1.2795905310300837E-2</v>
      </c>
      <c r="I53" s="77">
        <v>285.18</v>
      </c>
      <c r="J53" s="11">
        <f t="shared" si="2"/>
        <v>-1.4343483219852682E-2</v>
      </c>
      <c r="L53" s="77">
        <v>127.02</v>
      </c>
      <c r="M53" s="11">
        <f t="shared" si="3"/>
        <v>0.12198569031004336</v>
      </c>
      <c r="O53" s="77">
        <v>27.05</v>
      </c>
      <c r="P53" s="11">
        <f t="shared" si="4"/>
        <v>1.1214953271028172E-2</v>
      </c>
      <c r="R53" s="77">
        <v>109.04</v>
      </c>
      <c r="S53" s="11">
        <f t="shared" si="5"/>
        <v>1.745521359669322E-3</v>
      </c>
      <c r="U53" s="77">
        <v>3.8380000000000001</v>
      </c>
      <c r="V53" s="11">
        <f t="shared" si="6"/>
        <v>1.5558848433530947E-2</v>
      </c>
      <c r="X53" s="72"/>
    </row>
    <row r="54" spans="2:24" x14ac:dyDescent="0.3">
      <c r="B54" s="72">
        <v>43793</v>
      </c>
      <c r="C54" s="16">
        <v>13545.2</v>
      </c>
      <c r="D54" s="11">
        <f t="shared" si="0"/>
        <v>7.7523993750465703E-3</v>
      </c>
      <c r="F54" s="77">
        <v>48.81</v>
      </c>
      <c r="G54" s="11">
        <f t="shared" si="1"/>
        <v>2.7795325331648746E-2</v>
      </c>
      <c r="I54" s="77">
        <v>285.66000000000003</v>
      </c>
      <c r="J54" s="11">
        <f t="shared" si="2"/>
        <v>1.683147485798564E-3</v>
      </c>
      <c r="L54" s="77">
        <v>125.01</v>
      </c>
      <c r="M54" s="11">
        <f t="shared" si="3"/>
        <v>-1.5824279641001304E-2</v>
      </c>
      <c r="O54" s="77">
        <v>27.34</v>
      </c>
      <c r="P54" s="11">
        <f t="shared" si="4"/>
        <v>1.0720887245841082E-2</v>
      </c>
      <c r="R54" s="77">
        <v>91.46</v>
      </c>
      <c r="S54" s="11">
        <f t="shared" si="5"/>
        <v>-0.16122523844460757</v>
      </c>
      <c r="U54" s="77">
        <v>3.7492999999999999</v>
      </c>
      <c r="V54" s="11">
        <f t="shared" si="6"/>
        <v>-2.3110995310057336E-2</v>
      </c>
      <c r="X54" s="72"/>
    </row>
    <row r="55" spans="2:24" x14ac:dyDescent="0.3">
      <c r="B55" s="72">
        <v>43800</v>
      </c>
      <c r="C55" s="16">
        <v>13588.3</v>
      </c>
      <c r="D55" s="11">
        <f t="shared" si="0"/>
        <v>3.1819389894574002E-3</v>
      </c>
      <c r="F55" s="77">
        <v>47.91</v>
      </c>
      <c r="G55" s="11">
        <f t="shared" si="1"/>
        <v>-1.8438844499078177E-2</v>
      </c>
      <c r="I55" s="77">
        <v>281.02999999999997</v>
      </c>
      <c r="J55" s="11">
        <f t="shared" si="2"/>
        <v>-1.620807953511183E-2</v>
      </c>
      <c r="L55" s="77">
        <v>125.03</v>
      </c>
      <c r="M55" s="11">
        <f t="shared" si="3"/>
        <v>1.5998720102383679E-4</v>
      </c>
      <c r="O55" s="77">
        <v>27.49</v>
      </c>
      <c r="P55" s="11">
        <f t="shared" si="4"/>
        <v>5.4864667154352897E-3</v>
      </c>
      <c r="R55" s="77">
        <v>92.24</v>
      </c>
      <c r="S55" s="11">
        <f t="shared" si="5"/>
        <v>8.5283183905533466E-3</v>
      </c>
      <c r="U55" s="77">
        <v>3.8252999999999999</v>
      </c>
      <c r="V55" s="11">
        <f t="shared" si="6"/>
        <v>2.0270450484090485E-2</v>
      </c>
      <c r="X55" s="72"/>
    </row>
    <row r="56" spans="2:24" x14ac:dyDescent="0.3">
      <c r="B56" s="72">
        <v>43807</v>
      </c>
      <c r="C56" s="16">
        <v>13697.3</v>
      </c>
      <c r="D56" s="11">
        <f t="shared" si="0"/>
        <v>8.0216068235172688E-3</v>
      </c>
      <c r="F56" s="77">
        <v>47.24</v>
      </c>
      <c r="G56" s="11">
        <f t="shared" si="1"/>
        <v>-1.3984554372782232E-2</v>
      </c>
      <c r="I56" s="77">
        <v>278.10000000000002</v>
      </c>
      <c r="J56" s="11">
        <f t="shared" si="2"/>
        <v>-1.0425933174393998E-2</v>
      </c>
      <c r="L56" s="77">
        <v>127.22</v>
      </c>
      <c r="M56" s="11">
        <f t="shared" si="3"/>
        <v>1.7515796208909862E-2</v>
      </c>
      <c r="O56" s="77">
        <v>28.09</v>
      </c>
      <c r="P56" s="11">
        <f t="shared" si="4"/>
        <v>2.1826118588577748E-2</v>
      </c>
      <c r="R56" s="77">
        <v>93.59</v>
      </c>
      <c r="S56" s="11">
        <f t="shared" si="5"/>
        <v>1.4635732870772022E-2</v>
      </c>
      <c r="U56" s="77">
        <v>4.1989999999999998</v>
      </c>
      <c r="V56" s="11">
        <f t="shared" si="6"/>
        <v>9.7691684312341431E-2</v>
      </c>
      <c r="X56" s="72"/>
    </row>
    <row r="57" spans="2:24" x14ac:dyDescent="0.3">
      <c r="B57" s="72">
        <v>43814</v>
      </c>
      <c r="C57" s="16">
        <v>13889.2</v>
      </c>
      <c r="D57" s="11">
        <f t="shared" si="0"/>
        <v>1.4010060376862699E-2</v>
      </c>
      <c r="F57" s="77">
        <v>47.77</v>
      </c>
      <c r="G57" s="11">
        <f t="shared" si="1"/>
        <v>1.1219305673158431E-2</v>
      </c>
      <c r="I57" s="77">
        <v>280.92</v>
      </c>
      <c r="J57" s="11">
        <f t="shared" si="2"/>
        <v>1.0140237324703261E-2</v>
      </c>
      <c r="L57" s="77">
        <v>129.15</v>
      </c>
      <c r="M57" s="11">
        <f t="shared" si="3"/>
        <v>1.5170570664989835E-2</v>
      </c>
      <c r="O57" s="77">
        <v>29</v>
      </c>
      <c r="P57" s="11">
        <f t="shared" si="4"/>
        <v>3.2395870416518369E-2</v>
      </c>
      <c r="R57" s="77">
        <v>94.06</v>
      </c>
      <c r="S57" s="11">
        <f t="shared" si="5"/>
        <v>5.0219040495780298E-3</v>
      </c>
      <c r="U57" s="77">
        <v>4.1338999999999997</v>
      </c>
      <c r="V57" s="11">
        <f t="shared" si="6"/>
        <v>-1.5503691355084559E-2</v>
      </c>
      <c r="X57" s="72"/>
    </row>
    <row r="58" spans="2:24" x14ac:dyDescent="0.3">
      <c r="B58" s="72">
        <v>43821</v>
      </c>
      <c r="C58" s="16">
        <v>13944.1</v>
      </c>
      <c r="D58" s="11">
        <f t="shared" si="0"/>
        <v>3.9527114592632362E-3</v>
      </c>
      <c r="F58" s="77">
        <v>46.85</v>
      </c>
      <c r="G58" s="11">
        <f t="shared" si="1"/>
        <v>-1.9258949131253922E-2</v>
      </c>
      <c r="I58" s="77">
        <v>280.23</v>
      </c>
      <c r="J58" s="11">
        <f t="shared" si="2"/>
        <v>-2.4562152926099756E-3</v>
      </c>
      <c r="L58" s="77">
        <v>129.21</v>
      </c>
      <c r="M58" s="11">
        <f t="shared" si="3"/>
        <v>4.6457607433225689E-4</v>
      </c>
      <c r="O58" s="77">
        <v>28.76</v>
      </c>
      <c r="P58" s="11">
        <f t="shared" si="4"/>
        <v>-8.2758620689654672E-3</v>
      </c>
      <c r="R58" s="77">
        <v>92.84</v>
      </c>
      <c r="S58" s="11">
        <f t="shared" si="5"/>
        <v>-1.2970444397193304E-2</v>
      </c>
      <c r="U58" s="77">
        <v>4.218</v>
      </c>
      <c r="V58" s="11">
        <f t="shared" si="6"/>
        <v>2.0343985098817186E-2</v>
      </c>
      <c r="X58" s="72"/>
    </row>
    <row r="59" spans="2:24" x14ac:dyDescent="0.3">
      <c r="B59" s="72">
        <v>43828</v>
      </c>
      <c r="C59" s="16">
        <v>13917</v>
      </c>
      <c r="D59" s="11">
        <f t="shared" si="0"/>
        <v>-1.9434743009588695E-3</v>
      </c>
      <c r="F59" s="77">
        <v>48.43</v>
      </c>
      <c r="G59" s="11">
        <f t="shared" si="1"/>
        <v>3.3724653148345718E-2</v>
      </c>
      <c r="I59" s="77">
        <v>277.95999999999998</v>
      </c>
      <c r="J59" s="11">
        <f t="shared" si="2"/>
        <v>-8.1004888841310629E-3</v>
      </c>
      <c r="L59" s="77">
        <v>124.76</v>
      </c>
      <c r="M59" s="11">
        <f t="shared" si="3"/>
        <v>-3.4440058818976826E-2</v>
      </c>
      <c r="O59" s="77">
        <v>28.7</v>
      </c>
      <c r="P59" s="11">
        <f t="shared" si="4"/>
        <v>-2.0862308762170656E-3</v>
      </c>
      <c r="R59" s="77">
        <v>93.03</v>
      </c>
      <c r="S59" s="11">
        <f t="shared" si="5"/>
        <v>2.0465316673847767E-3</v>
      </c>
      <c r="U59" s="77">
        <v>4.1927000000000003</v>
      </c>
      <c r="V59" s="11">
        <f t="shared" si="6"/>
        <v>-5.9981033665242878E-3</v>
      </c>
      <c r="X59" s="72"/>
    </row>
    <row r="60" spans="2:24" x14ac:dyDescent="0.3">
      <c r="B60" s="72">
        <v>43835</v>
      </c>
      <c r="C60" s="16">
        <v>13958</v>
      </c>
      <c r="D60" s="11">
        <f t="shared" si="0"/>
        <v>2.9460372206653318E-3</v>
      </c>
      <c r="F60" s="77">
        <v>48.93</v>
      </c>
      <c r="G60" s="11">
        <f t="shared" si="1"/>
        <v>1.0324179227751307E-2</v>
      </c>
      <c r="I60" s="77">
        <v>283.20999999999998</v>
      </c>
      <c r="J60" s="11">
        <f t="shared" si="2"/>
        <v>1.8887609728018395E-2</v>
      </c>
      <c r="L60" s="77">
        <v>124.73</v>
      </c>
      <c r="M60" s="11">
        <f t="shared" si="3"/>
        <v>-2.4046168643798715E-4</v>
      </c>
      <c r="O60" s="77">
        <v>28.36</v>
      </c>
      <c r="P60" s="11">
        <f t="shared" si="4"/>
        <v>-1.184668989547033E-2</v>
      </c>
      <c r="R60" s="77">
        <v>91.35</v>
      </c>
      <c r="S60" s="11">
        <f t="shared" si="5"/>
        <v>-1.8058690744921058E-2</v>
      </c>
      <c r="U60" s="77">
        <v>4.0913000000000004</v>
      </c>
      <c r="V60" s="11">
        <f t="shared" si="6"/>
        <v>-2.4184892789849033E-2</v>
      </c>
      <c r="X60" s="72"/>
    </row>
    <row r="61" spans="2:24" x14ac:dyDescent="0.3">
      <c r="B61" s="72">
        <v>43842</v>
      </c>
      <c r="C61" s="16">
        <v>14183.2</v>
      </c>
      <c r="D61" s="11">
        <f t="shared" si="0"/>
        <v>1.6134116635621254E-2</v>
      </c>
      <c r="F61" s="77">
        <v>47.26</v>
      </c>
      <c r="G61" s="11">
        <f t="shared" si="1"/>
        <v>-3.4130390353566353E-2</v>
      </c>
      <c r="I61" s="77">
        <v>290.3</v>
      </c>
      <c r="J61" s="11">
        <f t="shared" si="2"/>
        <v>2.5034426750468075E-2</v>
      </c>
      <c r="L61" s="77">
        <v>116.92</v>
      </c>
      <c r="M61" s="11">
        <f t="shared" si="3"/>
        <v>-6.2615248937705426E-2</v>
      </c>
      <c r="O61" s="77">
        <v>28.15</v>
      </c>
      <c r="P61" s="11">
        <f t="shared" si="4"/>
        <v>-7.4047954866008903E-3</v>
      </c>
      <c r="R61" s="77">
        <v>91.55</v>
      </c>
      <c r="S61" s="11">
        <f t="shared" si="5"/>
        <v>2.1893814997262506E-3</v>
      </c>
      <c r="U61" s="77">
        <v>4.1014999999999997</v>
      </c>
      <c r="V61" s="11">
        <f t="shared" si="6"/>
        <v>2.4930951042454463E-3</v>
      </c>
      <c r="X61" s="72"/>
    </row>
    <row r="62" spans="2:24" x14ac:dyDescent="0.3">
      <c r="B62" s="72">
        <v>43849</v>
      </c>
      <c r="C62" s="16">
        <v>13978.5</v>
      </c>
      <c r="D62" s="11">
        <f t="shared" si="0"/>
        <v>-1.4432568108748378E-2</v>
      </c>
      <c r="F62" s="77">
        <v>47.92</v>
      </c>
      <c r="G62" s="11">
        <f t="shared" si="1"/>
        <v>1.3965298349555733E-2</v>
      </c>
      <c r="I62" s="77">
        <v>295.86</v>
      </c>
      <c r="J62" s="11">
        <f t="shared" si="2"/>
        <v>1.9152600757836646E-2</v>
      </c>
      <c r="L62" s="77">
        <v>114.32</v>
      </c>
      <c r="M62" s="11">
        <f t="shared" si="3"/>
        <v>-2.2237427300718537E-2</v>
      </c>
      <c r="O62" s="77">
        <v>28.19</v>
      </c>
      <c r="P62" s="11">
        <f t="shared" si="4"/>
        <v>1.420959147424572E-3</v>
      </c>
      <c r="R62" s="77">
        <v>87.71</v>
      </c>
      <c r="S62" s="11">
        <f t="shared" si="5"/>
        <v>-4.1944292736209809E-2</v>
      </c>
      <c r="U62" s="77">
        <v>4.1547000000000001</v>
      </c>
      <c r="V62" s="11">
        <f t="shared" si="6"/>
        <v>1.2970864317932485E-2</v>
      </c>
      <c r="X62" s="72"/>
    </row>
    <row r="63" spans="2:24" x14ac:dyDescent="0.3">
      <c r="B63" s="72">
        <v>43856</v>
      </c>
      <c r="C63" s="16">
        <v>13614.1</v>
      </c>
      <c r="D63" s="11">
        <f t="shared" si="0"/>
        <v>-2.6068605358228636E-2</v>
      </c>
      <c r="F63" s="77">
        <v>47.58</v>
      </c>
      <c r="G63" s="11">
        <f t="shared" si="1"/>
        <v>-7.0951585976628539E-3</v>
      </c>
      <c r="I63" s="77">
        <v>291.10000000000002</v>
      </c>
      <c r="J63" s="11">
        <f t="shared" si="2"/>
        <v>-1.6088690596903876E-2</v>
      </c>
      <c r="L63" s="77">
        <v>110.74</v>
      </c>
      <c r="M63" s="11">
        <f t="shared" si="3"/>
        <v>-3.1315605318404494E-2</v>
      </c>
      <c r="O63" s="77">
        <v>26.86</v>
      </c>
      <c r="P63" s="11">
        <f t="shared" si="4"/>
        <v>-4.7179851010996865E-2</v>
      </c>
      <c r="R63" s="77">
        <v>87.07</v>
      </c>
      <c r="S63" s="11">
        <f t="shared" si="5"/>
        <v>-7.2967734579865162E-3</v>
      </c>
      <c r="U63" s="77">
        <v>4.1052999999999997</v>
      </c>
      <c r="V63" s="11">
        <f t="shared" si="6"/>
        <v>-1.1890148506510823E-2</v>
      </c>
      <c r="X63" s="72"/>
    </row>
    <row r="64" spans="2:24" x14ac:dyDescent="0.3">
      <c r="B64" s="72">
        <v>43863</v>
      </c>
      <c r="C64" s="16">
        <v>13931.9</v>
      </c>
      <c r="D64" s="11">
        <f t="shared" si="0"/>
        <v>2.3343445398520624E-2</v>
      </c>
      <c r="F64" s="77">
        <v>48.44</v>
      </c>
      <c r="G64" s="11">
        <f t="shared" si="1"/>
        <v>1.8074821353509796E-2</v>
      </c>
      <c r="I64" s="77">
        <v>298.83</v>
      </c>
      <c r="J64" s="11">
        <f t="shared" si="2"/>
        <v>2.6554448643077766E-2</v>
      </c>
      <c r="L64" s="77">
        <v>115.61</v>
      </c>
      <c r="M64" s="11">
        <f t="shared" si="3"/>
        <v>4.3976882788513638E-2</v>
      </c>
      <c r="O64" s="77">
        <v>27.96</v>
      </c>
      <c r="P64" s="11">
        <f t="shared" si="4"/>
        <v>4.0953090096798261E-2</v>
      </c>
      <c r="R64" s="77">
        <v>87.14</v>
      </c>
      <c r="S64" s="11">
        <f t="shared" si="5"/>
        <v>8.0395084414841556E-4</v>
      </c>
      <c r="U64" s="77">
        <v>4.1420000000000003</v>
      </c>
      <c r="V64" s="11">
        <f t="shared" si="6"/>
        <v>8.9396633619955868E-3</v>
      </c>
      <c r="X64" s="72"/>
    </row>
    <row r="65" spans="2:24" x14ac:dyDescent="0.3">
      <c r="B65" s="72">
        <v>43870</v>
      </c>
      <c r="C65" s="16">
        <v>14097.3</v>
      </c>
      <c r="D65" s="11">
        <f t="shared" si="0"/>
        <v>1.1872034682993693E-2</v>
      </c>
      <c r="F65" s="77">
        <v>51.07</v>
      </c>
      <c r="G65" s="11">
        <f t="shared" si="1"/>
        <v>5.4293971924029849E-2</v>
      </c>
      <c r="I65" s="77">
        <v>303.29000000000002</v>
      </c>
      <c r="J65" s="11">
        <f t="shared" si="2"/>
        <v>1.4924873673995309E-2</v>
      </c>
      <c r="L65" s="77">
        <v>116.63</v>
      </c>
      <c r="M65" s="11">
        <f t="shared" si="3"/>
        <v>8.8227661966957527E-3</v>
      </c>
      <c r="O65" s="77">
        <v>28.23</v>
      </c>
      <c r="P65" s="11">
        <f t="shared" si="4"/>
        <v>9.65665236051505E-3</v>
      </c>
      <c r="R65" s="77">
        <v>88.68</v>
      </c>
      <c r="S65" s="11">
        <f t="shared" si="5"/>
        <v>1.7672710580674877E-2</v>
      </c>
      <c r="U65" s="77">
        <v>4.2752999999999997</v>
      </c>
      <c r="V65" s="11">
        <f t="shared" si="6"/>
        <v>3.2182520521486957E-2</v>
      </c>
      <c r="X65" s="72"/>
    </row>
    <row r="66" spans="2:24" x14ac:dyDescent="0.3">
      <c r="B66" s="72">
        <v>43877</v>
      </c>
      <c r="C66" s="16">
        <v>13975.8</v>
      </c>
      <c r="D66" s="11">
        <f t="shared" si="0"/>
        <v>-8.6186716605307634E-3</v>
      </c>
      <c r="F66" s="77">
        <v>51.02</v>
      </c>
      <c r="G66" s="11">
        <f t="shared" si="1"/>
        <v>-9.790483649891879E-4</v>
      </c>
      <c r="I66" s="77">
        <v>306.76</v>
      </c>
      <c r="J66" s="11">
        <f t="shared" si="2"/>
        <v>1.1441194895974061E-2</v>
      </c>
      <c r="L66" s="77">
        <v>117.01</v>
      </c>
      <c r="M66" s="11">
        <f t="shared" si="3"/>
        <v>3.2581668524394036E-3</v>
      </c>
      <c r="O66" s="77">
        <v>30.31</v>
      </c>
      <c r="P66" s="11">
        <f t="shared" si="4"/>
        <v>7.3680481756996041E-2</v>
      </c>
      <c r="R66" s="77">
        <v>93.89</v>
      </c>
      <c r="S66" s="11">
        <f t="shared" si="5"/>
        <v>5.8750563824988555E-2</v>
      </c>
      <c r="U66" s="77">
        <v>4.16</v>
      </c>
      <c r="V66" s="11">
        <f t="shared" si="6"/>
        <v>-2.6968867681799957E-2</v>
      </c>
      <c r="X66" s="72"/>
    </row>
    <row r="67" spans="2:24" x14ac:dyDescent="0.3">
      <c r="B67" s="72">
        <v>43884</v>
      </c>
      <c r="C67" s="16">
        <v>12381</v>
      </c>
      <c r="D67" s="11">
        <f t="shared" si="0"/>
        <v>-0.11411153565448839</v>
      </c>
      <c r="F67" s="77">
        <v>50.08</v>
      </c>
      <c r="G67" s="11">
        <f t="shared" si="1"/>
        <v>-1.8424147393179213E-2</v>
      </c>
      <c r="I67" s="77">
        <v>267.87</v>
      </c>
      <c r="J67" s="11">
        <f t="shared" si="2"/>
        <v>-0.12677663319859167</v>
      </c>
      <c r="L67" s="77">
        <v>103</v>
      </c>
      <c r="M67" s="11">
        <f t="shared" si="3"/>
        <v>-0.1197333561234083</v>
      </c>
      <c r="O67" s="77">
        <v>28.13</v>
      </c>
      <c r="P67" s="11">
        <f t="shared" si="4"/>
        <v>-7.192345760475094E-2</v>
      </c>
      <c r="R67" s="77">
        <v>83.03</v>
      </c>
      <c r="S67" s="11">
        <f t="shared" si="5"/>
        <v>-0.11566727020982004</v>
      </c>
      <c r="U67" s="77">
        <v>3.5720000000000001</v>
      </c>
      <c r="V67" s="11">
        <f t="shared" si="6"/>
        <v>-0.1413461538461539</v>
      </c>
      <c r="X67" s="72"/>
    </row>
    <row r="68" spans="2:24" x14ac:dyDescent="0.3">
      <c r="B68" s="72">
        <v>43891</v>
      </c>
      <c r="C68" s="16">
        <v>12352</v>
      </c>
      <c r="D68" s="11">
        <f t="shared" si="0"/>
        <v>-2.3422986834665815E-3</v>
      </c>
      <c r="F68" s="77">
        <v>47.53</v>
      </c>
      <c r="G68" s="11">
        <f t="shared" si="1"/>
        <v>-5.0918530351437674E-2</v>
      </c>
      <c r="I68" s="77">
        <v>296.64999999999998</v>
      </c>
      <c r="J68" s="11">
        <f t="shared" si="2"/>
        <v>0.10744017620487534</v>
      </c>
      <c r="L68" s="77">
        <v>105.95</v>
      </c>
      <c r="M68" s="11">
        <f t="shared" si="3"/>
        <v>2.8640776699029091E-2</v>
      </c>
      <c r="O68" s="77">
        <v>32.04</v>
      </c>
      <c r="P68" s="11">
        <f t="shared" si="4"/>
        <v>0.1389975115535016</v>
      </c>
      <c r="R68" s="77">
        <v>80.239999999999995</v>
      </c>
      <c r="S68" s="11">
        <f t="shared" si="5"/>
        <v>-3.3602312417198688E-2</v>
      </c>
      <c r="U68" s="77">
        <v>3.99</v>
      </c>
      <c r="V68" s="11">
        <f t="shared" si="6"/>
        <v>0.11702127659574479</v>
      </c>
      <c r="X68" s="72"/>
    </row>
    <row r="69" spans="2:24" x14ac:dyDescent="0.3">
      <c r="B69" s="72">
        <v>43898</v>
      </c>
      <c r="C69" s="16">
        <v>10852</v>
      </c>
      <c r="D69" s="11">
        <f t="shared" si="0"/>
        <v>-0.12143782383419688</v>
      </c>
      <c r="F69" s="77">
        <v>46.99</v>
      </c>
      <c r="G69" s="11">
        <f t="shared" si="1"/>
        <v>-1.1361245529139419E-2</v>
      </c>
      <c r="I69" s="77">
        <v>288.01</v>
      </c>
      <c r="J69" s="11">
        <f t="shared" si="2"/>
        <v>-2.9125231754592917E-2</v>
      </c>
      <c r="L69" s="77">
        <v>101.02</v>
      </c>
      <c r="M69" s="11">
        <f t="shared" si="3"/>
        <v>-4.6531382727701853E-2</v>
      </c>
      <c r="O69" s="77">
        <v>30.71</v>
      </c>
      <c r="P69" s="11">
        <f t="shared" si="4"/>
        <v>-4.1510611735330771E-2</v>
      </c>
      <c r="R69" s="77">
        <v>74.7</v>
      </c>
      <c r="S69" s="11">
        <f t="shared" si="5"/>
        <v>-6.9042871385842419E-2</v>
      </c>
      <c r="U69" s="77">
        <v>3.3212000000000002</v>
      </c>
      <c r="V69" s="11">
        <f t="shared" si="6"/>
        <v>-0.16761904761904767</v>
      </c>
      <c r="X69" s="72"/>
    </row>
    <row r="70" spans="2:24" x14ac:dyDescent="0.3">
      <c r="B70" s="72">
        <v>43905</v>
      </c>
      <c r="C70" s="16">
        <v>9133.2000000000007</v>
      </c>
      <c r="D70" s="11">
        <f t="shared" si="0"/>
        <v>-0.15838555105049756</v>
      </c>
      <c r="F70" s="77">
        <v>47.5</v>
      </c>
      <c r="G70" s="11">
        <f t="shared" si="1"/>
        <v>1.0853373058097526E-2</v>
      </c>
      <c r="I70" s="77">
        <v>276.70999999999998</v>
      </c>
      <c r="J70" s="11">
        <f t="shared" si="2"/>
        <v>-3.9234748793444685E-2</v>
      </c>
      <c r="L70" s="77">
        <v>97.4</v>
      </c>
      <c r="M70" s="11">
        <f t="shared" si="3"/>
        <v>-3.5834488220154337E-2</v>
      </c>
      <c r="O70" s="77">
        <v>31.77</v>
      </c>
      <c r="P70" s="11">
        <f t="shared" si="4"/>
        <v>3.4516444154998327E-2</v>
      </c>
      <c r="R70" s="77">
        <v>75.97</v>
      </c>
      <c r="S70" s="11">
        <f t="shared" si="5"/>
        <v>1.7001338688085621E-2</v>
      </c>
      <c r="U70" s="77">
        <v>3.1667000000000001</v>
      </c>
      <c r="V70" s="11">
        <f t="shared" si="6"/>
        <v>-4.651933036251954E-2</v>
      </c>
      <c r="X70" s="72"/>
    </row>
    <row r="71" spans="2:24" x14ac:dyDescent="0.3">
      <c r="B71" s="72">
        <v>43912</v>
      </c>
      <c r="C71" s="16">
        <v>10187.200000000001</v>
      </c>
      <c r="D71" s="11">
        <f t="shared" si="0"/>
        <v>0.11540314457145362</v>
      </c>
      <c r="F71" s="77">
        <v>45.6</v>
      </c>
      <c r="G71" s="11">
        <f t="shared" si="1"/>
        <v>-3.9999999999999925E-2</v>
      </c>
      <c r="I71" s="77">
        <v>270.91000000000003</v>
      </c>
      <c r="J71" s="11">
        <f t="shared" si="2"/>
        <v>-2.0960572440461012E-2</v>
      </c>
      <c r="L71" s="77">
        <v>94.74</v>
      </c>
      <c r="M71" s="11">
        <f t="shared" si="3"/>
        <v>-2.7310061601642843E-2</v>
      </c>
      <c r="O71" s="77">
        <v>29.13</v>
      </c>
      <c r="P71" s="11">
        <f t="shared" si="4"/>
        <v>-8.3097261567516512E-2</v>
      </c>
      <c r="R71" s="77">
        <v>77.05</v>
      </c>
      <c r="S71" s="11">
        <f t="shared" si="5"/>
        <v>1.4216137949190522E-2</v>
      </c>
      <c r="U71" s="77">
        <v>3.5339999999999998</v>
      </c>
      <c r="V71" s="11">
        <f t="shared" si="6"/>
        <v>0.11598825275523406</v>
      </c>
      <c r="X71" s="72"/>
    </row>
    <row r="72" spans="2:24" x14ac:dyDescent="0.3">
      <c r="B72" s="72">
        <v>43919</v>
      </c>
      <c r="C72" s="16">
        <v>9880.6</v>
      </c>
      <c r="D72" s="11">
        <f t="shared" si="0"/>
        <v>-3.0096591801476391E-2</v>
      </c>
      <c r="F72" s="77">
        <v>43.48</v>
      </c>
      <c r="G72" s="11">
        <f t="shared" si="1"/>
        <v>-4.6491228070175583E-2</v>
      </c>
      <c r="I72" s="77">
        <v>275.02999999999997</v>
      </c>
      <c r="J72" s="11">
        <f t="shared" si="2"/>
        <v>1.5208002657709052E-2</v>
      </c>
      <c r="L72" s="77">
        <v>92.57</v>
      </c>
      <c r="M72" s="11">
        <f t="shared" si="3"/>
        <v>-2.2904792062486856E-2</v>
      </c>
      <c r="O72" s="77">
        <v>32.29</v>
      </c>
      <c r="P72" s="11">
        <f t="shared" si="4"/>
        <v>0.10847923103329893</v>
      </c>
      <c r="R72" s="77">
        <v>70.239999999999995</v>
      </c>
      <c r="S72" s="11">
        <f t="shared" si="5"/>
        <v>-8.8384166125892283E-2</v>
      </c>
      <c r="U72" s="77">
        <v>3.42</v>
      </c>
      <c r="V72" s="11">
        <f t="shared" si="6"/>
        <v>-3.2258064516129004E-2</v>
      </c>
      <c r="X72" s="72"/>
    </row>
    <row r="73" spans="2:24" x14ac:dyDescent="0.3">
      <c r="B73" s="72">
        <v>43926</v>
      </c>
      <c r="C73" s="16">
        <v>11136.6</v>
      </c>
      <c r="D73" s="11">
        <f t="shared" si="0"/>
        <v>0.12711778636924875</v>
      </c>
      <c r="F73" s="77">
        <v>42.85</v>
      </c>
      <c r="G73" s="11">
        <f t="shared" si="1"/>
        <v>-1.4489420423183019E-2</v>
      </c>
      <c r="I73" s="77">
        <v>285.85000000000002</v>
      </c>
      <c r="J73" s="11">
        <f t="shared" si="2"/>
        <v>3.9341162782242201E-2</v>
      </c>
      <c r="L73" s="77">
        <v>104.2</v>
      </c>
      <c r="M73" s="11">
        <f t="shared" si="3"/>
        <v>0.12563465485578496</v>
      </c>
      <c r="O73" s="77">
        <v>31.06</v>
      </c>
      <c r="P73" s="11">
        <f t="shared" si="4"/>
        <v>-3.8092288634252069E-2</v>
      </c>
      <c r="R73" s="77">
        <v>77.56</v>
      </c>
      <c r="S73" s="11">
        <f t="shared" si="5"/>
        <v>0.10421412300683386</v>
      </c>
      <c r="U73" s="77">
        <v>3.5467</v>
      </c>
      <c r="V73" s="11">
        <f t="shared" si="6"/>
        <v>3.7046783625731106E-2</v>
      </c>
      <c r="X73" s="72"/>
    </row>
    <row r="74" spans="2:24" x14ac:dyDescent="0.3">
      <c r="B74" s="72">
        <v>43933</v>
      </c>
      <c r="C74" s="16">
        <v>11208.3</v>
      </c>
      <c r="D74" s="11">
        <f t="shared" ref="D74:D137" si="7">C74/C73-1</f>
        <v>6.4382306987769145E-3</v>
      </c>
      <c r="F74" s="77">
        <v>43.23</v>
      </c>
      <c r="G74" s="11">
        <f t="shared" ref="G74:G137" si="8">F74/F73-1</f>
        <v>8.8681446907816763E-3</v>
      </c>
      <c r="I74" s="77">
        <v>302.92</v>
      </c>
      <c r="J74" s="11">
        <f t="shared" ref="J74:J137" si="9">I74/I73-1</f>
        <v>5.9716634598565577E-2</v>
      </c>
      <c r="L74" s="77">
        <v>113.42</v>
      </c>
      <c r="M74" s="11">
        <f t="shared" ref="M74:M137" si="10">L74/L73-1</f>
        <v>8.8483685220729358E-2</v>
      </c>
      <c r="O74" s="77">
        <v>31.93</v>
      </c>
      <c r="P74" s="11">
        <f t="shared" ref="P74:P137" si="11">O74/O73-1</f>
        <v>2.8010302640051554E-2</v>
      </c>
      <c r="R74" s="77">
        <v>81.73</v>
      </c>
      <c r="S74" s="11">
        <f t="shared" ref="S74:S137" si="12">R74/R73-1</f>
        <v>5.3764827230531331E-2</v>
      </c>
      <c r="U74" s="77">
        <v>3.7505999999999999</v>
      </c>
      <c r="V74" s="11">
        <f t="shared" si="6"/>
        <v>5.7490061183635532E-2</v>
      </c>
      <c r="X74" s="72"/>
    </row>
    <row r="75" spans="2:24" x14ac:dyDescent="0.3">
      <c r="B75" s="72">
        <v>43940</v>
      </c>
      <c r="C75" s="16">
        <v>11017.9</v>
      </c>
      <c r="D75" s="11">
        <f t="shared" si="7"/>
        <v>-1.6987411114977258E-2</v>
      </c>
      <c r="F75" s="77">
        <v>43.35</v>
      </c>
      <c r="G75" s="11">
        <f t="shared" si="8"/>
        <v>2.7758501040944239E-3</v>
      </c>
      <c r="I75" s="77">
        <v>295.89</v>
      </c>
      <c r="J75" s="11">
        <f t="shared" si="9"/>
        <v>-2.3207447510894097E-2</v>
      </c>
      <c r="L75" s="77">
        <v>107.82</v>
      </c>
      <c r="M75" s="11">
        <f t="shared" si="10"/>
        <v>-4.9374008111444212E-2</v>
      </c>
      <c r="O75" s="77">
        <v>32.96</v>
      </c>
      <c r="P75" s="11">
        <f t="shared" si="11"/>
        <v>3.2258064516129004E-2</v>
      </c>
      <c r="R75" s="77">
        <v>74.540000000000006</v>
      </c>
      <c r="S75" s="11">
        <f t="shared" si="12"/>
        <v>-8.7972592683225215E-2</v>
      </c>
      <c r="U75" s="77">
        <v>3.5467</v>
      </c>
      <c r="V75" s="11">
        <f t="shared" ref="V75:V138" si="13">U75/U74-1</f>
        <v>-5.4364634991734606E-2</v>
      </c>
      <c r="X75" s="72"/>
    </row>
    <row r="76" spans="2:24" x14ac:dyDescent="0.3">
      <c r="B76" s="72">
        <v>43947</v>
      </c>
      <c r="C76" s="16">
        <v>11058.6</v>
      </c>
      <c r="D76" s="11">
        <f t="shared" si="7"/>
        <v>3.6939888726528203E-3</v>
      </c>
      <c r="F76" s="77">
        <v>44.4</v>
      </c>
      <c r="G76" s="11">
        <f t="shared" si="8"/>
        <v>2.4221453287197159E-2</v>
      </c>
      <c r="I76" s="77">
        <v>287.67</v>
      </c>
      <c r="J76" s="11">
        <f t="shared" si="9"/>
        <v>-2.778059413971401E-2</v>
      </c>
      <c r="L76" s="77">
        <v>108.23</v>
      </c>
      <c r="M76" s="11">
        <f t="shared" si="10"/>
        <v>3.8026340196624098E-3</v>
      </c>
      <c r="O76" s="77">
        <v>31.96</v>
      </c>
      <c r="P76" s="11">
        <f t="shared" si="11"/>
        <v>-3.033980582524276E-2</v>
      </c>
      <c r="R76" s="77">
        <v>77.39</v>
      </c>
      <c r="S76" s="11">
        <f t="shared" si="12"/>
        <v>3.8234504963777782E-2</v>
      </c>
      <c r="U76" s="77">
        <v>3.7416999999999998</v>
      </c>
      <c r="V76" s="11">
        <f t="shared" si="13"/>
        <v>5.498068627174546E-2</v>
      </c>
      <c r="X76" s="72"/>
    </row>
    <row r="77" spans="2:24" x14ac:dyDescent="0.3">
      <c r="B77" s="72">
        <v>43954</v>
      </c>
      <c r="C77" s="16">
        <v>11354.3</v>
      </c>
      <c r="D77" s="11">
        <f t="shared" si="7"/>
        <v>2.6739370263866968E-2</v>
      </c>
      <c r="F77" s="77">
        <v>45.61</v>
      </c>
      <c r="G77" s="11">
        <f t="shared" si="8"/>
        <v>2.7252252252252251E-2</v>
      </c>
      <c r="I77" s="77">
        <v>291.5</v>
      </c>
      <c r="J77" s="11">
        <f t="shared" si="9"/>
        <v>1.3313866583237743E-2</v>
      </c>
      <c r="L77" s="77">
        <v>115.83</v>
      </c>
      <c r="M77" s="11">
        <f t="shared" si="10"/>
        <v>7.0220826018663862E-2</v>
      </c>
      <c r="O77" s="77">
        <v>33.340000000000003</v>
      </c>
      <c r="P77" s="11">
        <f t="shared" si="11"/>
        <v>4.3178973717146407E-2</v>
      </c>
      <c r="R77" s="77">
        <v>78.05</v>
      </c>
      <c r="S77" s="11">
        <f t="shared" si="12"/>
        <v>8.5282336219150157E-3</v>
      </c>
      <c r="U77" s="77">
        <v>3.6227</v>
      </c>
      <c r="V77" s="11">
        <f t="shared" si="13"/>
        <v>-3.1803725579282127E-2</v>
      </c>
      <c r="X77" s="72"/>
    </row>
    <row r="78" spans="2:24" x14ac:dyDescent="0.3">
      <c r="B78" s="72">
        <v>43961</v>
      </c>
      <c r="C78" s="16">
        <v>10947.3</v>
      </c>
      <c r="D78" s="11">
        <f t="shared" si="7"/>
        <v>-3.5845450622231212E-2</v>
      </c>
      <c r="F78" s="77">
        <v>44.33</v>
      </c>
      <c r="G78" s="11">
        <f t="shared" si="8"/>
        <v>-2.8064021048015864E-2</v>
      </c>
      <c r="I78" s="77">
        <v>285.08999999999997</v>
      </c>
      <c r="J78" s="11">
        <f t="shared" si="9"/>
        <v>-2.1989708404802855E-2</v>
      </c>
      <c r="L78" s="77">
        <v>120.94</v>
      </c>
      <c r="M78" s="11">
        <f t="shared" si="10"/>
        <v>4.4116377449710864E-2</v>
      </c>
      <c r="O78" s="77">
        <v>32.51</v>
      </c>
      <c r="P78" s="11">
        <f t="shared" si="11"/>
        <v>-2.4895020995800987E-2</v>
      </c>
      <c r="R78" s="77">
        <v>75.069999999999993</v>
      </c>
      <c r="S78" s="11">
        <f t="shared" si="12"/>
        <v>-3.8180653427290268E-2</v>
      </c>
      <c r="U78" s="77">
        <v>3.5720000000000001</v>
      </c>
      <c r="V78" s="11">
        <f t="shared" si="13"/>
        <v>-1.3995086537665236E-2</v>
      </c>
      <c r="X78" s="72"/>
    </row>
    <row r="79" spans="2:24" x14ac:dyDescent="0.3">
      <c r="B79" s="72">
        <v>43968</v>
      </c>
      <c r="C79" s="16">
        <v>11332</v>
      </c>
      <c r="D79" s="11">
        <f t="shared" si="7"/>
        <v>3.51410850163969E-2</v>
      </c>
      <c r="F79" s="77">
        <v>43.87</v>
      </c>
      <c r="G79" s="11">
        <f t="shared" si="8"/>
        <v>-1.0376720054139477E-2</v>
      </c>
      <c r="I79" s="77">
        <v>288.16000000000003</v>
      </c>
      <c r="J79" s="11">
        <f t="shared" si="9"/>
        <v>1.0768529236381719E-2</v>
      </c>
      <c r="L79" s="77">
        <v>117.49</v>
      </c>
      <c r="M79" s="11">
        <f t="shared" si="10"/>
        <v>-2.8526542086985351E-2</v>
      </c>
      <c r="O79" s="77">
        <v>32.369999999999997</v>
      </c>
      <c r="P79" s="11">
        <f t="shared" si="11"/>
        <v>-4.3063672716087131E-3</v>
      </c>
      <c r="R79" s="77">
        <v>81.7</v>
      </c>
      <c r="S79" s="11">
        <f t="shared" si="12"/>
        <v>8.8317570267750334E-2</v>
      </c>
      <c r="U79" s="77">
        <v>3.5026999999999999</v>
      </c>
      <c r="V79" s="11">
        <f t="shared" si="13"/>
        <v>-1.9400895856662936E-2</v>
      </c>
      <c r="X79" s="72"/>
    </row>
    <row r="80" spans="2:24" x14ac:dyDescent="0.3">
      <c r="B80" s="72">
        <v>43975</v>
      </c>
      <c r="C80" s="16">
        <v>11803</v>
      </c>
      <c r="D80" s="11">
        <f t="shared" si="7"/>
        <v>4.1563713378044431E-2</v>
      </c>
      <c r="F80" s="77">
        <v>45.67</v>
      </c>
      <c r="G80" s="11">
        <f t="shared" si="8"/>
        <v>4.1030316845224624E-2</v>
      </c>
      <c r="I80" s="77">
        <v>293.91000000000003</v>
      </c>
      <c r="J80" s="11">
        <f t="shared" si="9"/>
        <v>1.995419211549132E-2</v>
      </c>
      <c r="L80" s="77">
        <v>122.33</v>
      </c>
      <c r="M80" s="11">
        <f t="shared" si="10"/>
        <v>4.1194995318750482E-2</v>
      </c>
      <c r="O80" s="77">
        <v>32.619999999999997</v>
      </c>
      <c r="P80" s="11">
        <f t="shared" si="11"/>
        <v>7.7232004942848764E-3</v>
      </c>
      <c r="R80" s="77">
        <v>97.87</v>
      </c>
      <c r="S80" s="11">
        <f t="shared" si="12"/>
        <v>0.19791921664626688</v>
      </c>
      <c r="U80" s="77">
        <v>3.5087000000000002</v>
      </c>
      <c r="V80" s="11">
        <f t="shared" si="13"/>
        <v>1.7129642846946957E-3</v>
      </c>
      <c r="X80" s="72"/>
    </row>
    <row r="81" spans="2:24" x14ac:dyDescent="0.3">
      <c r="B81" s="72">
        <v>43982</v>
      </c>
      <c r="C81" s="16">
        <v>12641.4</v>
      </c>
      <c r="D81" s="11">
        <f t="shared" si="7"/>
        <v>7.103278827416748E-2</v>
      </c>
      <c r="F81" s="77">
        <v>44.07</v>
      </c>
      <c r="G81" s="11">
        <f t="shared" si="8"/>
        <v>-3.5033939128530811E-2</v>
      </c>
      <c r="I81" s="77">
        <v>297.31</v>
      </c>
      <c r="J81" s="11">
        <f t="shared" si="9"/>
        <v>1.1568167125990847E-2</v>
      </c>
      <c r="L81" s="77">
        <v>121.53</v>
      </c>
      <c r="M81" s="11">
        <f t="shared" si="10"/>
        <v>-6.5396877299108702E-3</v>
      </c>
      <c r="O81" s="77">
        <v>32.479999999999997</v>
      </c>
      <c r="P81" s="11">
        <f t="shared" si="11"/>
        <v>-4.2918454935622075E-3</v>
      </c>
      <c r="R81" s="77">
        <v>92.9</v>
      </c>
      <c r="S81" s="11">
        <f t="shared" si="12"/>
        <v>-5.0781649126392159E-2</v>
      </c>
      <c r="U81" s="77">
        <v>3.6227</v>
      </c>
      <c r="V81" s="11">
        <f t="shared" si="13"/>
        <v>3.2490666058654138E-2</v>
      </c>
      <c r="X81" s="72"/>
    </row>
    <row r="82" spans="2:24" x14ac:dyDescent="0.3">
      <c r="B82" s="72">
        <v>43989</v>
      </c>
      <c r="C82" s="16">
        <v>11867.2</v>
      </c>
      <c r="D82" s="11">
        <f t="shared" si="7"/>
        <v>-6.1243216732323913E-2</v>
      </c>
      <c r="F82" s="77">
        <v>42.19</v>
      </c>
      <c r="G82" s="11">
        <f t="shared" si="8"/>
        <v>-4.2659405491263902E-2</v>
      </c>
      <c r="I82" s="77">
        <v>284.60000000000002</v>
      </c>
      <c r="J82" s="11">
        <f t="shared" si="9"/>
        <v>-4.2749991591268355E-2</v>
      </c>
      <c r="L82" s="77">
        <v>116.9</v>
      </c>
      <c r="M82" s="11">
        <f t="shared" si="10"/>
        <v>-3.8097589072656923E-2</v>
      </c>
      <c r="O82" s="77">
        <v>32.26</v>
      </c>
      <c r="P82" s="11">
        <f t="shared" si="11"/>
        <v>-6.7733990147782475E-3</v>
      </c>
      <c r="R82" s="77">
        <v>87.77</v>
      </c>
      <c r="S82" s="11">
        <f t="shared" si="12"/>
        <v>-5.5220667384284328E-2</v>
      </c>
      <c r="U82" s="77">
        <v>3.42</v>
      </c>
      <c r="V82" s="11">
        <f t="shared" si="13"/>
        <v>-5.5952742429679514E-2</v>
      </c>
      <c r="X82" s="72"/>
    </row>
    <row r="83" spans="2:24" x14ac:dyDescent="0.3">
      <c r="B83" s="72">
        <v>43996</v>
      </c>
      <c r="C83" s="16">
        <v>11980.1</v>
      </c>
      <c r="D83" s="11">
        <f t="shared" si="7"/>
        <v>9.5136173655117062E-3</v>
      </c>
      <c r="F83" s="77">
        <v>44.02</v>
      </c>
      <c r="G83" s="11">
        <f t="shared" si="8"/>
        <v>4.3375207395117465E-2</v>
      </c>
      <c r="I83" s="77">
        <v>285.75</v>
      </c>
      <c r="J83" s="11">
        <f t="shared" si="9"/>
        <v>4.0407589599436022E-3</v>
      </c>
      <c r="L83" s="77">
        <v>120.56</v>
      </c>
      <c r="M83" s="11">
        <f t="shared" si="10"/>
        <v>3.130881094952942E-2</v>
      </c>
      <c r="O83" s="77">
        <v>32.24</v>
      </c>
      <c r="P83" s="11">
        <f t="shared" si="11"/>
        <v>-6.1996280223175493E-4</v>
      </c>
      <c r="R83" s="77">
        <v>88.8</v>
      </c>
      <c r="S83" s="11">
        <f t="shared" si="12"/>
        <v>1.1735217044548163E-2</v>
      </c>
      <c r="U83" s="77">
        <v>3.6560999999999999</v>
      </c>
      <c r="V83" s="11">
        <f t="shared" si="13"/>
        <v>6.9035087719298227E-2</v>
      </c>
      <c r="X83" s="72"/>
    </row>
    <row r="84" spans="2:24" x14ac:dyDescent="0.3">
      <c r="B84" s="72">
        <v>44003</v>
      </c>
      <c r="C84" s="16">
        <v>11604.4</v>
      </c>
      <c r="D84" s="11">
        <f t="shared" si="7"/>
        <v>-3.1360339229221879E-2</v>
      </c>
      <c r="F84" s="77">
        <v>44.07</v>
      </c>
      <c r="G84" s="11">
        <f t="shared" si="8"/>
        <v>1.1358473421172466E-3</v>
      </c>
      <c r="I84" s="77">
        <v>282.56</v>
      </c>
      <c r="J84" s="11">
        <f t="shared" si="9"/>
        <v>-1.1163604549431327E-2</v>
      </c>
      <c r="L84" s="77">
        <v>117.02</v>
      </c>
      <c r="M84" s="11">
        <f t="shared" si="10"/>
        <v>-2.936297279362976E-2</v>
      </c>
      <c r="O84" s="77">
        <v>32.68</v>
      </c>
      <c r="P84" s="11">
        <f t="shared" si="11"/>
        <v>1.3647642679900596E-2</v>
      </c>
      <c r="R84" s="77">
        <v>92.62</v>
      </c>
      <c r="S84" s="11">
        <f t="shared" si="12"/>
        <v>4.3018018018018189E-2</v>
      </c>
      <c r="U84" s="77">
        <v>3.5467</v>
      </c>
      <c r="V84" s="11">
        <f t="shared" si="13"/>
        <v>-2.9922595115013273E-2</v>
      </c>
      <c r="X84" s="72"/>
    </row>
    <row r="85" spans="2:24" x14ac:dyDescent="0.3">
      <c r="B85" s="72">
        <v>44010</v>
      </c>
      <c r="C85" s="16">
        <v>11991.5</v>
      </c>
      <c r="D85" s="11">
        <f t="shared" si="7"/>
        <v>3.3358036606804253E-2</v>
      </c>
      <c r="F85" s="77">
        <v>43.02</v>
      </c>
      <c r="G85" s="11">
        <f t="shared" si="8"/>
        <v>-2.3825731790333537E-2</v>
      </c>
      <c r="I85" s="77">
        <v>291.31</v>
      </c>
      <c r="J85" s="11">
        <f t="shared" si="9"/>
        <v>3.0966874292185809E-2</v>
      </c>
      <c r="L85" s="77">
        <v>119.12</v>
      </c>
      <c r="M85" s="11">
        <f t="shared" si="10"/>
        <v>1.7945650316185446E-2</v>
      </c>
      <c r="O85" s="77">
        <v>33.5</v>
      </c>
      <c r="P85" s="11">
        <f t="shared" si="11"/>
        <v>2.5091799265605896E-2</v>
      </c>
      <c r="R85" s="77">
        <v>93.61</v>
      </c>
      <c r="S85" s="11">
        <f t="shared" si="12"/>
        <v>1.0688836104512989E-2</v>
      </c>
      <c r="U85" s="77">
        <v>3.5213000000000001</v>
      </c>
      <c r="V85" s="11">
        <f t="shared" si="13"/>
        <v>-7.1615868271914795E-3</v>
      </c>
      <c r="X85" s="72"/>
    </row>
    <row r="86" spans="2:24" x14ac:dyDescent="0.3">
      <c r="B86" s="72">
        <v>44017</v>
      </c>
      <c r="C86" s="16">
        <v>12075.6</v>
      </c>
      <c r="D86" s="11">
        <f t="shared" si="7"/>
        <v>7.0133010882709179E-3</v>
      </c>
      <c r="F86" s="77">
        <v>41.8</v>
      </c>
      <c r="G86" s="11">
        <f t="shared" si="8"/>
        <v>-2.8358902835890376E-2</v>
      </c>
      <c r="I86" s="77">
        <v>310.83</v>
      </c>
      <c r="J86" s="11">
        <f t="shared" si="9"/>
        <v>6.7007655075349115E-2</v>
      </c>
      <c r="L86" s="77">
        <v>118.86</v>
      </c>
      <c r="M86" s="11">
        <f t="shared" si="10"/>
        <v>-2.182672934855634E-3</v>
      </c>
      <c r="O86" s="77">
        <v>33.44</v>
      </c>
      <c r="P86" s="11">
        <f t="shared" si="11"/>
        <v>-1.7910447761194659E-3</v>
      </c>
      <c r="R86" s="77">
        <v>91.87</v>
      </c>
      <c r="S86" s="11">
        <f t="shared" si="12"/>
        <v>-1.8587757718192432E-2</v>
      </c>
      <c r="U86" s="77">
        <v>3.3820000000000001</v>
      </c>
      <c r="V86" s="11">
        <f t="shared" si="13"/>
        <v>-3.9559253684718687E-2</v>
      </c>
      <c r="X86" s="72"/>
    </row>
    <row r="87" spans="2:24" x14ac:dyDescent="0.3">
      <c r="B87" s="72">
        <v>44024</v>
      </c>
      <c r="C87" s="16">
        <v>12402.7</v>
      </c>
      <c r="D87" s="11">
        <f t="shared" si="7"/>
        <v>2.708768094338998E-2</v>
      </c>
      <c r="F87" s="77">
        <v>40.880000000000003</v>
      </c>
      <c r="G87" s="11">
        <f t="shared" si="8"/>
        <v>-2.2009569377990257E-2</v>
      </c>
      <c r="I87" s="77">
        <v>309.45999999999998</v>
      </c>
      <c r="J87" s="11">
        <f t="shared" si="9"/>
        <v>-4.4075539684071963E-3</v>
      </c>
      <c r="L87" s="77">
        <v>121.67</v>
      </c>
      <c r="M87" s="11">
        <f t="shared" si="10"/>
        <v>2.3641258623590788E-2</v>
      </c>
      <c r="O87" s="77">
        <v>33.85</v>
      </c>
      <c r="P87" s="11">
        <f t="shared" si="11"/>
        <v>1.2260765550239361E-2</v>
      </c>
      <c r="R87" s="77">
        <v>95.46</v>
      </c>
      <c r="S87" s="11">
        <f t="shared" si="12"/>
        <v>3.9076956569064958E-2</v>
      </c>
      <c r="U87" s="77">
        <v>3.306</v>
      </c>
      <c r="V87" s="11">
        <f t="shared" si="13"/>
        <v>-2.2471910112359605E-2</v>
      </c>
      <c r="X87" s="72"/>
    </row>
    <row r="88" spans="2:24" x14ac:dyDescent="0.3">
      <c r="B88" s="72">
        <v>44031</v>
      </c>
      <c r="C88" s="16">
        <v>12461.8</v>
      </c>
      <c r="D88" s="11">
        <f t="shared" si="7"/>
        <v>4.7650914720180904E-3</v>
      </c>
      <c r="F88" s="77">
        <v>41.24</v>
      </c>
      <c r="G88" s="11">
        <f t="shared" si="8"/>
        <v>8.8062622309197369E-3</v>
      </c>
      <c r="I88" s="77">
        <v>310.41000000000003</v>
      </c>
      <c r="J88" s="11">
        <f t="shared" si="9"/>
        <v>3.0698636334260954E-3</v>
      </c>
      <c r="L88" s="77">
        <v>123.71</v>
      </c>
      <c r="M88" s="11">
        <f t="shared" si="10"/>
        <v>1.6766663927015646E-2</v>
      </c>
      <c r="O88" s="77">
        <v>34.71</v>
      </c>
      <c r="P88" s="11">
        <f t="shared" si="11"/>
        <v>2.5406203840472763E-2</v>
      </c>
      <c r="R88" s="77">
        <v>95.6</v>
      </c>
      <c r="S88" s="11">
        <f t="shared" si="12"/>
        <v>1.4665828619317978E-3</v>
      </c>
      <c r="U88" s="77">
        <v>3.496</v>
      </c>
      <c r="V88" s="11">
        <f t="shared" si="13"/>
        <v>5.7471264367816133E-2</v>
      </c>
      <c r="X88" s="72"/>
    </row>
    <row r="89" spans="2:24" x14ac:dyDescent="0.3">
      <c r="B89" s="72">
        <v>44038</v>
      </c>
      <c r="C89" s="16">
        <v>12465</v>
      </c>
      <c r="D89" s="11">
        <f t="shared" si="7"/>
        <v>2.5678473414769698E-4</v>
      </c>
      <c r="F89" s="77">
        <v>39.43</v>
      </c>
      <c r="G89" s="11">
        <f t="shared" si="8"/>
        <v>-4.3889427740058218E-2</v>
      </c>
      <c r="I89" s="77">
        <v>310.17</v>
      </c>
      <c r="J89" s="11">
        <f t="shared" si="9"/>
        <v>-7.7317096743023672E-4</v>
      </c>
      <c r="L89" s="77">
        <v>125.88</v>
      </c>
      <c r="M89" s="11">
        <f t="shared" si="10"/>
        <v>1.7541023361086427E-2</v>
      </c>
      <c r="O89" s="77">
        <v>34.79</v>
      </c>
      <c r="P89" s="11">
        <f t="shared" si="11"/>
        <v>2.3048112935752929E-3</v>
      </c>
      <c r="R89" s="77">
        <v>93.35</v>
      </c>
      <c r="S89" s="11">
        <f t="shared" si="12"/>
        <v>-2.3535564853556457E-2</v>
      </c>
      <c r="U89" s="77">
        <v>3.5467</v>
      </c>
      <c r="V89" s="11">
        <f t="shared" si="13"/>
        <v>1.4502288329519386E-2</v>
      </c>
      <c r="X89" s="72"/>
    </row>
    <row r="90" spans="2:24" x14ac:dyDescent="0.3">
      <c r="B90" s="72">
        <v>44045</v>
      </c>
      <c r="C90" s="16">
        <v>12765.8</v>
      </c>
      <c r="D90" s="11">
        <f t="shared" si="7"/>
        <v>2.4131568391496216E-2</v>
      </c>
      <c r="F90" s="77">
        <v>40.57</v>
      </c>
      <c r="G90" s="11">
        <f t="shared" si="8"/>
        <v>2.8911995942175972E-2</v>
      </c>
      <c r="I90" s="77">
        <v>324.82</v>
      </c>
      <c r="J90" s="11">
        <f t="shared" si="9"/>
        <v>4.7232163007382866E-2</v>
      </c>
      <c r="L90" s="77">
        <v>131.75</v>
      </c>
      <c r="M90" s="11">
        <f t="shared" si="10"/>
        <v>4.6631712742294384E-2</v>
      </c>
      <c r="O90" s="77">
        <v>35.24</v>
      </c>
      <c r="P90" s="11">
        <f t="shared" si="11"/>
        <v>1.293475136533484E-2</v>
      </c>
      <c r="R90" s="77">
        <v>96.49</v>
      </c>
      <c r="S90" s="11">
        <f t="shared" si="12"/>
        <v>3.3636850562399623E-2</v>
      </c>
      <c r="U90" s="77">
        <v>3.6353</v>
      </c>
      <c r="V90" s="11">
        <f t="shared" si="13"/>
        <v>2.4980968223982769E-2</v>
      </c>
      <c r="X90" s="72"/>
    </row>
    <row r="91" spans="2:24" x14ac:dyDescent="0.3">
      <c r="B91" s="72">
        <v>44052</v>
      </c>
      <c r="C91" s="16">
        <v>12902.5</v>
      </c>
      <c r="D91" s="11">
        <f t="shared" si="7"/>
        <v>1.0708298735684574E-2</v>
      </c>
      <c r="F91" s="77">
        <v>41.77</v>
      </c>
      <c r="G91" s="11">
        <f t="shared" si="8"/>
        <v>2.9578506285432571E-2</v>
      </c>
      <c r="I91" s="77">
        <v>320.41000000000003</v>
      </c>
      <c r="J91" s="11">
        <f t="shared" si="9"/>
        <v>-1.3576750200110732E-2</v>
      </c>
      <c r="L91" s="77">
        <v>136.53</v>
      </c>
      <c r="M91" s="11">
        <f t="shared" si="10"/>
        <v>3.6280834914611093E-2</v>
      </c>
      <c r="O91" s="77">
        <v>35.39</v>
      </c>
      <c r="P91" s="11">
        <f t="shared" si="11"/>
        <v>4.2565266742338181E-3</v>
      </c>
      <c r="R91" s="77">
        <v>98.84</v>
      </c>
      <c r="S91" s="11">
        <f t="shared" si="12"/>
        <v>2.4354855425432698E-2</v>
      </c>
      <c r="U91" s="77">
        <v>3.7240000000000002</v>
      </c>
      <c r="V91" s="11">
        <f t="shared" si="13"/>
        <v>2.4399636893791543E-2</v>
      </c>
      <c r="X91" s="72"/>
    </row>
    <row r="92" spans="2:24" x14ac:dyDescent="0.3">
      <c r="B92" s="72">
        <v>44059</v>
      </c>
      <c r="C92" s="16">
        <v>12809.1</v>
      </c>
      <c r="D92" s="11">
        <f t="shared" si="7"/>
        <v>-7.2389071885293754E-3</v>
      </c>
      <c r="F92" s="77">
        <v>42.83</v>
      </c>
      <c r="G92" s="11">
        <f t="shared" si="8"/>
        <v>2.5377064879099631E-2</v>
      </c>
      <c r="I92" s="77">
        <v>328.35</v>
      </c>
      <c r="J92" s="11">
        <f t="shared" si="9"/>
        <v>2.4780749664492285E-2</v>
      </c>
      <c r="L92" s="77">
        <v>153.63</v>
      </c>
      <c r="M92" s="11">
        <f t="shared" si="10"/>
        <v>0.12524719841792997</v>
      </c>
      <c r="O92" s="77">
        <v>35.909999999999997</v>
      </c>
      <c r="P92" s="11">
        <f t="shared" si="11"/>
        <v>1.4693416219270894E-2</v>
      </c>
      <c r="R92" s="77">
        <v>100.3</v>
      </c>
      <c r="S92" s="11">
        <f t="shared" si="12"/>
        <v>1.4771347632537291E-2</v>
      </c>
      <c r="U92" s="77">
        <v>3.7454999999999998</v>
      </c>
      <c r="V92" s="11">
        <f t="shared" si="13"/>
        <v>5.7733619763693511E-3</v>
      </c>
      <c r="X92" s="72"/>
    </row>
    <row r="93" spans="2:24" x14ac:dyDescent="0.3">
      <c r="B93" s="72">
        <v>44066</v>
      </c>
      <c r="C93" s="16">
        <v>13171</v>
      </c>
      <c r="D93" s="11">
        <f t="shared" si="7"/>
        <v>2.8253351133178617E-2</v>
      </c>
      <c r="F93" s="77">
        <v>39.729999999999997</v>
      </c>
      <c r="G93" s="11">
        <f t="shared" si="8"/>
        <v>-7.2379173476535219E-2</v>
      </c>
      <c r="I93" s="77">
        <v>331.93</v>
      </c>
      <c r="J93" s="11">
        <f t="shared" si="9"/>
        <v>1.0902999847723471E-2</v>
      </c>
      <c r="L93" s="77">
        <v>150.85</v>
      </c>
      <c r="M93" s="11">
        <f t="shared" si="10"/>
        <v>-1.8095424070819544E-2</v>
      </c>
      <c r="O93" s="77">
        <v>35.299999999999997</v>
      </c>
      <c r="P93" s="11">
        <f t="shared" si="11"/>
        <v>-1.6986911723753773E-2</v>
      </c>
      <c r="R93" s="77">
        <v>94.73</v>
      </c>
      <c r="S93" s="11">
        <f t="shared" si="12"/>
        <v>-5.5533399800598127E-2</v>
      </c>
      <c r="U93" s="77">
        <v>3.7037</v>
      </c>
      <c r="V93" s="11">
        <f t="shared" si="13"/>
        <v>-1.1160058737151202E-2</v>
      </c>
      <c r="X93" s="72"/>
    </row>
    <row r="94" spans="2:24" x14ac:dyDescent="0.3">
      <c r="B94" s="72">
        <v>44073</v>
      </c>
      <c r="C94" s="16">
        <v>12917.1</v>
      </c>
      <c r="D94" s="11">
        <f t="shared" si="7"/>
        <v>-1.9277199908890763E-2</v>
      </c>
      <c r="F94" s="77">
        <v>49.35</v>
      </c>
      <c r="G94" s="11">
        <f t="shared" si="8"/>
        <v>0.24213440724893043</v>
      </c>
      <c r="I94" s="77">
        <v>330.21</v>
      </c>
      <c r="J94" s="11">
        <f t="shared" si="9"/>
        <v>-5.1818154430152141E-3</v>
      </c>
      <c r="L94" s="77">
        <v>147.22999999999999</v>
      </c>
      <c r="M94" s="11">
        <f t="shared" si="10"/>
        <v>-2.3997348359297344E-2</v>
      </c>
      <c r="O94" s="77">
        <v>35.47</v>
      </c>
      <c r="P94" s="11">
        <f t="shared" si="11"/>
        <v>4.8158640226629856E-3</v>
      </c>
      <c r="R94" s="77">
        <v>91.23</v>
      </c>
      <c r="S94" s="11">
        <f t="shared" si="12"/>
        <v>-3.6947112847038999E-2</v>
      </c>
      <c r="U94" s="77">
        <v>3.5467</v>
      </c>
      <c r="V94" s="11">
        <f t="shared" si="13"/>
        <v>-4.2390042390042404E-2</v>
      </c>
      <c r="X94" s="72"/>
    </row>
    <row r="95" spans="2:24" x14ac:dyDescent="0.3">
      <c r="B95" s="72">
        <v>44080</v>
      </c>
      <c r="C95" s="16">
        <v>12773</v>
      </c>
      <c r="D95" s="11">
        <f t="shared" si="7"/>
        <v>-1.1155754774678561E-2</v>
      </c>
      <c r="F95" s="77">
        <v>49.85</v>
      </c>
      <c r="G95" s="11">
        <f t="shared" si="8"/>
        <v>1.0131712259371817E-2</v>
      </c>
      <c r="I95" s="77">
        <v>323.13</v>
      </c>
      <c r="J95" s="11">
        <f t="shared" si="9"/>
        <v>-2.1440901244662469E-2</v>
      </c>
      <c r="L95" s="77">
        <v>147.65</v>
      </c>
      <c r="M95" s="11">
        <f t="shared" si="10"/>
        <v>2.8526794810841416E-3</v>
      </c>
      <c r="O95" s="77">
        <v>34.369999999999997</v>
      </c>
      <c r="P95" s="11">
        <f t="shared" si="11"/>
        <v>-3.1012122920778151E-2</v>
      </c>
      <c r="R95" s="77">
        <v>90.05</v>
      </c>
      <c r="S95" s="11">
        <f t="shared" si="12"/>
        <v>-1.2934341773539471E-2</v>
      </c>
      <c r="U95" s="77">
        <v>3.6606999999999998</v>
      </c>
      <c r="V95" s="11">
        <f t="shared" si="13"/>
        <v>3.2142555051174249E-2</v>
      </c>
      <c r="X95" s="72"/>
    </row>
    <row r="96" spans="2:24" x14ac:dyDescent="0.3">
      <c r="B96" s="72">
        <v>44087</v>
      </c>
      <c r="C96" s="16">
        <v>12833.6</v>
      </c>
      <c r="D96" s="11">
        <f t="shared" si="7"/>
        <v>4.7443826822204382E-3</v>
      </c>
      <c r="F96" s="77">
        <v>51</v>
      </c>
      <c r="G96" s="11">
        <f t="shared" si="8"/>
        <v>2.3069207622868682E-2</v>
      </c>
      <c r="I96" s="77">
        <v>320.11</v>
      </c>
      <c r="J96" s="11">
        <f t="shared" si="9"/>
        <v>-9.3460836195957686E-3</v>
      </c>
      <c r="L96" s="77">
        <v>148.82</v>
      </c>
      <c r="M96" s="11">
        <f t="shared" si="10"/>
        <v>7.9241449373517181E-3</v>
      </c>
      <c r="O96" s="77">
        <v>33.21</v>
      </c>
      <c r="P96" s="11">
        <f t="shared" si="11"/>
        <v>-3.3750363689263763E-2</v>
      </c>
      <c r="R96" s="77">
        <v>88.02</v>
      </c>
      <c r="S96" s="11">
        <f t="shared" si="12"/>
        <v>-2.2543031649083889E-2</v>
      </c>
      <c r="U96" s="77">
        <v>3.6002000000000001</v>
      </c>
      <c r="V96" s="11">
        <f t="shared" si="13"/>
        <v>-1.6526893763487815E-2</v>
      </c>
      <c r="X96" s="72"/>
    </row>
    <row r="97" spans="2:24" x14ac:dyDescent="0.3">
      <c r="B97" s="72">
        <v>44094</v>
      </c>
      <c r="C97" s="16">
        <v>12485.4</v>
      </c>
      <c r="D97" s="11">
        <f t="shared" si="7"/>
        <v>-2.71319037526494E-2</v>
      </c>
      <c r="F97" s="77">
        <v>52.29</v>
      </c>
      <c r="G97" s="11">
        <f t="shared" si="8"/>
        <v>2.5294117647058911E-2</v>
      </c>
      <c r="I97" s="77">
        <v>326.41000000000003</v>
      </c>
      <c r="J97" s="11">
        <f t="shared" si="9"/>
        <v>1.9680734747430595E-2</v>
      </c>
      <c r="L97" s="77">
        <v>154.35</v>
      </c>
      <c r="M97" s="11">
        <f t="shared" si="10"/>
        <v>3.715898400752593E-2</v>
      </c>
      <c r="O97" s="77">
        <v>33.53</v>
      </c>
      <c r="P97" s="11">
        <f t="shared" si="11"/>
        <v>9.6356519120746054E-3</v>
      </c>
      <c r="R97" s="77">
        <v>89.42</v>
      </c>
      <c r="S97" s="11">
        <f t="shared" si="12"/>
        <v>1.590547602817538E-2</v>
      </c>
      <c r="U97" s="77">
        <v>3.3946999999999998</v>
      </c>
      <c r="V97" s="11">
        <f t="shared" si="13"/>
        <v>-5.7080162213210439E-2</v>
      </c>
      <c r="X97" s="72"/>
    </row>
    <row r="98" spans="2:24" x14ac:dyDescent="0.3">
      <c r="B98" s="72">
        <v>44101</v>
      </c>
      <c r="C98" s="16">
        <v>12749.8</v>
      </c>
      <c r="D98" s="11">
        <f t="shared" si="7"/>
        <v>2.1176734425809363E-2</v>
      </c>
      <c r="F98" s="77">
        <v>52.36</v>
      </c>
      <c r="G98" s="11">
        <f t="shared" si="8"/>
        <v>1.3386880856760541E-3</v>
      </c>
      <c r="I98" s="77">
        <v>338.26</v>
      </c>
      <c r="J98" s="11">
        <f t="shared" si="9"/>
        <v>3.6304034802855156E-2</v>
      </c>
      <c r="L98" s="77">
        <v>159.1</v>
      </c>
      <c r="M98" s="11">
        <f t="shared" si="10"/>
        <v>3.0774214447683912E-2</v>
      </c>
      <c r="O98" s="77">
        <v>34.07</v>
      </c>
      <c r="P98" s="11">
        <f t="shared" si="11"/>
        <v>1.6104980614375153E-2</v>
      </c>
      <c r="R98" s="77">
        <v>90.76</v>
      </c>
      <c r="S98" s="11">
        <f t="shared" si="12"/>
        <v>1.4985461865354655E-2</v>
      </c>
      <c r="U98" s="77">
        <v>3.3693</v>
      </c>
      <c r="V98" s="11">
        <f t="shared" si="13"/>
        <v>-7.4822517453677628E-3</v>
      </c>
      <c r="X98" s="72"/>
    </row>
    <row r="99" spans="2:24" x14ac:dyDescent="0.3">
      <c r="B99" s="72">
        <v>44108</v>
      </c>
      <c r="C99" s="16">
        <v>13252.6</v>
      </c>
      <c r="D99" s="11">
        <f t="shared" si="7"/>
        <v>3.9435912720199529E-2</v>
      </c>
      <c r="F99" s="77">
        <v>52.47</v>
      </c>
      <c r="G99" s="11">
        <f t="shared" si="8"/>
        <v>2.1008403361344463E-3</v>
      </c>
      <c r="I99" s="77">
        <v>352.02</v>
      </c>
      <c r="J99" s="11">
        <f t="shared" si="9"/>
        <v>4.06787678117424E-2</v>
      </c>
      <c r="L99" s="77">
        <v>163.71</v>
      </c>
      <c r="M99" s="11">
        <f t="shared" si="10"/>
        <v>2.8975487115022069E-2</v>
      </c>
      <c r="O99" s="77">
        <v>34.450000000000003</v>
      </c>
      <c r="P99" s="11">
        <f t="shared" si="11"/>
        <v>1.1153507484590541E-2</v>
      </c>
      <c r="R99" s="77">
        <v>93.64</v>
      </c>
      <c r="S99" s="11">
        <f t="shared" si="12"/>
        <v>3.1732040546496254E-2</v>
      </c>
      <c r="U99" s="77">
        <v>3.5588000000000002</v>
      </c>
      <c r="V99" s="11">
        <f t="shared" si="13"/>
        <v>5.6243136556554774E-2</v>
      </c>
      <c r="X99" s="72"/>
    </row>
    <row r="100" spans="2:24" x14ac:dyDescent="0.3">
      <c r="B100" s="72">
        <v>44115</v>
      </c>
      <c r="C100" s="16">
        <v>13169.3</v>
      </c>
      <c r="D100" s="11">
        <f t="shared" si="7"/>
        <v>-6.2855590601090805E-3</v>
      </c>
      <c r="F100" s="77">
        <v>50.34</v>
      </c>
      <c r="G100" s="11">
        <f t="shared" si="8"/>
        <v>-4.0594625500285808E-2</v>
      </c>
      <c r="I100" s="77">
        <v>363.53</v>
      </c>
      <c r="J100" s="11">
        <f t="shared" si="9"/>
        <v>3.2697005851940242E-2</v>
      </c>
      <c r="L100" s="77">
        <v>164.92</v>
      </c>
      <c r="M100" s="11">
        <f t="shared" si="10"/>
        <v>7.3911184411457054E-3</v>
      </c>
      <c r="O100" s="77">
        <v>34.07</v>
      </c>
      <c r="P100" s="11">
        <f t="shared" si="11"/>
        <v>-1.1030478955007306E-2</v>
      </c>
      <c r="R100" s="77">
        <v>95.56</v>
      </c>
      <c r="S100" s="11">
        <f t="shared" si="12"/>
        <v>2.0504058094831246E-2</v>
      </c>
      <c r="U100" s="77">
        <v>3.4453</v>
      </c>
      <c r="V100" s="11">
        <f t="shared" si="13"/>
        <v>-3.1892772844779205E-2</v>
      </c>
      <c r="X100" s="72"/>
    </row>
    <row r="101" spans="2:24" x14ac:dyDescent="0.3">
      <c r="B101" s="72">
        <v>44122</v>
      </c>
      <c r="C101" s="16">
        <v>13199.9</v>
      </c>
      <c r="D101" s="11">
        <f t="shared" si="7"/>
        <v>2.3235859157282324E-3</v>
      </c>
      <c r="F101" s="77">
        <v>47.82</v>
      </c>
      <c r="G101" s="11">
        <f t="shared" si="8"/>
        <v>-5.0059594755661574E-2</v>
      </c>
      <c r="I101" s="77">
        <v>356.92</v>
      </c>
      <c r="J101" s="11">
        <f t="shared" si="9"/>
        <v>-1.8182818474403617E-2</v>
      </c>
      <c r="L101" s="77">
        <v>160.22999999999999</v>
      </c>
      <c r="M101" s="11">
        <f t="shared" si="10"/>
        <v>-2.843803056027161E-2</v>
      </c>
      <c r="O101" s="77">
        <v>32.76</v>
      </c>
      <c r="P101" s="11">
        <f t="shared" si="11"/>
        <v>-3.8450249486351673E-2</v>
      </c>
      <c r="R101" s="77">
        <v>95.47</v>
      </c>
      <c r="S101" s="11">
        <f t="shared" si="12"/>
        <v>-9.4181665969028661E-4</v>
      </c>
      <c r="U101" s="77">
        <v>3.4702000000000002</v>
      </c>
      <c r="V101" s="11">
        <f t="shared" si="13"/>
        <v>7.2272371056221196E-3</v>
      </c>
      <c r="X101" s="72"/>
    </row>
    <row r="102" spans="2:24" x14ac:dyDescent="0.3">
      <c r="B102" s="72">
        <v>44129</v>
      </c>
      <c r="C102" s="16">
        <v>12429.3</v>
      </c>
      <c r="D102" s="11">
        <f t="shared" si="7"/>
        <v>-5.8379230145682914E-2</v>
      </c>
      <c r="F102" s="77">
        <v>48.48</v>
      </c>
      <c r="G102" s="11">
        <f t="shared" si="8"/>
        <v>1.3801756587201952E-2</v>
      </c>
      <c r="I102" s="77">
        <v>340.74</v>
      </c>
      <c r="J102" s="11">
        <f t="shared" si="9"/>
        <v>-4.5332287347304767E-2</v>
      </c>
      <c r="L102" s="77">
        <v>152.22</v>
      </c>
      <c r="M102" s="11">
        <f t="shared" si="10"/>
        <v>-4.999063845721774E-2</v>
      </c>
      <c r="O102" s="77">
        <v>32.21</v>
      </c>
      <c r="P102" s="11">
        <f t="shared" si="11"/>
        <v>-1.6788766788766729E-2</v>
      </c>
      <c r="R102" s="77">
        <v>90.32</v>
      </c>
      <c r="S102" s="11">
        <f t="shared" si="12"/>
        <v>-5.3943647219021784E-2</v>
      </c>
      <c r="U102" s="77">
        <v>3.3567</v>
      </c>
      <c r="V102" s="11">
        <f t="shared" si="13"/>
        <v>-3.2707048585095988E-2</v>
      </c>
      <c r="X102" s="72"/>
    </row>
    <row r="103" spans="2:24" x14ac:dyDescent="0.3">
      <c r="B103" s="72">
        <v>44136</v>
      </c>
      <c r="C103" s="16">
        <v>13218.7</v>
      </c>
      <c r="D103" s="11">
        <f t="shared" si="7"/>
        <v>6.3511219457250245E-2</v>
      </c>
      <c r="F103" s="77">
        <v>47.36</v>
      </c>
      <c r="G103" s="11">
        <f t="shared" si="8"/>
        <v>-2.3102310231023049E-2</v>
      </c>
      <c r="I103" s="77">
        <v>367.46</v>
      </c>
      <c r="J103" s="11">
        <f t="shared" si="9"/>
        <v>7.8417561777308187E-2</v>
      </c>
      <c r="L103" s="77">
        <v>161.5</v>
      </c>
      <c r="M103" s="11">
        <f t="shared" si="10"/>
        <v>6.0964393640783099E-2</v>
      </c>
      <c r="O103" s="77">
        <v>33.17</v>
      </c>
      <c r="P103" s="11">
        <f t="shared" si="11"/>
        <v>2.9804408568767427E-2</v>
      </c>
      <c r="R103" s="77">
        <v>95.53</v>
      </c>
      <c r="S103" s="11">
        <f t="shared" si="12"/>
        <v>5.7683790965456172E-2</v>
      </c>
      <c r="U103" s="77">
        <v>3.6191</v>
      </c>
      <c r="V103" s="11">
        <f t="shared" si="13"/>
        <v>7.8172014180593941E-2</v>
      </c>
      <c r="X103" s="72"/>
    </row>
    <row r="104" spans="2:24" x14ac:dyDescent="0.3">
      <c r="B104" s="72">
        <v>44143</v>
      </c>
      <c r="C104" s="16">
        <v>13761.3</v>
      </c>
      <c r="D104" s="11">
        <f t="shared" si="7"/>
        <v>4.1047909401075611E-2</v>
      </c>
      <c r="F104" s="77">
        <v>47.61</v>
      </c>
      <c r="G104" s="11">
        <f t="shared" si="8"/>
        <v>5.2787162162162282E-3</v>
      </c>
      <c r="I104" s="77">
        <v>360.96</v>
      </c>
      <c r="J104" s="11">
        <f t="shared" si="9"/>
        <v>-1.768900016328312E-2</v>
      </c>
      <c r="L104" s="77">
        <v>162.88</v>
      </c>
      <c r="M104" s="11">
        <f t="shared" si="10"/>
        <v>8.544891640866803E-3</v>
      </c>
      <c r="O104" s="77">
        <v>32.14</v>
      </c>
      <c r="P104" s="11">
        <f t="shared" si="11"/>
        <v>-3.1052155562255046E-2</v>
      </c>
      <c r="R104" s="77">
        <v>94.95</v>
      </c>
      <c r="S104" s="11">
        <f t="shared" si="12"/>
        <v>-6.0713911860148517E-3</v>
      </c>
      <c r="U104" s="77">
        <v>3.8298000000000001</v>
      </c>
      <c r="V104" s="11">
        <f t="shared" si="13"/>
        <v>5.8218894200215532E-2</v>
      </c>
      <c r="X104" s="72"/>
    </row>
    <row r="105" spans="2:24" x14ac:dyDescent="0.3">
      <c r="B105" s="72">
        <v>44150</v>
      </c>
      <c r="C105" s="16">
        <v>13827</v>
      </c>
      <c r="D105" s="11">
        <f t="shared" si="7"/>
        <v>4.7742582459506799E-3</v>
      </c>
      <c r="F105" s="77">
        <v>45.46</v>
      </c>
      <c r="G105" s="11">
        <f t="shared" si="8"/>
        <v>-4.5158580130224668E-2</v>
      </c>
      <c r="I105" s="77">
        <v>363.13</v>
      </c>
      <c r="J105" s="11">
        <f t="shared" si="9"/>
        <v>6.0117464539006793E-3</v>
      </c>
      <c r="L105" s="77">
        <v>172.31</v>
      </c>
      <c r="M105" s="11">
        <f t="shared" si="10"/>
        <v>5.7895383104125786E-2</v>
      </c>
      <c r="O105" s="77">
        <v>32.44</v>
      </c>
      <c r="P105" s="11">
        <f t="shared" si="11"/>
        <v>9.3341630367143047E-3</v>
      </c>
      <c r="R105" s="77">
        <v>94.97</v>
      </c>
      <c r="S105" s="11">
        <f t="shared" si="12"/>
        <v>2.106371774617255E-4</v>
      </c>
      <c r="U105" s="77">
        <v>3.99</v>
      </c>
      <c r="V105" s="11">
        <f t="shared" si="13"/>
        <v>4.1829860567131449E-2</v>
      </c>
      <c r="X105" s="72"/>
    </row>
    <row r="106" spans="2:24" x14ac:dyDescent="0.3">
      <c r="B106" s="72">
        <v>44157</v>
      </c>
      <c r="C106" s="16">
        <v>14198.5</v>
      </c>
      <c r="D106" s="11">
        <f t="shared" si="7"/>
        <v>2.6867722571779939E-2</v>
      </c>
      <c r="F106" s="77">
        <v>46</v>
      </c>
      <c r="G106" s="11">
        <f t="shared" si="8"/>
        <v>1.1878574571051459E-2</v>
      </c>
      <c r="I106" s="77">
        <v>370.06</v>
      </c>
      <c r="J106" s="11">
        <f t="shared" si="9"/>
        <v>1.908407457384409E-2</v>
      </c>
      <c r="L106" s="77">
        <v>179.77</v>
      </c>
      <c r="M106" s="11">
        <f t="shared" si="10"/>
        <v>4.3294063025941742E-2</v>
      </c>
      <c r="O106" s="77">
        <v>32.43</v>
      </c>
      <c r="P106" s="11">
        <f t="shared" si="11"/>
        <v>-3.0826140567197235E-4</v>
      </c>
      <c r="R106" s="77">
        <v>109.9</v>
      </c>
      <c r="S106" s="11">
        <f t="shared" si="12"/>
        <v>0.15720753922291264</v>
      </c>
      <c r="U106" s="77">
        <v>3.8887</v>
      </c>
      <c r="V106" s="11">
        <f t="shared" si="13"/>
        <v>-2.5388471177944849E-2</v>
      </c>
      <c r="X106" s="72"/>
    </row>
    <row r="107" spans="2:24" x14ac:dyDescent="0.3">
      <c r="B107" s="72">
        <v>44164</v>
      </c>
      <c r="C107" s="16">
        <v>14417.3</v>
      </c>
      <c r="D107" s="11">
        <f t="shared" si="7"/>
        <v>1.5410078529422E-2</v>
      </c>
      <c r="F107" s="77">
        <v>45.11</v>
      </c>
      <c r="G107" s="11">
        <f t="shared" si="8"/>
        <v>-1.934782608695651E-2</v>
      </c>
      <c r="I107" s="77">
        <v>365.13</v>
      </c>
      <c r="J107" s="11">
        <f t="shared" si="9"/>
        <v>-1.3322163973409684E-2</v>
      </c>
      <c r="L107" s="77">
        <v>175.03</v>
      </c>
      <c r="M107" s="11">
        <f t="shared" si="10"/>
        <v>-2.6367024531345651E-2</v>
      </c>
      <c r="O107" s="77">
        <v>30.58</v>
      </c>
      <c r="P107" s="11">
        <f t="shared" si="11"/>
        <v>-5.7045945112550123E-2</v>
      </c>
      <c r="R107" s="77">
        <v>112.51</v>
      </c>
      <c r="S107" s="11">
        <f t="shared" si="12"/>
        <v>2.3748862602365861E-2</v>
      </c>
      <c r="U107" s="77">
        <v>3.8014999999999999</v>
      </c>
      <c r="V107" s="11">
        <f t="shared" si="13"/>
        <v>-2.2423946305963449E-2</v>
      </c>
      <c r="X107" s="72"/>
    </row>
    <row r="108" spans="2:24" x14ac:dyDescent="0.3">
      <c r="B108" s="72">
        <v>44171</v>
      </c>
      <c r="C108" s="16">
        <v>14355.3</v>
      </c>
      <c r="D108" s="11">
        <f t="shared" si="7"/>
        <v>-4.3003891158538421E-3</v>
      </c>
      <c r="F108" s="77">
        <v>46.44</v>
      </c>
      <c r="G108" s="11">
        <f t="shared" si="8"/>
        <v>2.9483484814896821E-2</v>
      </c>
      <c r="I108" s="77">
        <v>366.76</v>
      </c>
      <c r="J108" s="11">
        <f t="shared" si="9"/>
        <v>4.4641634486346504E-3</v>
      </c>
      <c r="L108" s="77">
        <v>171.71</v>
      </c>
      <c r="M108" s="11">
        <f t="shared" si="10"/>
        <v>-1.8968176883962684E-2</v>
      </c>
      <c r="O108" s="77">
        <v>31.34</v>
      </c>
      <c r="P108" s="11">
        <f t="shared" si="11"/>
        <v>2.4852844996730017E-2</v>
      </c>
      <c r="R108" s="77">
        <v>106.55</v>
      </c>
      <c r="S108" s="11">
        <f t="shared" si="12"/>
        <v>-5.2973069060528011E-2</v>
      </c>
      <c r="U108" s="77">
        <v>3.6844999999999999</v>
      </c>
      <c r="V108" s="11">
        <f t="shared" si="13"/>
        <v>-3.0777324740234091E-2</v>
      </c>
      <c r="X108" s="72"/>
    </row>
    <row r="109" spans="2:24" x14ac:dyDescent="0.3">
      <c r="B109" s="72">
        <v>44178</v>
      </c>
      <c r="C109" s="16">
        <v>14467.8</v>
      </c>
      <c r="D109" s="11">
        <f t="shared" si="7"/>
        <v>7.836826816576492E-3</v>
      </c>
      <c r="F109" s="77">
        <v>45.84</v>
      </c>
      <c r="G109" s="11">
        <f t="shared" si="8"/>
        <v>-1.2919896640826711E-2</v>
      </c>
      <c r="I109" s="77">
        <v>358.84</v>
      </c>
      <c r="J109" s="11">
        <f t="shared" si="9"/>
        <v>-2.1594503217362893E-2</v>
      </c>
      <c r="L109" s="77">
        <v>170.42</v>
      </c>
      <c r="M109" s="11">
        <f t="shared" si="10"/>
        <v>-7.5126667054918883E-3</v>
      </c>
      <c r="O109" s="77">
        <v>30.87</v>
      </c>
      <c r="P109" s="11">
        <f t="shared" si="11"/>
        <v>-1.4996809189534055E-2</v>
      </c>
      <c r="R109" s="77">
        <v>111.88</v>
      </c>
      <c r="S109" s="11">
        <f t="shared" si="12"/>
        <v>5.0023463162834236E-2</v>
      </c>
      <c r="U109" s="77">
        <v>3.8633000000000002</v>
      </c>
      <c r="V109" s="11">
        <f t="shared" si="13"/>
        <v>4.8527615687338876E-2</v>
      </c>
      <c r="X109" s="72"/>
    </row>
    <row r="110" spans="2:24" x14ac:dyDescent="0.3">
      <c r="B110" s="72">
        <v>44185</v>
      </c>
      <c r="C110" s="16">
        <v>14382.5</v>
      </c>
      <c r="D110" s="11">
        <f t="shared" si="7"/>
        <v>-5.8958514770731663E-3</v>
      </c>
      <c r="F110" s="77">
        <v>46.73</v>
      </c>
      <c r="G110" s="11">
        <f t="shared" si="8"/>
        <v>1.9415357766142893E-2</v>
      </c>
      <c r="I110" s="77">
        <v>356.47</v>
      </c>
      <c r="J110" s="11">
        <f t="shared" si="9"/>
        <v>-6.6046148701369711E-3</v>
      </c>
      <c r="L110" s="77">
        <v>175.19</v>
      </c>
      <c r="M110" s="11">
        <f t="shared" si="10"/>
        <v>2.7989672573641711E-2</v>
      </c>
      <c r="O110" s="77">
        <v>31.53</v>
      </c>
      <c r="P110" s="11">
        <f t="shared" si="11"/>
        <v>2.1379980563654088E-2</v>
      </c>
      <c r="R110" s="77">
        <v>109.03</v>
      </c>
      <c r="S110" s="11">
        <f t="shared" si="12"/>
        <v>-2.5473721844833652E-2</v>
      </c>
      <c r="U110" s="77">
        <v>3.8633000000000002</v>
      </c>
      <c r="V110" s="11">
        <f t="shared" si="13"/>
        <v>0</v>
      </c>
      <c r="X110" s="72"/>
    </row>
    <row r="111" spans="2:24" x14ac:dyDescent="0.3">
      <c r="B111" s="72">
        <v>44192</v>
      </c>
      <c r="C111" s="16">
        <v>14524.8</v>
      </c>
      <c r="D111" s="11">
        <f t="shared" si="7"/>
        <v>9.8939683643315401E-3</v>
      </c>
      <c r="F111" s="77">
        <v>48.35</v>
      </c>
      <c r="G111" s="11">
        <f t="shared" si="8"/>
        <v>3.4667237320779032E-2</v>
      </c>
      <c r="I111" s="77">
        <v>368.4</v>
      </c>
      <c r="J111" s="11">
        <f t="shared" si="9"/>
        <v>3.3467051925828217E-2</v>
      </c>
      <c r="L111" s="77">
        <v>176.53</v>
      </c>
      <c r="M111" s="11">
        <f t="shared" si="10"/>
        <v>7.648838404018532E-3</v>
      </c>
      <c r="O111" s="77">
        <v>31.76</v>
      </c>
      <c r="P111" s="11">
        <f t="shared" si="11"/>
        <v>7.2946400253726118E-3</v>
      </c>
      <c r="R111" s="77">
        <v>108.04</v>
      </c>
      <c r="S111" s="11">
        <f t="shared" si="12"/>
        <v>-9.0800697055856139E-3</v>
      </c>
      <c r="U111" s="77">
        <v>3.9178000000000002</v>
      </c>
      <c r="V111" s="11">
        <f t="shared" si="13"/>
        <v>1.4107110501384801E-2</v>
      </c>
      <c r="X111" s="72"/>
    </row>
    <row r="112" spans="2:24" x14ac:dyDescent="0.3">
      <c r="B112" s="72">
        <v>44199</v>
      </c>
      <c r="C112" s="16">
        <v>14966.8</v>
      </c>
      <c r="D112" s="11">
        <f t="shared" si="7"/>
        <v>3.0430711610486938E-2</v>
      </c>
      <c r="F112" s="77">
        <v>48.3</v>
      </c>
      <c r="G112" s="11">
        <f t="shared" si="8"/>
        <v>-1.0341261633920462E-3</v>
      </c>
      <c r="I112" s="77">
        <v>361.71</v>
      </c>
      <c r="J112" s="11">
        <f t="shared" si="9"/>
        <v>-1.815960912052117E-2</v>
      </c>
      <c r="L112" s="77">
        <v>193.6</v>
      </c>
      <c r="M112" s="11">
        <f t="shared" si="10"/>
        <v>9.669744519345147E-2</v>
      </c>
      <c r="O112" s="77">
        <v>31.63</v>
      </c>
      <c r="P112" s="11">
        <f t="shared" si="11"/>
        <v>-4.0931989924434253E-3</v>
      </c>
      <c r="R112" s="77">
        <v>112.97</v>
      </c>
      <c r="S112" s="11">
        <f t="shared" si="12"/>
        <v>4.5631247686042098E-2</v>
      </c>
      <c r="U112" s="77">
        <v>4.1677999999999997</v>
      </c>
      <c r="V112" s="11">
        <f t="shared" si="13"/>
        <v>6.381132268109635E-2</v>
      </c>
      <c r="X112" s="72"/>
    </row>
    <row r="113" spans="2:24" x14ac:dyDescent="0.3">
      <c r="B113" s="72">
        <v>44206</v>
      </c>
      <c r="C113" s="16">
        <v>14894.2</v>
      </c>
      <c r="D113" s="11">
        <f t="shared" si="7"/>
        <v>-4.8507362963358114E-3</v>
      </c>
      <c r="F113" s="77">
        <v>48.23</v>
      </c>
      <c r="G113" s="11">
        <f t="shared" si="8"/>
        <v>-1.4492753623188692E-3</v>
      </c>
      <c r="I113" s="77">
        <v>354.11</v>
      </c>
      <c r="J113" s="11">
        <f t="shared" si="9"/>
        <v>-2.1011307400956469E-2</v>
      </c>
      <c r="L113" s="77">
        <v>194.8</v>
      </c>
      <c r="M113" s="11">
        <f t="shared" si="10"/>
        <v>6.1983471074380514E-3</v>
      </c>
      <c r="O113" s="77">
        <v>33.700000000000003</v>
      </c>
      <c r="P113" s="11">
        <f t="shared" si="11"/>
        <v>6.5444198545684618E-2</v>
      </c>
      <c r="R113" s="77">
        <v>108.34</v>
      </c>
      <c r="S113" s="11">
        <f t="shared" si="12"/>
        <v>-4.0984332123572553E-2</v>
      </c>
      <c r="U113" s="77">
        <v>4.1547000000000001</v>
      </c>
      <c r="V113" s="11">
        <f t="shared" si="13"/>
        <v>-3.1431450645423853E-3</v>
      </c>
      <c r="X113" s="72"/>
    </row>
    <row r="114" spans="2:24" x14ac:dyDescent="0.3">
      <c r="B114" s="72">
        <v>44213</v>
      </c>
      <c r="C114" s="16">
        <v>14951.8</v>
      </c>
      <c r="D114" s="11">
        <f t="shared" si="7"/>
        <v>3.8672771951497875E-3</v>
      </c>
      <c r="F114" s="77">
        <v>46.5</v>
      </c>
      <c r="G114" s="11">
        <f t="shared" si="8"/>
        <v>-3.5869790586771644E-2</v>
      </c>
      <c r="I114" s="77">
        <v>354.24</v>
      </c>
      <c r="J114" s="11">
        <f t="shared" si="9"/>
        <v>3.6711756233942516E-4</v>
      </c>
      <c r="L114" s="77">
        <v>191.91</v>
      </c>
      <c r="M114" s="11">
        <f t="shared" si="10"/>
        <v>-1.4835728952772187E-2</v>
      </c>
      <c r="O114" s="77">
        <v>33.56</v>
      </c>
      <c r="P114" s="11">
        <f t="shared" si="11"/>
        <v>-4.1543026706231112E-3</v>
      </c>
      <c r="R114" s="77">
        <v>107.88</v>
      </c>
      <c r="S114" s="11">
        <f t="shared" si="12"/>
        <v>-4.2458925604579312E-3</v>
      </c>
      <c r="U114" s="77">
        <v>4.1420000000000003</v>
      </c>
      <c r="V114" s="11">
        <f t="shared" si="13"/>
        <v>-3.0567790694875363E-3</v>
      </c>
      <c r="X114" s="72"/>
    </row>
    <row r="115" spans="2:24" x14ac:dyDescent="0.3">
      <c r="B115" s="72">
        <v>44220</v>
      </c>
      <c r="C115" s="16">
        <v>14397.2</v>
      </c>
      <c r="D115" s="11">
        <f t="shared" si="7"/>
        <v>-3.7092523977046099E-2</v>
      </c>
      <c r="F115" s="77">
        <v>46.25</v>
      </c>
      <c r="G115" s="11">
        <f t="shared" si="8"/>
        <v>-5.3763440860215006E-3</v>
      </c>
      <c r="I115" s="77">
        <v>344.59</v>
      </c>
      <c r="J115" s="11">
        <f t="shared" si="9"/>
        <v>-2.7241418247515914E-2</v>
      </c>
      <c r="L115" s="77">
        <v>181.17</v>
      </c>
      <c r="M115" s="11">
        <f t="shared" si="10"/>
        <v>-5.5963732999843696E-2</v>
      </c>
      <c r="O115" s="77">
        <v>34.5</v>
      </c>
      <c r="P115" s="11">
        <f t="shared" si="11"/>
        <v>2.8009535160905763E-2</v>
      </c>
      <c r="R115" s="77">
        <v>101.66</v>
      </c>
      <c r="S115" s="11">
        <f t="shared" si="12"/>
        <v>-5.76566555431961E-2</v>
      </c>
      <c r="U115" s="77">
        <v>4.2053000000000003</v>
      </c>
      <c r="V115" s="11">
        <f t="shared" si="13"/>
        <v>1.5282472235634836E-2</v>
      </c>
      <c r="X115" s="72"/>
    </row>
    <row r="116" spans="2:24" x14ac:dyDescent="0.3">
      <c r="B116" s="72">
        <v>44227</v>
      </c>
      <c r="C116" s="16">
        <v>15069.6</v>
      </c>
      <c r="D116" s="11">
        <f t="shared" si="7"/>
        <v>4.6703525685549918E-2</v>
      </c>
      <c r="F116" s="77">
        <v>47.01</v>
      </c>
      <c r="G116" s="11">
        <f t="shared" si="8"/>
        <v>1.6432432432432309E-2</v>
      </c>
      <c r="I116" s="77">
        <v>347.27</v>
      </c>
      <c r="J116" s="11">
        <f t="shared" si="9"/>
        <v>7.7773586000755568E-3</v>
      </c>
      <c r="L116" s="77">
        <v>188.86</v>
      </c>
      <c r="M116" s="11">
        <f t="shared" si="10"/>
        <v>4.244632113484581E-2</v>
      </c>
      <c r="O116" s="77">
        <v>33.15</v>
      </c>
      <c r="P116" s="11">
        <f t="shared" si="11"/>
        <v>-3.9130434782608692E-2</v>
      </c>
      <c r="R116" s="77">
        <v>105.64</v>
      </c>
      <c r="S116" s="11">
        <f t="shared" si="12"/>
        <v>3.9150108203816592E-2</v>
      </c>
      <c r="U116" s="77">
        <v>4.18</v>
      </c>
      <c r="V116" s="11">
        <f t="shared" si="13"/>
        <v>-6.0162176301334913E-3</v>
      </c>
      <c r="X116" s="72"/>
    </row>
    <row r="117" spans="2:24" x14ac:dyDescent="0.3">
      <c r="B117" s="72">
        <v>44234</v>
      </c>
      <c r="C117" s="16">
        <v>15369.6</v>
      </c>
      <c r="D117" s="11">
        <f t="shared" si="7"/>
        <v>1.990762860328088E-2</v>
      </c>
      <c r="F117" s="77">
        <v>45.84</v>
      </c>
      <c r="G117" s="11">
        <f t="shared" si="8"/>
        <v>-2.488832163369481E-2</v>
      </c>
      <c r="I117" s="77">
        <v>344.91</v>
      </c>
      <c r="J117" s="11">
        <f t="shared" si="9"/>
        <v>-6.7958648889911988E-3</v>
      </c>
      <c r="L117" s="77">
        <v>191.43</v>
      </c>
      <c r="M117" s="11">
        <f t="shared" si="10"/>
        <v>1.3607963570898995E-2</v>
      </c>
      <c r="O117" s="77">
        <v>33.950000000000003</v>
      </c>
      <c r="P117" s="11">
        <f t="shared" si="11"/>
        <v>2.4132730015083093E-2</v>
      </c>
      <c r="R117" s="77">
        <v>108.38</v>
      </c>
      <c r="S117" s="11">
        <f t="shared" si="12"/>
        <v>2.5937145020825447E-2</v>
      </c>
      <c r="U117" s="77">
        <v>4.2812999999999999</v>
      </c>
      <c r="V117" s="11">
        <f t="shared" si="13"/>
        <v>2.4234449760765608E-2</v>
      </c>
      <c r="X117" s="72"/>
    </row>
    <row r="118" spans="2:24" x14ac:dyDescent="0.3">
      <c r="B118" s="72">
        <v>44241</v>
      </c>
      <c r="C118" s="16">
        <v>15362.7</v>
      </c>
      <c r="D118" s="11">
        <f t="shared" si="7"/>
        <v>-4.4893816364766082E-4</v>
      </c>
      <c r="F118" s="77">
        <v>48.3</v>
      </c>
      <c r="G118" s="11">
        <f t="shared" si="8"/>
        <v>5.3664921465968352E-2</v>
      </c>
      <c r="I118" s="77">
        <v>346.88</v>
      </c>
      <c r="J118" s="11">
        <f t="shared" si="9"/>
        <v>5.7116349192543048E-3</v>
      </c>
      <c r="L118" s="77">
        <v>188.82</v>
      </c>
      <c r="M118" s="11">
        <f t="shared" si="10"/>
        <v>-1.3634226610249267E-2</v>
      </c>
      <c r="O118" s="77">
        <v>34.020000000000003</v>
      </c>
      <c r="P118" s="11">
        <f t="shared" si="11"/>
        <v>2.0618556701030855E-3</v>
      </c>
      <c r="R118" s="77">
        <v>107.9</v>
      </c>
      <c r="S118" s="11">
        <f t="shared" si="12"/>
        <v>-4.4288614135448157E-3</v>
      </c>
      <c r="U118" s="77">
        <v>3.13</v>
      </c>
      <c r="V118" s="11">
        <f t="shared" si="13"/>
        <v>-0.2689136477238222</v>
      </c>
      <c r="X118" s="72"/>
    </row>
    <row r="119" spans="2:24" x14ac:dyDescent="0.3">
      <c r="B119" s="72">
        <v>44248</v>
      </c>
      <c r="C119" s="16">
        <v>15010.5</v>
      </c>
      <c r="D119" s="11">
        <f t="shared" si="7"/>
        <v>-2.2925657599250138E-2</v>
      </c>
      <c r="F119" s="77">
        <v>47.46</v>
      </c>
      <c r="G119" s="11">
        <f t="shared" si="8"/>
        <v>-1.7391304347825987E-2</v>
      </c>
      <c r="I119" s="77">
        <v>323.64</v>
      </c>
      <c r="J119" s="11">
        <f t="shared" si="9"/>
        <v>-6.6997232472324697E-2</v>
      </c>
      <c r="L119" s="77">
        <v>183.44</v>
      </c>
      <c r="M119" s="11">
        <f t="shared" si="10"/>
        <v>-2.8492744412668136E-2</v>
      </c>
      <c r="O119" s="77">
        <v>32.21</v>
      </c>
      <c r="P119" s="11">
        <f t="shared" si="11"/>
        <v>-5.3203997648442192E-2</v>
      </c>
      <c r="R119" s="77">
        <v>98.2</v>
      </c>
      <c r="S119" s="11">
        <f t="shared" si="12"/>
        <v>-8.9898053753475482E-2</v>
      </c>
      <c r="U119" s="77">
        <v>3.12</v>
      </c>
      <c r="V119" s="11">
        <f t="shared" si="13"/>
        <v>-3.1948881789136685E-3</v>
      </c>
      <c r="X119" s="72"/>
    </row>
    <row r="120" spans="2:24" x14ac:dyDescent="0.3">
      <c r="B120" s="72">
        <v>44255</v>
      </c>
      <c r="C120" s="16">
        <v>15251.8</v>
      </c>
      <c r="D120" s="11">
        <f t="shared" si="7"/>
        <v>1.6075413876952771E-2</v>
      </c>
      <c r="F120" s="77">
        <v>49.25</v>
      </c>
      <c r="G120" s="11">
        <f t="shared" si="8"/>
        <v>3.7715971344289834E-2</v>
      </c>
      <c r="I120" s="77">
        <v>310.26</v>
      </c>
      <c r="J120" s="11">
        <f t="shared" si="9"/>
        <v>-4.134223210975152E-2</v>
      </c>
      <c r="L120" s="77">
        <v>172.61</v>
      </c>
      <c r="M120" s="11">
        <f t="shared" si="10"/>
        <v>-5.9038377671173037E-2</v>
      </c>
      <c r="O120" s="77">
        <v>34.44</v>
      </c>
      <c r="P120" s="11">
        <f t="shared" si="11"/>
        <v>6.9233157404532619E-2</v>
      </c>
      <c r="R120" s="77">
        <v>104.08</v>
      </c>
      <c r="S120" s="11">
        <f t="shared" si="12"/>
        <v>5.9877800407331927E-2</v>
      </c>
      <c r="U120" s="77">
        <v>3.1</v>
      </c>
      <c r="V120" s="11">
        <f t="shared" si="13"/>
        <v>-6.4102564102563875E-3</v>
      </c>
      <c r="X120" s="72"/>
    </row>
    <row r="121" spans="2:24" x14ac:dyDescent="0.3">
      <c r="B121" s="72">
        <v>44262</v>
      </c>
      <c r="C121" s="16">
        <v>15715.2</v>
      </c>
      <c r="D121" s="11">
        <f t="shared" si="7"/>
        <v>3.0383299020443566E-2</v>
      </c>
      <c r="F121" s="77">
        <v>50.08</v>
      </c>
      <c r="G121" s="11">
        <f t="shared" si="8"/>
        <v>1.6852791878172457E-2</v>
      </c>
      <c r="I121" s="77">
        <v>323.77999999999997</v>
      </c>
      <c r="J121" s="11">
        <f t="shared" si="9"/>
        <v>4.3576355314897119E-2</v>
      </c>
      <c r="L121" s="77">
        <v>180.01</v>
      </c>
      <c r="M121" s="11">
        <f t="shared" si="10"/>
        <v>4.2871212560106509E-2</v>
      </c>
      <c r="O121" s="77">
        <v>35.46</v>
      </c>
      <c r="P121" s="11">
        <f t="shared" si="11"/>
        <v>2.9616724738676048E-2</v>
      </c>
      <c r="R121" s="77">
        <v>108.61</v>
      </c>
      <c r="S121" s="11">
        <f t="shared" si="12"/>
        <v>4.3524212144504304E-2</v>
      </c>
      <c r="U121" s="77">
        <v>3.14</v>
      </c>
      <c r="V121" s="11">
        <f t="shared" si="13"/>
        <v>1.2903225806451646E-2</v>
      </c>
      <c r="X121" s="72"/>
    </row>
    <row r="122" spans="2:24" x14ac:dyDescent="0.3">
      <c r="B122" s="72">
        <v>44269</v>
      </c>
      <c r="C122" s="16">
        <v>15562.3</v>
      </c>
      <c r="D122" s="11">
        <f t="shared" si="7"/>
        <v>-9.7294339238445104E-3</v>
      </c>
      <c r="F122" s="77">
        <v>49.81</v>
      </c>
      <c r="G122" s="11">
        <f t="shared" si="8"/>
        <v>-5.3913738019168989E-3</v>
      </c>
      <c r="I122" s="77">
        <v>321.60000000000002</v>
      </c>
      <c r="J122" s="11">
        <f t="shared" si="9"/>
        <v>-6.7329668293284461E-3</v>
      </c>
      <c r="L122" s="77">
        <v>187.55</v>
      </c>
      <c r="M122" s="11">
        <f t="shared" si="10"/>
        <v>4.1886561857674698E-2</v>
      </c>
      <c r="O122" s="77">
        <v>35.4</v>
      </c>
      <c r="P122" s="11">
        <f t="shared" si="11"/>
        <v>-1.6920473773266442E-3</v>
      </c>
      <c r="R122" s="77">
        <v>108.12</v>
      </c>
      <c r="S122" s="11">
        <f t="shared" si="12"/>
        <v>-4.5115551054230041E-3</v>
      </c>
      <c r="U122" s="77">
        <v>3.17</v>
      </c>
      <c r="V122" s="11">
        <f t="shared" si="13"/>
        <v>9.5541401273884219E-3</v>
      </c>
      <c r="X122" s="72"/>
    </row>
    <row r="123" spans="2:24" x14ac:dyDescent="0.3">
      <c r="B123" s="72">
        <v>44276</v>
      </c>
      <c r="C123" s="16">
        <v>15682.5</v>
      </c>
      <c r="D123" s="11">
        <f t="shared" si="7"/>
        <v>7.7237940407266503E-3</v>
      </c>
      <c r="F123" s="77">
        <v>49.45</v>
      </c>
      <c r="G123" s="11">
        <f t="shared" si="8"/>
        <v>-7.2274643645854342E-3</v>
      </c>
      <c r="I123" s="77">
        <v>344.19</v>
      </c>
      <c r="J123" s="11">
        <f t="shared" si="9"/>
        <v>7.0242537313432774E-2</v>
      </c>
      <c r="L123" s="77">
        <v>200.95</v>
      </c>
      <c r="M123" s="11">
        <f t="shared" si="10"/>
        <v>7.1447613969608081E-2</v>
      </c>
      <c r="O123" s="77">
        <v>37.229999999999997</v>
      </c>
      <c r="P123" s="11">
        <f t="shared" si="11"/>
        <v>5.1694915254237195E-2</v>
      </c>
      <c r="R123" s="77">
        <v>114.39</v>
      </c>
      <c r="S123" s="11">
        <f t="shared" si="12"/>
        <v>5.7991120976692567E-2</v>
      </c>
      <c r="U123" s="77">
        <v>3.2</v>
      </c>
      <c r="V123" s="11">
        <f t="shared" si="13"/>
        <v>9.4637223974765039E-3</v>
      </c>
      <c r="X123" s="72"/>
    </row>
    <row r="124" spans="2:24" x14ac:dyDescent="0.3">
      <c r="B124" s="72">
        <v>44283</v>
      </c>
      <c r="C124" s="16">
        <v>15752.2</v>
      </c>
      <c r="D124" s="11">
        <f t="shared" si="7"/>
        <v>4.4444444444444731E-3</v>
      </c>
      <c r="F124" s="77">
        <v>46.85</v>
      </c>
      <c r="G124" s="11">
        <f t="shared" si="8"/>
        <v>-5.257836198179977E-2</v>
      </c>
      <c r="I124" s="77">
        <v>347.05</v>
      </c>
      <c r="J124" s="11">
        <f t="shared" si="9"/>
        <v>8.3093640140621261E-3</v>
      </c>
      <c r="L124" s="77">
        <v>200.72</v>
      </c>
      <c r="M124" s="11">
        <f t="shared" si="10"/>
        <v>-1.1445633242099795E-3</v>
      </c>
      <c r="O124" s="77">
        <v>35.950000000000003</v>
      </c>
      <c r="P124" s="11">
        <f t="shared" si="11"/>
        <v>-3.4380875637926245E-2</v>
      </c>
      <c r="R124" s="77">
        <v>115.93</v>
      </c>
      <c r="S124" s="11">
        <f t="shared" si="12"/>
        <v>1.346271527231413E-2</v>
      </c>
      <c r="U124" s="77">
        <v>3.15</v>
      </c>
      <c r="V124" s="11">
        <f t="shared" si="13"/>
        <v>-1.5625000000000111E-2</v>
      </c>
      <c r="X124" s="72"/>
    </row>
    <row r="125" spans="2:24" x14ac:dyDescent="0.3">
      <c r="B125" s="72">
        <v>44290</v>
      </c>
      <c r="C125" s="16">
        <v>15956.4</v>
      </c>
      <c r="D125" s="11">
        <f t="shared" si="7"/>
        <v>1.2963268622795399E-2</v>
      </c>
      <c r="F125" s="77">
        <v>46.55</v>
      </c>
      <c r="G125" s="11">
        <f t="shared" si="8"/>
        <v>-6.4034151547492923E-3</v>
      </c>
      <c r="I125" s="77">
        <v>355.13</v>
      </c>
      <c r="J125" s="11">
        <f t="shared" si="9"/>
        <v>2.328194784613169E-2</v>
      </c>
      <c r="L125" s="77">
        <v>205.36</v>
      </c>
      <c r="M125" s="11">
        <f t="shared" si="10"/>
        <v>2.3116779593463699E-2</v>
      </c>
      <c r="O125" s="77">
        <v>37.78</v>
      </c>
      <c r="P125" s="11">
        <f t="shared" si="11"/>
        <v>5.0904033379693958E-2</v>
      </c>
      <c r="R125" s="77">
        <v>117.55</v>
      </c>
      <c r="S125" s="11">
        <f t="shared" si="12"/>
        <v>1.3973949797291274E-2</v>
      </c>
      <c r="U125" s="77">
        <v>3.25</v>
      </c>
      <c r="V125" s="11">
        <f t="shared" si="13"/>
        <v>3.1746031746031855E-2</v>
      </c>
      <c r="X125" s="72"/>
    </row>
    <row r="126" spans="2:24" x14ac:dyDescent="0.3">
      <c r="B126" s="72">
        <v>44297</v>
      </c>
      <c r="C126" s="16">
        <v>16186.3</v>
      </c>
      <c r="D126" s="11">
        <f t="shared" si="7"/>
        <v>1.440801183224294E-2</v>
      </c>
      <c r="F126" s="77">
        <v>45.68</v>
      </c>
      <c r="G126" s="11">
        <f t="shared" si="8"/>
        <v>-1.8689581095596042E-2</v>
      </c>
      <c r="I126" s="77">
        <v>362.48</v>
      </c>
      <c r="J126" s="11">
        <f t="shared" si="9"/>
        <v>2.0696646298538734E-2</v>
      </c>
      <c r="L126" s="77">
        <v>208.55</v>
      </c>
      <c r="M126" s="11">
        <f t="shared" si="10"/>
        <v>1.5533696922477525E-2</v>
      </c>
      <c r="O126" s="77">
        <v>37.11</v>
      </c>
      <c r="P126" s="11">
        <f t="shared" si="11"/>
        <v>-1.7734250926416117E-2</v>
      </c>
      <c r="R126" s="77">
        <v>117.36</v>
      </c>
      <c r="S126" s="11">
        <f t="shared" si="12"/>
        <v>-1.6163334751169156E-3</v>
      </c>
      <c r="U126" s="77">
        <v>3.16</v>
      </c>
      <c r="V126" s="11">
        <f t="shared" si="13"/>
        <v>-2.7692307692307683E-2</v>
      </c>
      <c r="X126" s="72"/>
    </row>
    <row r="127" spans="2:24" x14ac:dyDescent="0.3">
      <c r="B127" s="72">
        <v>44304</v>
      </c>
      <c r="C127" s="16">
        <v>16206</v>
      </c>
      <c r="D127" s="11">
        <f t="shared" si="7"/>
        <v>1.2170786405787393E-3</v>
      </c>
      <c r="F127" s="77">
        <v>47.72</v>
      </c>
      <c r="G127" s="11">
        <f t="shared" si="8"/>
        <v>4.4658493870402882E-2</v>
      </c>
      <c r="I127" s="77">
        <v>364.98</v>
      </c>
      <c r="J127" s="11">
        <f t="shared" si="9"/>
        <v>6.8969322445375791E-3</v>
      </c>
      <c r="L127" s="77">
        <v>206.01</v>
      </c>
      <c r="M127" s="11">
        <f t="shared" si="10"/>
        <v>-1.2179333493167244E-2</v>
      </c>
      <c r="O127" s="77">
        <v>37.35</v>
      </c>
      <c r="P127" s="11">
        <f t="shared" si="11"/>
        <v>6.4672594987873477E-3</v>
      </c>
      <c r="R127" s="77">
        <v>115.56</v>
      </c>
      <c r="S127" s="11">
        <f t="shared" si="12"/>
        <v>-1.5337423312883458E-2</v>
      </c>
      <c r="U127" s="77">
        <v>3.13</v>
      </c>
      <c r="V127" s="11">
        <f t="shared" si="13"/>
        <v>-9.493670886076E-3</v>
      </c>
      <c r="X127" s="72"/>
    </row>
    <row r="128" spans="2:24" x14ac:dyDescent="0.3">
      <c r="B128" s="72">
        <v>44311</v>
      </c>
      <c r="C128" s="16">
        <v>16219.3</v>
      </c>
      <c r="D128" s="11">
        <f t="shared" si="7"/>
        <v>8.2068369739607405E-4</v>
      </c>
      <c r="F128" s="77">
        <v>48.24</v>
      </c>
      <c r="G128" s="11">
        <f t="shared" si="8"/>
        <v>1.0896898575021075E-2</v>
      </c>
      <c r="I128" s="77">
        <v>363.82</v>
      </c>
      <c r="J128" s="11">
        <f t="shared" si="9"/>
        <v>-3.1782563428133237E-3</v>
      </c>
      <c r="L128" s="77">
        <v>207.26</v>
      </c>
      <c r="M128" s="11">
        <f t="shared" si="10"/>
        <v>6.0676666181254113E-3</v>
      </c>
      <c r="O128" s="77">
        <v>36.54</v>
      </c>
      <c r="P128" s="11">
        <f t="shared" si="11"/>
        <v>-2.1686746987951921E-2</v>
      </c>
      <c r="R128" s="77">
        <v>114.9</v>
      </c>
      <c r="S128" s="11">
        <f t="shared" si="12"/>
        <v>-5.7113187954309641E-3</v>
      </c>
      <c r="U128" s="77">
        <v>3.1</v>
      </c>
      <c r="V128" s="11">
        <f t="shared" si="13"/>
        <v>-9.5846645367411165E-3</v>
      </c>
      <c r="X128" s="72"/>
    </row>
    <row r="129" spans="2:24" x14ac:dyDescent="0.3">
      <c r="B129" s="72">
        <v>44318</v>
      </c>
      <c r="C129" s="16">
        <v>16590.400000000001</v>
      </c>
      <c r="D129" s="11">
        <f t="shared" si="7"/>
        <v>2.2880148958339896E-2</v>
      </c>
      <c r="F129" s="77">
        <v>48.63</v>
      </c>
      <c r="G129" s="11">
        <f t="shared" si="8"/>
        <v>8.0845771144277823E-3</v>
      </c>
      <c r="I129" s="77">
        <v>375.77</v>
      </c>
      <c r="J129" s="11">
        <f t="shared" si="9"/>
        <v>3.2845912814028821E-2</v>
      </c>
      <c r="L129" s="77">
        <v>214.71</v>
      </c>
      <c r="M129" s="11">
        <f t="shared" si="10"/>
        <v>3.5945189616906292E-2</v>
      </c>
      <c r="O129" s="77">
        <v>37.729999999999997</v>
      </c>
      <c r="P129" s="11">
        <f t="shared" si="11"/>
        <v>3.2567049808428949E-2</v>
      </c>
      <c r="R129" s="77">
        <v>116.25</v>
      </c>
      <c r="S129" s="11">
        <f t="shared" si="12"/>
        <v>1.1749347258485532E-2</v>
      </c>
      <c r="U129" s="77">
        <v>3.18</v>
      </c>
      <c r="V129" s="11">
        <f t="shared" si="13"/>
        <v>2.5806451612903292E-2</v>
      </c>
      <c r="X129" s="72"/>
    </row>
    <row r="130" spans="2:24" x14ac:dyDescent="0.3">
      <c r="B130" s="72">
        <v>44325</v>
      </c>
      <c r="C130" s="16">
        <v>16415.400000000001</v>
      </c>
      <c r="D130" s="11">
        <f t="shared" si="7"/>
        <v>-1.0548268878387446E-2</v>
      </c>
      <c r="F130" s="77">
        <v>49.75</v>
      </c>
      <c r="G130" s="11">
        <f t="shared" si="8"/>
        <v>2.3031050791692209E-2</v>
      </c>
      <c r="I130" s="77">
        <v>375.87</v>
      </c>
      <c r="J130" s="11">
        <f t="shared" si="9"/>
        <v>2.6612023312133637E-4</v>
      </c>
      <c r="L130" s="77">
        <v>211.16</v>
      </c>
      <c r="M130" s="11">
        <f t="shared" si="10"/>
        <v>-1.6533929486283849E-2</v>
      </c>
      <c r="O130" s="77">
        <v>37.200000000000003</v>
      </c>
      <c r="P130" s="11">
        <f t="shared" si="11"/>
        <v>-1.4047177312483283E-2</v>
      </c>
      <c r="R130" s="77">
        <v>111.23</v>
      </c>
      <c r="S130" s="11">
        <f t="shared" si="12"/>
        <v>-4.3182795698924692E-2</v>
      </c>
      <c r="U130" s="77">
        <v>3.25</v>
      </c>
      <c r="V130" s="11">
        <f t="shared" si="13"/>
        <v>2.2012578616352085E-2</v>
      </c>
      <c r="X130" s="72"/>
    </row>
    <row r="131" spans="2:24" x14ac:dyDescent="0.3">
      <c r="B131" s="72">
        <v>44332</v>
      </c>
      <c r="C131" s="16">
        <v>16375</v>
      </c>
      <c r="D131" s="11">
        <f t="shared" si="7"/>
        <v>-2.46110359784113E-3</v>
      </c>
      <c r="F131" s="77">
        <v>48.84</v>
      </c>
      <c r="G131" s="11">
        <f t="shared" si="8"/>
        <v>-1.8291457286432111E-2</v>
      </c>
      <c r="I131" s="77">
        <v>372.25</v>
      </c>
      <c r="J131" s="11">
        <f t="shared" si="9"/>
        <v>-9.6309894378375782E-3</v>
      </c>
      <c r="L131" s="77">
        <v>225.09</v>
      </c>
      <c r="M131" s="11">
        <f t="shared" si="10"/>
        <v>6.5968933510134553E-2</v>
      </c>
      <c r="O131" s="77">
        <v>36.590000000000003</v>
      </c>
      <c r="P131" s="11">
        <f t="shared" si="11"/>
        <v>-1.6397849462365555E-2</v>
      </c>
      <c r="R131" s="77">
        <v>108.58</v>
      </c>
      <c r="S131" s="11">
        <f t="shared" si="12"/>
        <v>-2.3824507776678994E-2</v>
      </c>
      <c r="U131" s="77">
        <v>3.1025</v>
      </c>
      <c r="V131" s="11">
        <f t="shared" si="13"/>
        <v>-4.5384615384615357E-2</v>
      </c>
      <c r="X131" s="72"/>
    </row>
    <row r="132" spans="2:24" x14ac:dyDescent="0.3">
      <c r="B132" s="72">
        <v>44339</v>
      </c>
      <c r="C132" s="16">
        <v>16555.7</v>
      </c>
      <c r="D132" s="11">
        <f t="shared" si="7"/>
        <v>1.1035114503816779E-2</v>
      </c>
      <c r="F132" s="77">
        <v>50.48</v>
      </c>
      <c r="G132" s="11">
        <f t="shared" si="8"/>
        <v>3.3579033579033357E-2</v>
      </c>
      <c r="I132" s="77">
        <v>369.86</v>
      </c>
      <c r="J132" s="11">
        <f t="shared" si="9"/>
        <v>-6.4204163868367692E-3</v>
      </c>
      <c r="L132" s="77">
        <v>226.92</v>
      </c>
      <c r="M132" s="11">
        <f t="shared" si="10"/>
        <v>8.1300813008129413E-3</v>
      </c>
      <c r="O132" s="77">
        <v>36.979999999999997</v>
      </c>
      <c r="P132" s="11">
        <f t="shared" si="11"/>
        <v>1.0658649904345285E-2</v>
      </c>
      <c r="R132" s="77">
        <v>97.5</v>
      </c>
      <c r="S132" s="11">
        <f t="shared" si="12"/>
        <v>-0.10204457542825562</v>
      </c>
      <c r="U132" s="77">
        <v>3.1747000000000001</v>
      </c>
      <c r="V132" s="11">
        <f t="shared" si="13"/>
        <v>2.3271555197421412E-2</v>
      </c>
      <c r="X132" s="72"/>
    </row>
    <row r="133" spans="2:24" x14ac:dyDescent="0.3">
      <c r="B133" s="72">
        <v>44346</v>
      </c>
      <c r="C133" s="16">
        <v>16708.7</v>
      </c>
      <c r="D133" s="11">
        <f t="shared" si="7"/>
        <v>9.2415301074555423E-3</v>
      </c>
      <c r="F133" s="77">
        <v>49.84</v>
      </c>
      <c r="G133" s="11">
        <f t="shared" si="8"/>
        <v>-1.2678288431061668E-2</v>
      </c>
      <c r="I133" s="77">
        <v>378.9</v>
      </c>
      <c r="J133" s="11">
        <f t="shared" si="9"/>
        <v>2.444168063591623E-2</v>
      </c>
      <c r="L133" s="77">
        <v>231.34</v>
      </c>
      <c r="M133" s="11">
        <f t="shared" si="10"/>
        <v>1.9478230213291203E-2</v>
      </c>
      <c r="O133" s="77">
        <v>38.61</v>
      </c>
      <c r="P133" s="11">
        <f t="shared" si="11"/>
        <v>4.4077879935100039E-2</v>
      </c>
      <c r="R133" s="77">
        <v>101.8</v>
      </c>
      <c r="S133" s="11">
        <f t="shared" si="12"/>
        <v>4.4102564102564079E-2</v>
      </c>
      <c r="U133" s="77">
        <v>3.1139999999999999</v>
      </c>
      <c r="V133" s="11">
        <f t="shared" si="13"/>
        <v>-1.9119916842536333E-2</v>
      </c>
      <c r="X133" s="72"/>
    </row>
    <row r="134" spans="2:24" x14ac:dyDescent="0.3">
      <c r="B134" s="72">
        <v>44353</v>
      </c>
      <c r="C134" s="16">
        <v>16694.900000000001</v>
      </c>
      <c r="D134" s="11">
        <f t="shared" si="7"/>
        <v>-8.259170372320046E-4</v>
      </c>
      <c r="F134" s="77">
        <v>48.41</v>
      </c>
      <c r="G134" s="11">
        <f t="shared" si="8"/>
        <v>-2.8691813804173516E-2</v>
      </c>
      <c r="I134" s="77">
        <v>373.34</v>
      </c>
      <c r="J134" s="11">
        <f t="shared" si="9"/>
        <v>-1.4674056479282105E-2</v>
      </c>
      <c r="L134" s="77">
        <v>232.94</v>
      </c>
      <c r="M134" s="11">
        <f t="shared" si="10"/>
        <v>6.916227198063396E-3</v>
      </c>
      <c r="O134" s="77">
        <v>38.71</v>
      </c>
      <c r="P134" s="11">
        <f t="shared" si="11"/>
        <v>2.590002590002527E-3</v>
      </c>
      <c r="R134" s="77">
        <v>101.18</v>
      </c>
      <c r="S134" s="11">
        <f t="shared" si="12"/>
        <v>-6.0903732809429734E-3</v>
      </c>
      <c r="U134" s="77">
        <v>3.24</v>
      </c>
      <c r="V134" s="11">
        <f t="shared" si="13"/>
        <v>4.0462427745664886E-2</v>
      </c>
      <c r="X134" s="72"/>
    </row>
    <row r="135" spans="2:24" x14ac:dyDescent="0.3">
      <c r="B135" s="72">
        <v>44360</v>
      </c>
      <c r="C135" s="16">
        <v>16144</v>
      </c>
      <c r="D135" s="11">
        <f t="shared" si="7"/>
        <v>-3.2998101216539233E-2</v>
      </c>
      <c r="F135" s="77">
        <v>47.52</v>
      </c>
      <c r="G135" s="11">
        <f t="shared" si="8"/>
        <v>-1.8384631274529939E-2</v>
      </c>
      <c r="I135" s="77">
        <v>372.41</v>
      </c>
      <c r="J135" s="11">
        <f t="shared" si="9"/>
        <v>-2.4910269459472723E-3</v>
      </c>
      <c r="L135" s="77">
        <v>230.53</v>
      </c>
      <c r="M135" s="11">
        <f t="shared" si="10"/>
        <v>-1.0346011848544667E-2</v>
      </c>
      <c r="O135" s="77">
        <v>38.75</v>
      </c>
      <c r="P135" s="11">
        <f t="shared" si="11"/>
        <v>1.0333247222940045E-3</v>
      </c>
      <c r="R135" s="77">
        <v>100.32</v>
      </c>
      <c r="S135" s="11">
        <f t="shared" si="12"/>
        <v>-8.4997034987153164E-3</v>
      </c>
      <c r="U135" s="77">
        <v>3.0832000000000002</v>
      </c>
      <c r="V135" s="11">
        <f t="shared" si="13"/>
        <v>-4.8395061728395028E-2</v>
      </c>
      <c r="X135" s="72"/>
    </row>
    <row r="136" spans="2:24" x14ac:dyDescent="0.3">
      <c r="B136" s="72">
        <v>44367</v>
      </c>
      <c r="C136" s="16">
        <v>16658.8</v>
      </c>
      <c r="D136" s="11">
        <f t="shared" si="7"/>
        <v>3.1888007928642104E-2</v>
      </c>
      <c r="F136" s="77">
        <v>47.48</v>
      </c>
      <c r="G136" s="11">
        <f t="shared" si="8"/>
        <v>-8.417508417509767E-4</v>
      </c>
      <c r="I136" s="77">
        <v>385.74</v>
      </c>
      <c r="J136" s="11">
        <f t="shared" si="9"/>
        <v>3.579388308584619E-2</v>
      </c>
      <c r="L136" s="77">
        <v>240.55</v>
      </c>
      <c r="M136" s="11">
        <f t="shared" si="10"/>
        <v>4.3465058777599541E-2</v>
      </c>
      <c r="O136" s="77">
        <v>39.21</v>
      </c>
      <c r="P136" s="11">
        <f t="shared" si="11"/>
        <v>1.1870967741935523E-2</v>
      </c>
      <c r="R136" s="77">
        <v>98.35</v>
      </c>
      <c r="S136" s="11">
        <f t="shared" si="12"/>
        <v>-1.9637161084529509E-2</v>
      </c>
      <c r="U136" s="77">
        <v>3.15</v>
      </c>
      <c r="V136" s="11">
        <f t="shared" si="13"/>
        <v>2.1665801764400472E-2</v>
      </c>
      <c r="X136" s="72"/>
    </row>
    <row r="137" spans="2:24" x14ac:dyDescent="0.3">
      <c r="B137" s="72">
        <v>44374</v>
      </c>
      <c r="C137" s="16">
        <v>16674.8</v>
      </c>
      <c r="D137" s="11">
        <f t="shared" si="7"/>
        <v>9.6045333397354327E-4</v>
      </c>
      <c r="F137" s="77">
        <v>47.19</v>
      </c>
      <c r="G137" s="11">
        <f t="shared" si="8"/>
        <v>-6.1078348778432767E-3</v>
      </c>
      <c r="I137" s="77">
        <v>390.07</v>
      </c>
      <c r="J137" s="11">
        <f t="shared" si="9"/>
        <v>1.122517758075392E-2</v>
      </c>
      <c r="L137" s="77">
        <v>246.58</v>
      </c>
      <c r="M137" s="11">
        <f t="shared" si="10"/>
        <v>2.5067553523176134E-2</v>
      </c>
      <c r="O137" s="77">
        <v>38.369999999999997</v>
      </c>
      <c r="P137" s="11">
        <f t="shared" si="11"/>
        <v>-2.1423106350420884E-2</v>
      </c>
      <c r="R137" s="77">
        <v>99.45</v>
      </c>
      <c r="S137" s="11">
        <f t="shared" si="12"/>
        <v>1.1184544992374201E-2</v>
      </c>
      <c r="U137" s="77">
        <v>3.0954999999999999</v>
      </c>
      <c r="V137" s="11">
        <f t="shared" si="13"/>
        <v>-1.7301587301587262E-2</v>
      </c>
      <c r="X137" s="72"/>
    </row>
    <row r="138" spans="2:24" x14ac:dyDescent="0.3">
      <c r="B138" s="72">
        <v>44381</v>
      </c>
      <c r="C138" s="16">
        <v>16633.3</v>
      </c>
      <c r="D138" s="11">
        <f t="shared" ref="D138:D201" si="14">C138/C137-1</f>
        <v>-2.488785472689381E-3</v>
      </c>
      <c r="F138" s="77">
        <v>46.77</v>
      </c>
      <c r="G138" s="11">
        <f t="shared" ref="G138:G201" si="15">F138/F137-1</f>
        <v>-8.9001907183724471E-3</v>
      </c>
      <c r="I138" s="77">
        <v>403.2</v>
      </c>
      <c r="J138" s="11">
        <f t="shared" ref="J138:J201" si="16">I138/I137-1</f>
        <v>3.3660625016022738E-2</v>
      </c>
      <c r="L138" s="77">
        <v>248.58</v>
      </c>
      <c r="M138" s="11">
        <f t="shared" ref="M138:M201" si="17">L138/L137-1</f>
        <v>8.110957904128524E-3</v>
      </c>
      <c r="O138" s="77">
        <v>38.270000000000003</v>
      </c>
      <c r="P138" s="11">
        <f t="shared" ref="P138:P201" si="18">O138/O137-1</f>
        <v>-2.6062027625747275E-3</v>
      </c>
      <c r="R138" s="77">
        <v>99.51</v>
      </c>
      <c r="S138" s="11">
        <f t="shared" ref="S138:S201" si="19">R138/R137-1</f>
        <v>6.0331825037707176E-4</v>
      </c>
      <c r="U138" s="77">
        <v>3.1600999999999999</v>
      </c>
      <c r="V138" s="11">
        <f t="shared" si="13"/>
        <v>2.0869003392020691E-2</v>
      </c>
      <c r="X138" s="72"/>
    </row>
    <row r="139" spans="2:24" x14ac:dyDescent="0.3">
      <c r="B139" s="72">
        <v>44388</v>
      </c>
      <c r="C139" s="16">
        <v>16364.7</v>
      </c>
      <c r="D139" s="11">
        <f t="shared" si="14"/>
        <v>-1.6148328954566971E-2</v>
      </c>
      <c r="F139" s="77">
        <v>46.7</v>
      </c>
      <c r="G139" s="11">
        <f t="shared" si="15"/>
        <v>-1.4966859097712559E-3</v>
      </c>
      <c r="I139" s="77">
        <v>401.25</v>
      </c>
      <c r="J139" s="11">
        <f t="shared" si="16"/>
        <v>-4.8363095238095344E-3</v>
      </c>
      <c r="L139" s="77">
        <v>251.15</v>
      </c>
      <c r="M139" s="11">
        <f t="shared" si="17"/>
        <v>1.0338723952047602E-2</v>
      </c>
      <c r="O139" s="77">
        <v>39.36</v>
      </c>
      <c r="P139" s="11">
        <f t="shared" si="18"/>
        <v>2.84818395610138E-2</v>
      </c>
      <c r="R139" s="77">
        <v>98.19</v>
      </c>
      <c r="S139" s="11">
        <f t="shared" si="19"/>
        <v>-1.3264998492613866E-2</v>
      </c>
      <c r="U139" s="77">
        <v>3.2347000000000001</v>
      </c>
      <c r="V139" s="11">
        <f t="shared" ref="V139:V202" si="20">U139/U138-1</f>
        <v>2.3606847884560578E-2</v>
      </c>
      <c r="X139" s="72"/>
    </row>
    <row r="140" spans="2:24" x14ac:dyDescent="0.3">
      <c r="B140" s="72">
        <v>44395</v>
      </c>
      <c r="C140" s="16">
        <v>16552.400000000001</v>
      </c>
      <c r="D140" s="11">
        <f t="shared" si="14"/>
        <v>1.146981001790448E-2</v>
      </c>
      <c r="F140" s="77">
        <v>46.18</v>
      </c>
      <c r="G140" s="11">
        <f t="shared" si="15"/>
        <v>-1.1134903640257043E-2</v>
      </c>
      <c r="I140" s="77">
        <v>414.02</v>
      </c>
      <c r="J140" s="11">
        <f t="shared" si="16"/>
        <v>3.182554517133962E-2</v>
      </c>
      <c r="L140" s="77">
        <v>261.02999999999997</v>
      </c>
      <c r="M140" s="11">
        <f t="shared" si="17"/>
        <v>3.9339040414094972E-2</v>
      </c>
      <c r="O140" s="77">
        <v>39.89</v>
      </c>
      <c r="P140" s="11">
        <f t="shared" si="18"/>
        <v>1.346544715447151E-2</v>
      </c>
      <c r="R140" s="77">
        <v>100.15</v>
      </c>
      <c r="S140" s="11">
        <f t="shared" si="19"/>
        <v>1.9961299521336295E-2</v>
      </c>
      <c r="U140" s="77">
        <v>3.1880000000000002</v>
      </c>
      <c r="V140" s="11">
        <f t="shared" si="20"/>
        <v>-1.4437196648839135E-2</v>
      </c>
      <c r="X140" s="72"/>
    </row>
    <row r="141" spans="2:24" x14ac:dyDescent="0.3">
      <c r="B141" s="72">
        <v>44402</v>
      </c>
      <c r="C141" s="16">
        <v>16602.3</v>
      </c>
      <c r="D141" s="11">
        <f t="shared" si="14"/>
        <v>3.0146685676999407E-3</v>
      </c>
      <c r="F141" s="77">
        <v>45.06</v>
      </c>
      <c r="G141" s="11">
        <f t="shared" si="15"/>
        <v>-2.4252923343438648E-2</v>
      </c>
      <c r="I141" s="77">
        <v>420.17</v>
      </c>
      <c r="J141" s="11">
        <f t="shared" si="16"/>
        <v>1.4854354862084085E-2</v>
      </c>
      <c r="L141" s="77">
        <v>261.05</v>
      </c>
      <c r="M141" s="11">
        <f t="shared" si="17"/>
        <v>7.6619545646305909E-5</v>
      </c>
      <c r="O141" s="77">
        <v>40.700000000000003</v>
      </c>
      <c r="P141" s="11">
        <f t="shared" si="18"/>
        <v>2.0305841062923102E-2</v>
      </c>
      <c r="R141" s="77">
        <v>99.79</v>
      </c>
      <c r="S141" s="11">
        <f t="shared" si="19"/>
        <v>-3.5946080878681563E-3</v>
      </c>
      <c r="U141" s="77">
        <v>3.15</v>
      </c>
      <c r="V141" s="11">
        <f t="shared" si="20"/>
        <v>-1.1919698870765494E-2</v>
      </c>
      <c r="X141" s="72"/>
    </row>
    <row r="142" spans="2:24" x14ac:dyDescent="0.3">
      <c r="B142" s="72">
        <v>44409</v>
      </c>
      <c r="C142" s="16">
        <v>16748.099999999999</v>
      </c>
      <c r="D142" s="11">
        <f t="shared" si="14"/>
        <v>8.7819157586599417E-3</v>
      </c>
      <c r="F142" s="77">
        <v>46.92</v>
      </c>
      <c r="G142" s="11">
        <f t="shared" si="15"/>
        <v>4.1278295605858828E-2</v>
      </c>
      <c r="I142" s="77">
        <v>429.85</v>
      </c>
      <c r="J142" s="11">
        <f t="shared" si="16"/>
        <v>2.3038294023847605E-2</v>
      </c>
      <c r="L142" s="77">
        <v>260.08999999999997</v>
      </c>
      <c r="M142" s="11">
        <f t="shared" si="17"/>
        <v>-3.6774564259721698E-3</v>
      </c>
      <c r="O142" s="77">
        <v>41.75</v>
      </c>
      <c r="P142" s="11">
        <f t="shared" si="18"/>
        <v>2.5798525798525818E-2</v>
      </c>
      <c r="R142" s="77">
        <v>98.77</v>
      </c>
      <c r="S142" s="11">
        <f t="shared" si="19"/>
        <v>-1.0221465076661107E-2</v>
      </c>
      <c r="U142" s="77">
        <v>3.3250000000000002</v>
      </c>
      <c r="V142" s="11">
        <f t="shared" si="20"/>
        <v>5.555555555555558E-2</v>
      </c>
      <c r="X142" s="72"/>
    </row>
    <row r="143" spans="2:24" x14ac:dyDescent="0.3">
      <c r="B143" s="72">
        <v>44416</v>
      </c>
      <c r="C143" s="16">
        <v>16868.099999999999</v>
      </c>
      <c r="D143" s="11">
        <f t="shared" si="14"/>
        <v>7.1649918498217779E-3</v>
      </c>
      <c r="F143" s="77">
        <v>47.28</v>
      </c>
      <c r="G143" s="11">
        <f t="shared" si="15"/>
        <v>7.6726342710997653E-3</v>
      </c>
      <c r="I143" s="77">
        <v>437.86</v>
      </c>
      <c r="J143" s="11">
        <f t="shared" si="16"/>
        <v>1.8634407351401538E-2</v>
      </c>
      <c r="L143" s="77">
        <v>261.54000000000002</v>
      </c>
      <c r="M143" s="11">
        <f t="shared" si="17"/>
        <v>5.5749932715600803E-3</v>
      </c>
      <c r="O143" s="77">
        <v>42.81</v>
      </c>
      <c r="P143" s="11">
        <f t="shared" si="18"/>
        <v>2.5389221556886277E-2</v>
      </c>
      <c r="R143" s="77">
        <v>101.77</v>
      </c>
      <c r="S143" s="11">
        <f t="shared" si="19"/>
        <v>3.0373595221220961E-2</v>
      </c>
      <c r="U143" s="77">
        <v>3.35</v>
      </c>
      <c r="V143" s="11">
        <f t="shared" si="20"/>
        <v>7.5187969924812581E-3</v>
      </c>
      <c r="X143" s="72"/>
    </row>
    <row r="144" spans="2:24" x14ac:dyDescent="0.3">
      <c r="B144" s="72">
        <v>44423</v>
      </c>
      <c r="C144" s="16">
        <v>16516.7</v>
      </c>
      <c r="D144" s="11">
        <f t="shared" si="14"/>
        <v>-2.0832221767715264E-2</v>
      </c>
      <c r="F144" s="77">
        <v>47.34</v>
      </c>
      <c r="G144" s="11">
        <f t="shared" si="15"/>
        <v>1.2690355329949554E-3</v>
      </c>
      <c r="I144" s="77">
        <v>448.78</v>
      </c>
      <c r="J144" s="11">
        <f t="shared" si="16"/>
        <v>2.4939478372082213E-2</v>
      </c>
      <c r="L144" s="77">
        <v>253.4</v>
      </c>
      <c r="M144" s="11">
        <f t="shared" si="17"/>
        <v>-3.1123346333256863E-2</v>
      </c>
      <c r="O144" s="77">
        <v>46.94</v>
      </c>
      <c r="P144" s="11">
        <f t="shared" si="18"/>
        <v>9.6472786732071825E-2</v>
      </c>
      <c r="R144" s="77">
        <v>102.67</v>
      </c>
      <c r="S144" s="11">
        <f t="shared" si="19"/>
        <v>8.8434705708952954E-3</v>
      </c>
      <c r="U144" s="77">
        <v>3.351</v>
      </c>
      <c r="V144" s="11">
        <f t="shared" si="20"/>
        <v>2.9850746268644812E-4</v>
      </c>
      <c r="X144" s="72"/>
    </row>
    <row r="145" spans="2:24" x14ac:dyDescent="0.3">
      <c r="B145" s="72">
        <v>44430</v>
      </c>
      <c r="C145" s="16">
        <v>16844.8</v>
      </c>
      <c r="D145" s="11">
        <f t="shared" si="14"/>
        <v>1.9864742957128145E-2</v>
      </c>
      <c r="F145" s="77">
        <v>47.25</v>
      </c>
      <c r="G145" s="11">
        <f t="shared" si="15"/>
        <v>-1.9011406844107182E-3</v>
      </c>
      <c r="I145" s="77">
        <v>440.33</v>
      </c>
      <c r="J145" s="11">
        <f t="shared" si="16"/>
        <v>-1.8828824813939993E-2</v>
      </c>
      <c r="L145" s="77">
        <v>249.18</v>
      </c>
      <c r="M145" s="11">
        <f t="shared" si="17"/>
        <v>-1.6653512233622769E-2</v>
      </c>
      <c r="O145" s="77">
        <v>45.49</v>
      </c>
      <c r="P145" s="11">
        <f t="shared" si="18"/>
        <v>-3.0890498508734487E-2</v>
      </c>
      <c r="R145" s="77">
        <v>90.89</v>
      </c>
      <c r="S145" s="11">
        <f t="shared" si="19"/>
        <v>-0.11473653452809973</v>
      </c>
      <c r="U145" s="77">
        <v>3.5</v>
      </c>
      <c r="V145" s="11">
        <f t="shared" si="20"/>
        <v>4.4464339003282616E-2</v>
      </c>
      <c r="X145" s="72"/>
    </row>
    <row r="146" spans="2:24" x14ac:dyDescent="0.3">
      <c r="B146" s="72">
        <v>44437</v>
      </c>
      <c r="C146" s="16">
        <v>16909.7</v>
      </c>
      <c r="D146" s="11">
        <f t="shared" si="14"/>
        <v>3.8528210486323822E-3</v>
      </c>
      <c r="F146" s="77">
        <v>46.51</v>
      </c>
      <c r="G146" s="11">
        <f t="shared" si="15"/>
        <v>-1.5661375661375709E-2</v>
      </c>
      <c r="I146" s="77">
        <v>452.27</v>
      </c>
      <c r="J146" s="11">
        <f t="shared" si="16"/>
        <v>2.7116026616401223E-2</v>
      </c>
      <c r="L146" s="77">
        <v>244.31</v>
      </c>
      <c r="M146" s="11">
        <f t="shared" si="17"/>
        <v>-1.9544104663295592E-2</v>
      </c>
      <c r="O146" s="77">
        <v>46.65</v>
      </c>
      <c r="P146" s="11">
        <f t="shared" si="18"/>
        <v>2.5500109914266877E-2</v>
      </c>
      <c r="R146" s="77">
        <v>92.81</v>
      </c>
      <c r="S146" s="11">
        <f t="shared" si="19"/>
        <v>2.1124436131587654E-2</v>
      </c>
      <c r="U146" s="77">
        <v>3.43</v>
      </c>
      <c r="V146" s="11">
        <f t="shared" si="20"/>
        <v>-1.9999999999999907E-2</v>
      </c>
      <c r="X146" s="72"/>
    </row>
    <row r="147" spans="2:24" x14ac:dyDescent="0.3">
      <c r="B147" s="72">
        <v>44444</v>
      </c>
      <c r="C147" s="16">
        <v>16563.5</v>
      </c>
      <c r="D147" s="11">
        <f t="shared" si="14"/>
        <v>-2.0473456063679452E-2</v>
      </c>
      <c r="F147" s="77">
        <v>46.73</v>
      </c>
      <c r="G147" s="11">
        <f t="shared" si="15"/>
        <v>4.7301655557945299E-3</v>
      </c>
      <c r="I147" s="77">
        <v>454.82</v>
      </c>
      <c r="J147" s="11">
        <f t="shared" si="16"/>
        <v>5.6382249541202523E-3</v>
      </c>
      <c r="L147" s="77">
        <v>244.54</v>
      </c>
      <c r="M147" s="11">
        <f t="shared" si="17"/>
        <v>9.4142687569065409E-4</v>
      </c>
      <c r="O147" s="77">
        <v>42.67</v>
      </c>
      <c r="P147" s="11">
        <f t="shared" si="18"/>
        <v>-8.5316184351554081E-2</v>
      </c>
      <c r="R147" s="77">
        <v>90.21</v>
      </c>
      <c r="S147" s="11">
        <f t="shared" si="19"/>
        <v>-2.8014222605322825E-2</v>
      </c>
      <c r="U147" s="77">
        <v>3.51</v>
      </c>
      <c r="V147" s="11">
        <f t="shared" si="20"/>
        <v>2.3323615160349753E-2</v>
      </c>
      <c r="X147" s="72"/>
    </row>
    <row r="148" spans="2:24" x14ac:dyDescent="0.3">
      <c r="B148" s="72">
        <v>44451</v>
      </c>
      <c r="C148" s="16">
        <v>16460.3</v>
      </c>
      <c r="D148" s="11">
        <f t="shared" si="14"/>
        <v>-6.2305672110363197E-3</v>
      </c>
      <c r="F148" s="77">
        <v>46.64</v>
      </c>
      <c r="G148" s="11">
        <f t="shared" si="15"/>
        <v>-1.9259576289321068E-3</v>
      </c>
      <c r="I148" s="77">
        <v>449.29</v>
      </c>
      <c r="J148" s="11">
        <f t="shared" si="16"/>
        <v>-1.2158656171672222E-2</v>
      </c>
      <c r="L148" s="77">
        <v>246.67</v>
      </c>
      <c r="M148" s="11">
        <f t="shared" si="17"/>
        <v>8.7102314549767357E-3</v>
      </c>
      <c r="O148" s="77">
        <v>40.94</v>
      </c>
      <c r="P148" s="11">
        <f t="shared" si="18"/>
        <v>-4.0543707522849859E-2</v>
      </c>
      <c r="R148" s="77">
        <v>89.31</v>
      </c>
      <c r="S148" s="11">
        <f t="shared" si="19"/>
        <v>-9.9767209843697469E-3</v>
      </c>
      <c r="U148" s="77">
        <v>3.51</v>
      </c>
      <c r="V148" s="11">
        <f t="shared" si="20"/>
        <v>0</v>
      </c>
      <c r="X148" s="72"/>
    </row>
    <row r="149" spans="2:24" x14ac:dyDescent="0.3">
      <c r="B149" s="72">
        <v>44458</v>
      </c>
      <c r="C149" s="16">
        <v>16539.2</v>
      </c>
      <c r="D149" s="11">
        <f t="shared" si="14"/>
        <v>4.7933512754931851E-3</v>
      </c>
      <c r="F149" s="77">
        <v>46.63</v>
      </c>
      <c r="G149" s="11">
        <f t="shared" si="15"/>
        <v>-2.1440823327611991E-4</v>
      </c>
      <c r="I149" s="77">
        <v>457.35</v>
      </c>
      <c r="J149" s="11">
        <f t="shared" si="16"/>
        <v>1.793941552226852E-2</v>
      </c>
      <c r="L149" s="77">
        <v>241.44</v>
      </c>
      <c r="M149" s="11">
        <f t="shared" si="17"/>
        <v>-2.1202416183564998E-2</v>
      </c>
      <c r="O149" s="77">
        <v>39.979999999999997</v>
      </c>
      <c r="P149" s="11">
        <f t="shared" si="18"/>
        <v>-2.3448949682462139E-2</v>
      </c>
      <c r="R149" s="77">
        <v>84.54</v>
      </c>
      <c r="S149" s="11">
        <f t="shared" si="19"/>
        <v>-5.3409472623446419E-2</v>
      </c>
      <c r="U149" s="77">
        <v>3.5415000000000001</v>
      </c>
      <c r="V149" s="11">
        <f t="shared" si="20"/>
        <v>8.9743589743591645E-3</v>
      </c>
      <c r="X149" s="72"/>
    </row>
    <row r="150" spans="2:24" x14ac:dyDescent="0.3">
      <c r="B150" s="72">
        <v>44465</v>
      </c>
      <c r="C150" s="16">
        <v>16323.7</v>
      </c>
      <c r="D150" s="11">
        <f t="shared" si="14"/>
        <v>-1.3029650769081913E-2</v>
      </c>
      <c r="F150" s="77">
        <v>46.87</v>
      </c>
      <c r="G150" s="11">
        <f t="shared" si="15"/>
        <v>5.1469011366072071E-3</v>
      </c>
      <c r="I150" s="77">
        <v>438.36</v>
      </c>
      <c r="J150" s="11">
        <f t="shared" si="16"/>
        <v>-4.1521810429649086E-2</v>
      </c>
      <c r="L150" s="77">
        <v>228.42</v>
      </c>
      <c r="M150" s="11">
        <f t="shared" si="17"/>
        <v>-5.3926441351888732E-2</v>
      </c>
      <c r="O150" s="77">
        <v>39.14</v>
      </c>
      <c r="P150" s="11">
        <f t="shared" si="18"/>
        <v>-2.1010505252626266E-2</v>
      </c>
      <c r="R150" s="77">
        <v>97.98</v>
      </c>
      <c r="S150" s="11">
        <f t="shared" si="19"/>
        <v>0.1589779985805535</v>
      </c>
      <c r="U150" s="77">
        <v>3.3620000000000001</v>
      </c>
      <c r="V150" s="11">
        <f t="shared" si="20"/>
        <v>-5.0684738105322591E-2</v>
      </c>
      <c r="X150" s="72"/>
    </row>
    <row r="151" spans="2:24" x14ac:dyDescent="0.3">
      <c r="B151" s="72">
        <v>44472</v>
      </c>
      <c r="C151" s="16">
        <v>16517.2</v>
      </c>
      <c r="D151" s="11">
        <f t="shared" si="14"/>
        <v>1.1853930175144134E-2</v>
      </c>
      <c r="F151" s="77">
        <v>46.59</v>
      </c>
      <c r="G151" s="11">
        <f t="shared" si="15"/>
        <v>-5.9739705568592205E-3</v>
      </c>
      <c r="I151" s="77">
        <v>441.8</v>
      </c>
      <c r="J151" s="11">
        <f t="shared" si="16"/>
        <v>7.8474313349758962E-3</v>
      </c>
      <c r="L151" s="77">
        <v>228.9</v>
      </c>
      <c r="M151" s="11">
        <f t="shared" si="17"/>
        <v>2.1013921723143092E-3</v>
      </c>
      <c r="O151" s="77">
        <v>39.47</v>
      </c>
      <c r="P151" s="11">
        <f t="shared" si="18"/>
        <v>8.4312723556463354E-3</v>
      </c>
      <c r="R151" s="77">
        <v>98.85</v>
      </c>
      <c r="S151" s="11">
        <f t="shared" si="19"/>
        <v>8.8793631353336622E-3</v>
      </c>
      <c r="U151" s="77">
        <v>3.74</v>
      </c>
      <c r="V151" s="11">
        <f t="shared" si="20"/>
        <v>0.11243307555026782</v>
      </c>
      <c r="X151" s="72"/>
    </row>
    <row r="152" spans="2:24" x14ac:dyDescent="0.3">
      <c r="B152" s="72">
        <v>44479</v>
      </c>
      <c r="C152" s="16">
        <v>16871.7</v>
      </c>
      <c r="D152" s="11">
        <f t="shared" si="14"/>
        <v>2.1462475480105603E-2</v>
      </c>
      <c r="F152" s="77">
        <v>45.21</v>
      </c>
      <c r="G152" s="11">
        <f t="shared" si="15"/>
        <v>-2.962009014810052E-2</v>
      </c>
      <c r="I152" s="77">
        <v>442.33</v>
      </c>
      <c r="J152" s="11">
        <f t="shared" si="16"/>
        <v>1.199637845178847E-3</v>
      </c>
      <c r="L152" s="77">
        <v>245.71</v>
      </c>
      <c r="M152" s="11">
        <f t="shared" si="17"/>
        <v>7.3438182612494574E-2</v>
      </c>
      <c r="O152" s="77">
        <v>38.590000000000003</v>
      </c>
      <c r="P152" s="11">
        <f t="shared" si="18"/>
        <v>-2.2295414238662215E-2</v>
      </c>
      <c r="R152" s="77">
        <v>99.27</v>
      </c>
      <c r="S152" s="11">
        <f t="shared" si="19"/>
        <v>4.2488619119878113E-3</v>
      </c>
      <c r="U152" s="77">
        <v>3.69</v>
      </c>
      <c r="V152" s="11">
        <f t="shared" si="20"/>
        <v>-1.3368983957219305E-2</v>
      </c>
      <c r="X152" s="72"/>
    </row>
    <row r="153" spans="2:24" x14ac:dyDescent="0.3">
      <c r="B153" s="72">
        <v>44486</v>
      </c>
      <c r="C153" s="16">
        <v>17122.2</v>
      </c>
      <c r="D153" s="11">
        <f t="shared" si="14"/>
        <v>1.4847347925816656E-2</v>
      </c>
      <c r="F153" s="77">
        <v>45.04</v>
      </c>
      <c r="G153" s="11">
        <f t="shared" si="15"/>
        <v>-3.7602300376022857E-3</v>
      </c>
      <c r="I153" s="77">
        <v>471.27</v>
      </c>
      <c r="J153" s="11">
        <f t="shared" si="16"/>
        <v>6.5426265457916077E-2</v>
      </c>
      <c r="L153" s="77">
        <v>255.93</v>
      </c>
      <c r="M153" s="11">
        <f t="shared" si="17"/>
        <v>4.159374872817545E-2</v>
      </c>
      <c r="O153" s="77">
        <v>40.229999999999997</v>
      </c>
      <c r="P153" s="11">
        <f t="shared" si="18"/>
        <v>4.2498056491318881E-2</v>
      </c>
      <c r="R153" s="77">
        <v>103.15</v>
      </c>
      <c r="S153" s="11">
        <f t="shared" si="19"/>
        <v>3.9085322856855065E-2</v>
      </c>
      <c r="U153" s="77">
        <v>3.6501000000000001</v>
      </c>
      <c r="V153" s="11">
        <f t="shared" si="20"/>
        <v>-1.0813008130081236E-2</v>
      </c>
      <c r="X153" s="72"/>
    </row>
    <row r="154" spans="2:24" x14ac:dyDescent="0.3">
      <c r="B154" s="72">
        <v>44493</v>
      </c>
      <c r="C154" s="16">
        <v>17016.400000000001</v>
      </c>
      <c r="D154" s="11">
        <f t="shared" si="14"/>
        <v>-6.1791124972258027E-3</v>
      </c>
      <c r="F154" s="77">
        <v>43.91</v>
      </c>
      <c r="G154" s="11">
        <f t="shared" si="15"/>
        <v>-2.5088809946714141E-2</v>
      </c>
      <c r="I154" s="77">
        <v>480.61</v>
      </c>
      <c r="J154" s="11">
        <f t="shared" si="16"/>
        <v>1.9818787531563631E-2</v>
      </c>
      <c r="L154" s="77">
        <v>259.62</v>
      </c>
      <c r="M154" s="11">
        <f t="shared" si="17"/>
        <v>1.4418004923221206E-2</v>
      </c>
      <c r="O154" s="77">
        <v>40.020000000000003</v>
      </c>
      <c r="P154" s="11">
        <f t="shared" si="18"/>
        <v>-5.2199850857567176E-3</v>
      </c>
      <c r="R154" s="77">
        <v>107.76</v>
      </c>
      <c r="S154" s="11">
        <f t="shared" si="19"/>
        <v>4.4692195831313564E-2</v>
      </c>
      <c r="U154" s="77">
        <v>3.72</v>
      </c>
      <c r="V154" s="11">
        <f t="shared" si="20"/>
        <v>1.9150160269581606E-2</v>
      </c>
      <c r="X154" s="72"/>
    </row>
    <row r="155" spans="2:24" x14ac:dyDescent="0.3">
      <c r="B155" s="72">
        <v>44500</v>
      </c>
      <c r="C155" s="16">
        <v>17242.400000000001</v>
      </c>
      <c r="D155" s="11">
        <f t="shared" si="14"/>
        <v>1.3281305093909346E-2</v>
      </c>
      <c r="F155" s="77">
        <v>44.71</v>
      </c>
      <c r="G155" s="11">
        <f t="shared" si="15"/>
        <v>1.82190844910044E-2</v>
      </c>
      <c r="I155" s="77">
        <v>501.71</v>
      </c>
      <c r="J155" s="11">
        <f t="shared" si="16"/>
        <v>4.3902540521420619E-2</v>
      </c>
      <c r="L155" s="77">
        <v>254.27</v>
      </c>
      <c r="M155" s="11">
        <f t="shared" si="17"/>
        <v>-2.0607041060010767E-2</v>
      </c>
      <c r="O155" s="77">
        <v>42.32</v>
      </c>
      <c r="P155" s="11">
        <f t="shared" si="18"/>
        <v>5.7471264367815911E-2</v>
      </c>
      <c r="R155" s="77">
        <v>110</v>
      </c>
      <c r="S155" s="11">
        <f t="shared" si="19"/>
        <v>2.0786933927245732E-2</v>
      </c>
      <c r="U155" s="77">
        <v>3.7349999999999999</v>
      </c>
      <c r="V155" s="11">
        <f t="shared" si="20"/>
        <v>4.0322580645160144E-3</v>
      </c>
      <c r="X155" s="72"/>
    </row>
    <row r="156" spans="2:24" x14ac:dyDescent="0.3">
      <c r="B156" s="72">
        <v>44507</v>
      </c>
      <c r="C156" s="16">
        <v>17297.7</v>
      </c>
      <c r="D156" s="11">
        <f t="shared" si="14"/>
        <v>3.2072101331601655E-3</v>
      </c>
      <c r="F156" s="77">
        <v>43.04</v>
      </c>
      <c r="G156" s="11">
        <f t="shared" si="15"/>
        <v>-3.735182285842098E-2</v>
      </c>
      <c r="I156" s="77">
        <v>505.67</v>
      </c>
      <c r="J156" s="11">
        <f t="shared" si="16"/>
        <v>7.8930059197546143E-3</v>
      </c>
      <c r="L156" s="77">
        <v>260.02</v>
      </c>
      <c r="M156" s="11">
        <f t="shared" si="17"/>
        <v>2.2613757029928738E-2</v>
      </c>
      <c r="O156" s="77">
        <v>42.43</v>
      </c>
      <c r="P156" s="11">
        <f t="shared" si="18"/>
        <v>2.5992438563327003E-3</v>
      </c>
      <c r="R156" s="77">
        <v>113.08</v>
      </c>
      <c r="S156" s="11">
        <f t="shared" si="19"/>
        <v>2.8000000000000025E-2</v>
      </c>
      <c r="U156" s="77">
        <v>3.8250000000000002</v>
      </c>
      <c r="V156" s="11">
        <f t="shared" si="20"/>
        <v>2.4096385542168752E-2</v>
      </c>
      <c r="X156" s="72"/>
    </row>
    <row r="157" spans="2:24" x14ac:dyDescent="0.3">
      <c r="B157" s="72">
        <v>44514</v>
      </c>
      <c r="C157" s="16">
        <v>16974</v>
      </c>
      <c r="D157" s="11">
        <f t="shared" si="14"/>
        <v>-1.8713470577013225E-2</v>
      </c>
      <c r="F157" s="77">
        <v>43.31</v>
      </c>
      <c r="G157" s="11">
        <f t="shared" si="15"/>
        <v>6.2732342007436603E-3</v>
      </c>
      <c r="I157" s="77">
        <v>521.91999999999996</v>
      </c>
      <c r="J157" s="11">
        <f t="shared" si="16"/>
        <v>3.2135582494512205E-2</v>
      </c>
      <c r="L157" s="77">
        <v>250.7</v>
      </c>
      <c r="M157" s="11">
        <f t="shared" si="17"/>
        <v>-3.5843396661795257E-2</v>
      </c>
      <c r="O157" s="77">
        <v>40.89</v>
      </c>
      <c r="P157" s="11">
        <f t="shared" si="18"/>
        <v>-3.6295074239924507E-2</v>
      </c>
      <c r="R157" s="77">
        <v>134.96</v>
      </c>
      <c r="S157" s="11">
        <f t="shared" si="19"/>
        <v>0.1934913335691546</v>
      </c>
      <c r="U157" s="77">
        <v>3.78</v>
      </c>
      <c r="V157" s="11">
        <f t="shared" si="20"/>
        <v>-1.176470588235301E-2</v>
      </c>
      <c r="X157" s="72"/>
    </row>
    <row r="158" spans="2:24" x14ac:dyDescent="0.3">
      <c r="B158" s="72">
        <v>44521</v>
      </c>
      <c r="C158" s="16">
        <v>16624.900000000001</v>
      </c>
      <c r="D158" s="11">
        <f t="shared" si="14"/>
        <v>-2.0566749145752294E-2</v>
      </c>
      <c r="F158" s="77">
        <v>46.11</v>
      </c>
      <c r="G158" s="11">
        <f t="shared" si="15"/>
        <v>6.4650196259524284E-2</v>
      </c>
      <c r="I158" s="77">
        <v>533.99</v>
      </c>
      <c r="J158" s="11">
        <f t="shared" si="16"/>
        <v>2.3126149601471635E-2</v>
      </c>
      <c r="L158" s="77">
        <v>246.57</v>
      </c>
      <c r="M158" s="11">
        <f t="shared" si="17"/>
        <v>-1.6473873155165464E-2</v>
      </c>
      <c r="O158" s="77">
        <v>43.14</v>
      </c>
      <c r="P158" s="11">
        <f t="shared" si="18"/>
        <v>5.5025678650036713E-2</v>
      </c>
      <c r="R158" s="77">
        <v>141.11000000000001</v>
      </c>
      <c r="S158" s="11">
        <f t="shared" si="19"/>
        <v>4.556905749851814E-2</v>
      </c>
      <c r="U158" s="77">
        <v>3.7149999999999999</v>
      </c>
      <c r="V158" s="11">
        <f t="shared" si="20"/>
        <v>-1.7195767195767209E-2</v>
      </c>
      <c r="X158" s="72"/>
    </row>
    <row r="159" spans="2:24" x14ac:dyDescent="0.3">
      <c r="B159" s="72">
        <v>44528</v>
      </c>
      <c r="C159" s="16">
        <v>16347.9</v>
      </c>
      <c r="D159" s="11">
        <f t="shared" si="14"/>
        <v>-1.6661754356417258E-2</v>
      </c>
      <c r="F159" s="77">
        <v>48.16</v>
      </c>
      <c r="G159" s="11">
        <f t="shared" si="15"/>
        <v>4.4458902624159524E-2</v>
      </c>
      <c r="I159" s="77">
        <v>517.16999999999996</v>
      </c>
      <c r="J159" s="11">
        <f t="shared" si="16"/>
        <v>-3.1498717204442084E-2</v>
      </c>
      <c r="L159" s="77">
        <v>247.57</v>
      </c>
      <c r="M159" s="11">
        <f t="shared" si="17"/>
        <v>4.0556434278298248E-3</v>
      </c>
      <c r="O159" s="77">
        <v>43.43</v>
      </c>
      <c r="P159" s="11">
        <f t="shared" si="18"/>
        <v>6.7222994900324462E-3</v>
      </c>
      <c r="R159" s="77">
        <v>137.04</v>
      </c>
      <c r="S159" s="11">
        <f t="shared" si="19"/>
        <v>-2.8842746793282026E-2</v>
      </c>
      <c r="U159" s="77">
        <v>3.81</v>
      </c>
      <c r="V159" s="11">
        <f t="shared" si="20"/>
        <v>2.5572005383580176E-2</v>
      </c>
      <c r="X159" s="72"/>
    </row>
    <row r="160" spans="2:24" x14ac:dyDescent="0.3">
      <c r="B160" s="72">
        <v>44535</v>
      </c>
      <c r="C160" s="16">
        <v>16856.599999999999</v>
      </c>
      <c r="D160" s="11">
        <f t="shared" si="14"/>
        <v>3.1117146544816121E-2</v>
      </c>
      <c r="F160" s="77">
        <v>48.12</v>
      </c>
      <c r="G160" s="11">
        <f t="shared" si="15"/>
        <v>-8.3056478405318934E-4</v>
      </c>
      <c r="I160" s="77">
        <v>546.39</v>
      </c>
      <c r="J160" s="11">
        <f t="shared" si="16"/>
        <v>5.6499796971982263E-2</v>
      </c>
      <c r="L160" s="77">
        <v>238.18</v>
      </c>
      <c r="M160" s="11">
        <f t="shared" si="17"/>
        <v>-3.7928666639738151E-2</v>
      </c>
      <c r="O160" s="77">
        <v>44.6</v>
      </c>
      <c r="P160" s="11">
        <f t="shared" si="18"/>
        <v>2.6939903292654943E-2</v>
      </c>
      <c r="R160" s="77">
        <v>141.55000000000001</v>
      </c>
      <c r="S160" s="11">
        <f t="shared" si="19"/>
        <v>3.2910099241097557E-2</v>
      </c>
      <c r="U160" s="77">
        <v>3.75</v>
      </c>
      <c r="V160" s="11">
        <f t="shared" si="20"/>
        <v>-1.5748031496062964E-2</v>
      </c>
      <c r="X160" s="72"/>
    </row>
    <row r="161" spans="2:24" x14ac:dyDescent="0.3">
      <c r="B161" s="72">
        <v>44542</v>
      </c>
      <c r="C161" s="16">
        <v>16668.599999999999</v>
      </c>
      <c r="D161" s="11">
        <f t="shared" si="14"/>
        <v>-1.1152901534117188E-2</v>
      </c>
      <c r="F161" s="77">
        <v>46.83</v>
      </c>
      <c r="G161" s="11">
        <f t="shared" si="15"/>
        <v>-2.680798004987528E-2</v>
      </c>
      <c r="I161" s="77">
        <v>535.42999999999995</v>
      </c>
      <c r="J161" s="11">
        <f t="shared" si="16"/>
        <v>-2.0058932264499729E-2</v>
      </c>
      <c r="L161" s="77">
        <v>223.31</v>
      </c>
      <c r="M161" s="11">
        <f t="shared" si="17"/>
        <v>-6.2431774288353337E-2</v>
      </c>
      <c r="O161" s="77">
        <v>44.79</v>
      </c>
      <c r="P161" s="11">
        <f t="shared" si="18"/>
        <v>4.2600896860987003E-3</v>
      </c>
      <c r="R161" s="77">
        <v>136.32</v>
      </c>
      <c r="S161" s="11">
        <f t="shared" si="19"/>
        <v>-3.6948074885199689E-2</v>
      </c>
      <c r="U161" s="77">
        <v>3.82</v>
      </c>
      <c r="V161" s="11">
        <f t="shared" si="20"/>
        <v>1.8666666666666609E-2</v>
      </c>
      <c r="X161" s="72"/>
    </row>
    <row r="162" spans="2:24" x14ac:dyDescent="0.3">
      <c r="B162" s="72">
        <v>44549</v>
      </c>
      <c r="C162" s="16">
        <v>16963.400000000001</v>
      </c>
      <c r="D162" s="11">
        <f t="shared" si="14"/>
        <v>1.7685948429982279E-2</v>
      </c>
      <c r="F162" s="77">
        <v>48.78</v>
      </c>
      <c r="G162" s="11">
        <f t="shared" si="15"/>
        <v>4.1639974375400346E-2</v>
      </c>
      <c r="I162" s="77">
        <v>538.13</v>
      </c>
      <c r="J162" s="11">
        <f t="shared" si="16"/>
        <v>5.0426759800534793E-3</v>
      </c>
      <c r="L162" s="77">
        <v>221.01</v>
      </c>
      <c r="M162" s="11">
        <f t="shared" si="17"/>
        <v>-1.0299583538578738E-2</v>
      </c>
      <c r="O162" s="77">
        <v>43.21</v>
      </c>
      <c r="P162" s="11">
        <f t="shared" si="18"/>
        <v>-3.5275731189997717E-2</v>
      </c>
      <c r="R162" s="77">
        <v>137</v>
      </c>
      <c r="S162" s="11">
        <f t="shared" si="19"/>
        <v>4.9882629107982357E-3</v>
      </c>
      <c r="U162" s="77">
        <v>3.8250000000000002</v>
      </c>
      <c r="V162" s="11">
        <f t="shared" si="20"/>
        <v>1.3089005235602524E-3</v>
      </c>
      <c r="X162" s="72"/>
    </row>
    <row r="163" spans="2:24" x14ac:dyDescent="0.3">
      <c r="B163" s="72">
        <v>44556</v>
      </c>
      <c r="C163" s="16">
        <v>17164.099999999999</v>
      </c>
      <c r="D163" s="11">
        <f t="shared" si="14"/>
        <v>1.1831354563353935E-2</v>
      </c>
      <c r="F163" s="77">
        <v>48.21</v>
      </c>
      <c r="G163" s="11">
        <f t="shared" si="15"/>
        <v>-1.1685116851168464E-2</v>
      </c>
      <c r="I163" s="77">
        <v>555.08000000000004</v>
      </c>
      <c r="J163" s="11">
        <f t="shared" si="16"/>
        <v>3.1497965175701026E-2</v>
      </c>
      <c r="L163" s="77">
        <v>231.44</v>
      </c>
      <c r="M163" s="11">
        <f t="shared" si="17"/>
        <v>4.7192434731460065E-2</v>
      </c>
      <c r="O163" s="77">
        <v>45.26</v>
      </c>
      <c r="P163" s="11">
        <f t="shared" si="18"/>
        <v>4.7442721592223958E-2</v>
      </c>
      <c r="R163" s="77">
        <v>140.52000000000001</v>
      </c>
      <c r="S163" s="11">
        <f t="shared" si="19"/>
        <v>2.5693430656934302E-2</v>
      </c>
      <c r="U163" s="77">
        <v>3.99</v>
      </c>
      <c r="V163" s="11">
        <f t="shared" si="20"/>
        <v>4.3137254901960853E-2</v>
      </c>
      <c r="X163" s="72"/>
    </row>
    <row r="164" spans="2:24" x14ac:dyDescent="0.3">
      <c r="B164" s="72">
        <v>44563</v>
      </c>
      <c r="C164" s="16">
        <v>17166.3</v>
      </c>
      <c r="D164" s="11">
        <f t="shared" si="14"/>
        <v>1.2817450376090278E-4</v>
      </c>
      <c r="F164" s="77">
        <v>48.88</v>
      </c>
      <c r="G164" s="11">
        <f t="shared" si="15"/>
        <v>1.3897531632441451E-2</v>
      </c>
      <c r="I164" s="77">
        <v>524.26</v>
      </c>
      <c r="J164" s="11">
        <f t="shared" si="16"/>
        <v>-5.5523528140087985E-2</v>
      </c>
      <c r="L164" s="77">
        <v>230.78</v>
      </c>
      <c r="M164" s="11">
        <f t="shared" si="17"/>
        <v>-2.8517110266159662E-3</v>
      </c>
      <c r="O164" s="77">
        <v>48.12</v>
      </c>
      <c r="P164" s="11">
        <f t="shared" si="18"/>
        <v>6.3190455148033564E-2</v>
      </c>
      <c r="R164" s="77">
        <v>140.96</v>
      </c>
      <c r="S164" s="11">
        <f t="shared" si="19"/>
        <v>3.1312268716197078E-3</v>
      </c>
      <c r="U164" s="77">
        <v>3.95</v>
      </c>
      <c r="V164" s="11">
        <f t="shared" si="20"/>
        <v>-1.0025062656641603E-2</v>
      </c>
      <c r="X164" s="72"/>
    </row>
    <row r="165" spans="2:24" x14ac:dyDescent="0.3">
      <c r="B165" s="72">
        <v>44570</v>
      </c>
      <c r="C165" s="16">
        <v>17219.099999999999</v>
      </c>
      <c r="D165" s="11">
        <f t="shared" si="14"/>
        <v>3.0757938519074823E-3</v>
      </c>
      <c r="F165" s="77">
        <v>48.05</v>
      </c>
      <c r="G165" s="11">
        <f t="shared" si="15"/>
        <v>-1.6980360065466549E-2</v>
      </c>
      <c r="I165" s="77">
        <v>491.81</v>
      </c>
      <c r="J165" s="11">
        <f t="shared" si="16"/>
        <v>-6.1896768778850197E-2</v>
      </c>
      <c r="L165" s="77">
        <v>221.4</v>
      </c>
      <c r="M165" s="11">
        <f t="shared" si="17"/>
        <v>-4.064476991073751E-2</v>
      </c>
      <c r="O165" s="77">
        <v>49.12</v>
      </c>
      <c r="P165" s="11">
        <f t="shared" si="18"/>
        <v>2.0781379883624274E-2</v>
      </c>
      <c r="R165" s="77">
        <v>130.81</v>
      </c>
      <c r="S165" s="11">
        <f t="shared" si="19"/>
        <v>-7.2006242905788942E-2</v>
      </c>
      <c r="U165" s="77">
        <v>3.76</v>
      </c>
      <c r="V165" s="11">
        <f t="shared" si="20"/>
        <v>-4.8101265822784955E-2</v>
      </c>
      <c r="X165" s="72"/>
    </row>
    <row r="166" spans="2:24" x14ac:dyDescent="0.3">
      <c r="B166" s="72">
        <v>44577</v>
      </c>
      <c r="C166" s="16">
        <v>16397.3</v>
      </c>
      <c r="D166" s="11">
        <f t="shared" si="14"/>
        <v>-4.7726071629759947E-2</v>
      </c>
      <c r="F166" s="77">
        <v>47.83</v>
      </c>
      <c r="G166" s="11">
        <f t="shared" si="15"/>
        <v>-4.57856399583767E-3</v>
      </c>
      <c r="I166" s="77">
        <v>470.9</v>
      </c>
      <c r="J166" s="11">
        <f t="shared" si="16"/>
        <v>-4.2516418942274536E-2</v>
      </c>
      <c r="L166" s="77">
        <v>217.25</v>
      </c>
      <c r="M166" s="11">
        <f t="shared" si="17"/>
        <v>-1.8744354110207806E-2</v>
      </c>
      <c r="O166" s="77">
        <v>46.92</v>
      </c>
      <c r="P166" s="11">
        <f t="shared" si="18"/>
        <v>-4.4788273615635088E-2</v>
      </c>
      <c r="R166" s="77">
        <v>126.23</v>
      </c>
      <c r="S166" s="11">
        <f t="shared" si="19"/>
        <v>-3.501261371454778E-2</v>
      </c>
      <c r="U166" s="77">
        <v>3.895</v>
      </c>
      <c r="V166" s="11">
        <f t="shared" si="20"/>
        <v>3.5904255319149092E-2</v>
      </c>
      <c r="X166" s="72"/>
    </row>
    <row r="167" spans="2:24" x14ac:dyDescent="0.3">
      <c r="B167" s="72">
        <v>44584</v>
      </c>
      <c r="C167" s="16">
        <v>16397.900000000001</v>
      </c>
      <c r="D167" s="11">
        <f t="shared" si="14"/>
        <v>3.6591390045970229E-5</v>
      </c>
      <c r="F167" s="77">
        <v>48.65</v>
      </c>
      <c r="G167" s="11">
        <f t="shared" si="15"/>
        <v>1.714405185030321E-2</v>
      </c>
      <c r="I167" s="77">
        <v>481.48</v>
      </c>
      <c r="J167" s="11">
        <f t="shared" si="16"/>
        <v>2.2467615204926794E-2</v>
      </c>
      <c r="L167" s="77">
        <v>217.67</v>
      </c>
      <c r="M167" s="11">
        <f t="shared" si="17"/>
        <v>1.9332566168008825E-3</v>
      </c>
      <c r="O167" s="77">
        <v>43.47</v>
      </c>
      <c r="P167" s="11">
        <f t="shared" si="18"/>
        <v>-7.3529411764705954E-2</v>
      </c>
      <c r="R167" s="77">
        <v>128.49</v>
      </c>
      <c r="S167" s="11">
        <f t="shared" si="19"/>
        <v>1.7903826348728558E-2</v>
      </c>
      <c r="U167" s="77">
        <v>4.0449999999999999</v>
      </c>
      <c r="V167" s="11">
        <f t="shared" si="20"/>
        <v>3.8510911424903593E-2</v>
      </c>
      <c r="X167" s="72"/>
    </row>
    <row r="168" spans="2:24" x14ac:dyDescent="0.3">
      <c r="B168" s="72">
        <v>44591</v>
      </c>
      <c r="C168" s="16">
        <v>16701.599999999999</v>
      </c>
      <c r="D168" s="11">
        <f t="shared" si="14"/>
        <v>1.8520664231395312E-2</v>
      </c>
      <c r="F168" s="77">
        <v>49</v>
      </c>
      <c r="G168" s="11">
        <f t="shared" si="15"/>
        <v>7.194244604316502E-3</v>
      </c>
      <c r="I168" s="77">
        <v>508.21</v>
      </c>
      <c r="J168" s="11">
        <f t="shared" si="16"/>
        <v>5.5516324665614292E-2</v>
      </c>
      <c r="L168" s="77">
        <v>214.04</v>
      </c>
      <c r="M168" s="11">
        <f t="shared" si="17"/>
        <v>-1.6676620572426137E-2</v>
      </c>
      <c r="O168" s="77">
        <v>44.77</v>
      </c>
      <c r="P168" s="11">
        <f t="shared" si="18"/>
        <v>2.9905682079595319E-2</v>
      </c>
      <c r="R168" s="77">
        <v>133.49</v>
      </c>
      <c r="S168" s="11">
        <f t="shared" si="19"/>
        <v>3.8913534127169358E-2</v>
      </c>
      <c r="U168" s="77">
        <v>4.0141999999999998</v>
      </c>
      <c r="V168" s="11">
        <f t="shared" si="20"/>
        <v>-7.6143386897404852E-3</v>
      </c>
      <c r="X168" s="72"/>
    </row>
    <row r="169" spans="2:24" x14ac:dyDescent="0.3">
      <c r="B169" s="72">
        <v>44598</v>
      </c>
      <c r="C169" s="16">
        <v>16665</v>
      </c>
      <c r="D169" s="11">
        <f t="shared" si="14"/>
        <v>-2.1914068113233487E-3</v>
      </c>
      <c r="F169" s="77">
        <v>49.64</v>
      </c>
      <c r="G169" s="11">
        <f t="shared" si="15"/>
        <v>1.3061224489795853E-2</v>
      </c>
      <c r="I169" s="77">
        <v>498.34</v>
      </c>
      <c r="J169" s="11">
        <f t="shared" si="16"/>
        <v>-1.9421105448535037E-2</v>
      </c>
      <c r="L169" s="77">
        <v>211.56</v>
      </c>
      <c r="M169" s="11">
        <f t="shared" si="17"/>
        <v>-1.1586619323490921E-2</v>
      </c>
      <c r="O169" s="77">
        <v>46.27</v>
      </c>
      <c r="P169" s="11">
        <f t="shared" si="18"/>
        <v>3.3504578959124398E-2</v>
      </c>
      <c r="R169" s="77">
        <v>137.43</v>
      </c>
      <c r="S169" s="11">
        <f t="shared" si="19"/>
        <v>2.9515319499587855E-2</v>
      </c>
      <c r="U169" s="77">
        <v>4.0049999999999999</v>
      </c>
      <c r="V169" s="11">
        <f t="shared" si="20"/>
        <v>-2.2918638832145621E-3</v>
      </c>
      <c r="X169" s="72"/>
    </row>
    <row r="170" spans="2:24" x14ac:dyDescent="0.3">
      <c r="B170" s="72">
        <v>44605</v>
      </c>
      <c r="C170" s="16">
        <v>16392.3</v>
      </c>
      <c r="D170" s="11">
        <f t="shared" si="14"/>
        <v>-1.6363636363636358E-2</v>
      </c>
      <c r="F170" s="77">
        <v>50.53</v>
      </c>
      <c r="G170" s="11">
        <f t="shared" si="15"/>
        <v>1.7929089443996737E-2</v>
      </c>
      <c r="I170" s="77">
        <v>501.27</v>
      </c>
      <c r="J170" s="11">
        <f t="shared" si="16"/>
        <v>5.8795200064212239E-3</v>
      </c>
      <c r="L170" s="77">
        <v>204.39</v>
      </c>
      <c r="M170" s="11">
        <f t="shared" si="17"/>
        <v>-3.3891094724900817E-2</v>
      </c>
      <c r="O170" s="77">
        <v>45.59</v>
      </c>
      <c r="P170" s="11">
        <f t="shared" si="18"/>
        <v>-1.4696347525394393E-2</v>
      </c>
      <c r="R170" s="77">
        <v>142.84</v>
      </c>
      <c r="S170" s="11">
        <f t="shared" si="19"/>
        <v>3.9365495161172825E-2</v>
      </c>
      <c r="U170" s="77">
        <v>3.98</v>
      </c>
      <c r="V170" s="11">
        <f t="shared" si="20"/>
        <v>-6.2421972534332237E-3</v>
      </c>
      <c r="X170" s="72"/>
    </row>
    <row r="171" spans="2:24" x14ac:dyDescent="0.3">
      <c r="B171" s="72">
        <v>44612</v>
      </c>
      <c r="C171" s="16">
        <v>16428</v>
      </c>
      <c r="D171" s="11">
        <f t="shared" si="14"/>
        <v>2.1778517962702804E-3</v>
      </c>
      <c r="F171" s="77">
        <v>50.08</v>
      </c>
      <c r="G171" s="11">
        <f t="shared" si="15"/>
        <v>-8.9056006332871585E-3</v>
      </c>
      <c r="I171" s="77">
        <v>505.98</v>
      </c>
      <c r="J171" s="11">
        <f t="shared" si="16"/>
        <v>9.3961338200969635E-3</v>
      </c>
      <c r="L171" s="77">
        <v>199.22</v>
      </c>
      <c r="M171" s="11">
        <f t="shared" si="17"/>
        <v>-2.5294779588042382E-2</v>
      </c>
      <c r="O171" s="77">
        <v>46.46</v>
      </c>
      <c r="P171" s="11">
        <f t="shared" si="18"/>
        <v>1.9083132265847791E-2</v>
      </c>
      <c r="R171" s="77">
        <v>140.69</v>
      </c>
      <c r="S171" s="11">
        <f t="shared" si="19"/>
        <v>-1.5051806216746066E-2</v>
      </c>
      <c r="U171" s="77">
        <v>3.78</v>
      </c>
      <c r="V171" s="11">
        <f t="shared" si="20"/>
        <v>-5.0251256281407031E-2</v>
      </c>
      <c r="X171" s="72"/>
    </row>
    <row r="172" spans="2:24" x14ac:dyDescent="0.3">
      <c r="B172" s="72">
        <v>44619</v>
      </c>
      <c r="C172" s="16">
        <v>16129.7</v>
      </c>
      <c r="D172" s="11">
        <f t="shared" si="14"/>
        <v>-1.815802288775259E-2</v>
      </c>
      <c r="F172" s="77">
        <v>50.18</v>
      </c>
      <c r="G172" s="11">
        <f t="shared" si="15"/>
        <v>1.9968051118210983E-3</v>
      </c>
      <c r="I172" s="77">
        <v>513.82000000000005</v>
      </c>
      <c r="J172" s="11">
        <f t="shared" si="16"/>
        <v>1.5494683584331481E-2</v>
      </c>
      <c r="L172" s="77">
        <v>224.1</v>
      </c>
      <c r="M172" s="11">
        <f t="shared" si="17"/>
        <v>0.12488705953217538</v>
      </c>
      <c r="O172" s="77">
        <v>58.94</v>
      </c>
      <c r="P172" s="11">
        <f t="shared" si="18"/>
        <v>0.26861816616444245</v>
      </c>
      <c r="R172" s="77">
        <v>143.47</v>
      </c>
      <c r="S172" s="11">
        <f t="shared" si="19"/>
        <v>1.9759755490795339E-2</v>
      </c>
      <c r="U172" s="77">
        <v>3.7</v>
      </c>
      <c r="V172" s="11">
        <f t="shared" si="20"/>
        <v>-2.1164021164021052E-2</v>
      </c>
      <c r="X172" s="72"/>
    </row>
    <row r="173" spans="2:24" x14ac:dyDescent="0.3">
      <c r="B173" s="72">
        <v>44626</v>
      </c>
      <c r="C173" s="16">
        <v>15753.7</v>
      </c>
      <c r="D173" s="11">
        <f t="shared" si="14"/>
        <v>-2.3311034923154228E-2</v>
      </c>
      <c r="F173" s="77">
        <v>48.59</v>
      </c>
      <c r="G173" s="11">
        <f t="shared" si="15"/>
        <v>-3.1685930649661187E-2</v>
      </c>
      <c r="I173" s="77">
        <v>515.69000000000005</v>
      </c>
      <c r="J173" s="11">
        <f t="shared" si="16"/>
        <v>3.6394067961542653E-3</v>
      </c>
      <c r="L173" s="77">
        <v>206.97</v>
      </c>
      <c r="M173" s="11">
        <f t="shared" si="17"/>
        <v>-7.6439089692101669E-2</v>
      </c>
      <c r="O173" s="77">
        <v>55.89</v>
      </c>
      <c r="P173" s="11">
        <f t="shared" si="18"/>
        <v>-5.1747539871055293E-2</v>
      </c>
      <c r="R173" s="77">
        <v>147.02000000000001</v>
      </c>
      <c r="S173" s="11">
        <f t="shared" si="19"/>
        <v>2.4743848888269415E-2</v>
      </c>
      <c r="U173" s="77">
        <v>3.56</v>
      </c>
      <c r="V173" s="11">
        <f t="shared" si="20"/>
        <v>-3.7837837837837895E-2</v>
      </c>
      <c r="X173" s="72"/>
    </row>
    <row r="174" spans="2:24" x14ac:dyDescent="0.3">
      <c r="B174" s="72">
        <v>44633</v>
      </c>
      <c r="C174" s="16">
        <v>16612.599999999999</v>
      </c>
      <c r="D174" s="11">
        <f t="shared" si="14"/>
        <v>5.4520525336904768E-2</v>
      </c>
      <c r="F174" s="77">
        <v>46.25</v>
      </c>
      <c r="G174" s="11">
        <f t="shared" si="15"/>
        <v>-4.8158057213418481E-2</v>
      </c>
      <c r="I174" s="77">
        <v>548.87</v>
      </c>
      <c r="J174" s="11">
        <f t="shared" si="16"/>
        <v>6.434098004615163E-2</v>
      </c>
      <c r="L174" s="77">
        <v>226.05</v>
      </c>
      <c r="M174" s="11">
        <f t="shared" si="17"/>
        <v>9.2187273517901236E-2</v>
      </c>
      <c r="O174" s="77">
        <v>55.82</v>
      </c>
      <c r="P174" s="11">
        <f t="shared" si="18"/>
        <v>-1.2524601896582999E-3</v>
      </c>
      <c r="R174" s="77">
        <v>157.16999999999999</v>
      </c>
      <c r="S174" s="11">
        <f t="shared" si="19"/>
        <v>6.9038226091687971E-2</v>
      </c>
      <c r="U174" s="77">
        <v>3.67</v>
      </c>
      <c r="V174" s="11">
        <f t="shared" si="20"/>
        <v>3.0898876404494402E-2</v>
      </c>
      <c r="X174" s="72"/>
    </row>
    <row r="175" spans="2:24" x14ac:dyDescent="0.3">
      <c r="B175" s="72">
        <v>44640</v>
      </c>
      <c r="C175" s="16">
        <v>16792.8</v>
      </c>
      <c r="D175" s="11">
        <f t="shared" si="14"/>
        <v>1.0847188278776398E-2</v>
      </c>
      <c r="F175" s="77">
        <v>47.95</v>
      </c>
      <c r="G175" s="11">
        <f t="shared" si="15"/>
        <v>3.6756756756756825E-2</v>
      </c>
      <c r="I175" s="77">
        <v>543.35</v>
      </c>
      <c r="J175" s="11">
        <f t="shared" si="16"/>
        <v>-1.0057026253939894E-2</v>
      </c>
      <c r="L175" s="77">
        <v>218.61</v>
      </c>
      <c r="M175" s="11">
        <f t="shared" si="17"/>
        <v>-3.2913072329130766E-2</v>
      </c>
      <c r="O175" s="77">
        <v>57</v>
      </c>
      <c r="P175" s="11">
        <f t="shared" si="18"/>
        <v>2.1139376567538504E-2</v>
      </c>
      <c r="R175" s="77">
        <v>156.41</v>
      </c>
      <c r="S175" s="11">
        <f t="shared" si="19"/>
        <v>-4.8355284087293615E-3</v>
      </c>
      <c r="U175" s="77">
        <v>3.5200999999999998</v>
      </c>
      <c r="V175" s="11">
        <f t="shared" si="20"/>
        <v>-4.0844686648501383E-2</v>
      </c>
      <c r="X175" s="72"/>
    </row>
    <row r="176" spans="2:24" x14ac:dyDescent="0.3">
      <c r="B176" s="72">
        <v>44647</v>
      </c>
      <c r="C176" s="16">
        <v>16787.8</v>
      </c>
      <c r="D176" s="11">
        <f t="shared" si="14"/>
        <v>-2.9774665332760186E-4</v>
      </c>
      <c r="F176" s="77">
        <v>48.24</v>
      </c>
      <c r="G176" s="11">
        <f t="shared" si="15"/>
        <v>6.0479666319082082E-3</v>
      </c>
      <c r="I176" s="77">
        <v>562.77</v>
      </c>
      <c r="J176" s="11">
        <f t="shared" si="16"/>
        <v>3.5741234931443655E-2</v>
      </c>
      <c r="L176" s="77">
        <v>210.54</v>
      </c>
      <c r="M176" s="11">
        <f t="shared" si="17"/>
        <v>-3.6915054206120623E-2</v>
      </c>
      <c r="O176" s="77">
        <v>57.48</v>
      </c>
      <c r="P176" s="11">
        <f t="shared" si="18"/>
        <v>8.4210526315788847E-3</v>
      </c>
      <c r="R176" s="77">
        <v>159.43</v>
      </c>
      <c r="S176" s="11">
        <f t="shared" si="19"/>
        <v>1.9308228374145031E-2</v>
      </c>
      <c r="U176" s="77">
        <v>3.84</v>
      </c>
      <c r="V176" s="11">
        <f t="shared" si="20"/>
        <v>9.0878100053975785E-2</v>
      </c>
      <c r="X176" s="72"/>
    </row>
    <row r="177" spans="2:24" x14ac:dyDescent="0.3">
      <c r="B177" s="72">
        <v>44654</v>
      </c>
      <c r="C177" s="16">
        <v>16690</v>
      </c>
      <c r="D177" s="11">
        <f t="shared" si="14"/>
        <v>-5.8256591095914301E-3</v>
      </c>
      <c r="F177" s="77">
        <v>47.59</v>
      </c>
      <c r="G177" s="11">
        <f t="shared" si="15"/>
        <v>-1.3474295190713081E-2</v>
      </c>
      <c r="I177" s="77">
        <v>586.70000000000005</v>
      </c>
      <c r="J177" s="11">
        <f t="shared" si="16"/>
        <v>4.2521811752581185E-2</v>
      </c>
      <c r="L177" s="77">
        <v>233.34</v>
      </c>
      <c r="M177" s="11">
        <f t="shared" si="17"/>
        <v>0.10829296095753782</v>
      </c>
      <c r="O177" s="77">
        <v>61.67</v>
      </c>
      <c r="P177" s="11">
        <f t="shared" si="18"/>
        <v>7.289491997216424E-2</v>
      </c>
      <c r="R177" s="77">
        <v>162.91999999999999</v>
      </c>
      <c r="S177" s="11">
        <f t="shared" si="19"/>
        <v>2.1890484852286063E-2</v>
      </c>
      <c r="U177" s="77">
        <v>3.51</v>
      </c>
      <c r="V177" s="11">
        <f t="shared" si="20"/>
        <v>-8.59375E-2</v>
      </c>
      <c r="X177" s="72"/>
    </row>
    <row r="178" spans="2:24" x14ac:dyDescent="0.3">
      <c r="B178" s="72">
        <v>44661</v>
      </c>
      <c r="C178" s="16">
        <v>16511.5</v>
      </c>
      <c r="D178" s="11">
        <f t="shared" si="14"/>
        <v>-1.0695026962252885E-2</v>
      </c>
      <c r="F178" s="77">
        <v>46.83</v>
      </c>
      <c r="G178" s="11">
        <f t="shared" si="15"/>
        <v>-1.5969741542340987E-2</v>
      </c>
      <c r="I178" s="77">
        <v>577.26</v>
      </c>
      <c r="J178" s="11">
        <f t="shared" si="16"/>
        <v>-1.6089994886654302E-2</v>
      </c>
      <c r="L178" s="77">
        <v>237.2</v>
      </c>
      <c r="M178" s="11">
        <f t="shared" si="17"/>
        <v>1.6542384503299923E-2</v>
      </c>
      <c r="O178" s="77">
        <v>58.32</v>
      </c>
      <c r="P178" s="11">
        <f t="shared" si="18"/>
        <v>-5.4321388033079288E-2</v>
      </c>
      <c r="R178" s="77">
        <v>173.05</v>
      </c>
      <c r="S178" s="11">
        <f t="shared" si="19"/>
        <v>6.2177755953842562E-2</v>
      </c>
      <c r="U178" s="77">
        <v>3.48</v>
      </c>
      <c r="V178" s="11">
        <f t="shared" si="20"/>
        <v>-8.5470085470085166E-3</v>
      </c>
      <c r="X178" s="72"/>
    </row>
    <row r="179" spans="2:24" x14ac:dyDescent="0.3">
      <c r="B179" s="72">
        <v>44668</v>
      </c>
      <c r="C179" s="16">
        <v>16056.9</v>
      </c>
      <c r="D179" s="11">
        <f t="shared" si="14"/>
        <v>-2.7532325954637726E-2</v>
      </c>
      <c r="F179" s="77">
        <v>45.76</v>
      </c>
      <c r="G179" s="11">
        <f t="shared" si="15"/>
        <v>-2.2848601323937623E-2</v>
      </c>
      <c r="I179" s="77">
        <v>558.99</v>
      </c>
      <c r="J179" s="11">
        <f t="shared" si="16"/>
        <v>-3.1649516682257572E-2</v>
      </c>
      <c r="L179" s="77">
        <v>241.68</v>
      </c>
      <c r="M179" s="11">
        <f t="shared" si="17"/>
        <v>1.8887015177065924E-2</v>
      </c>
      <c r="O179" s="77">
        <v>57</v>
      </c>
      <c r="P179" s="11">
        <f t="shared" si="18"/>
        <v>-2.2633744855967031E-2</v>
      </c>
      <c r="R179" s="77">
        <v>167.49</v>
      </c>
      <c r="S179" s="11">
        <f t="shared" si="19"/>
        <v>-3.21294423577001E-2</v>
      </c>
      <c r="U179" s="77">
        <v>3.41</v>
      </c>
      <c r="V179" s="11">
        <f t="shared" si="20"/>
        <v>-2.011494252873558E-2</v>
      </c>
      <c r="X179" s="72"/>
    </row>
    <row r="180" spans="2:24" x14ac:dyDescent="0.3">
      <c r="B180" s="72">
        <v>44675</v>
      </c>
      <c r="C180" s="16">
        <v>15615.2</v>
      </c>
      <c r="D180" s="11">
        <f t="shared" si="14"/>
        <v>-2.750842317010127E-2</v>
      </c>
      <c r="F180" s="77">
        <v>45.1</v>
      </c>
      <c r="G180" s="11">
        <f t="shared" si="15"/>
        <v>-1.4423076923076872E-2</v>
      </c>
      <c r="I180" s="77">
        <v>519.9</v>
      </c>
      <c r="J180" s="11">
        <f t="shared" si="16"/>
        <v>-6.9929694627810957E-2</v>
      </c>
      <c r="L180" s="77">
        <v>228.65</v>
      </c>
      <c r="M180" s="11">
        <f t="shared" si="17"/>
        <v>-5.3914266799073185E-2</v>
      </c>
      <c r="O180" s="77">
        <v>53.96</v>
      </c>
      <c r="P180" s="11">
        <f t="shared" si="18"/>
        <v>-5.3333333333333344E-2</v>
      </c>
      <c r="R180" s="77">
        <v>162.44999999999999</v>
      </c>
      <c r="S180" s="11">
        <f t="shared" si="19"/>
        <v>-3.0091348737238177E-2</v>
      </c>
      <c r="U180" s="77">
        <v>3.415</v>
      </c>
      <c r="V180" s="11">
        <f t="shared" si="20"/>
        <v>1.4662756598240456E-3</v>
      </c>
      <c r="X180" s="72"/>
    </row>
    <row r="181" spans="2:24" x14ac:dyDescent="0.3">
      <c r="B181" s="72">
        <v>44682</v>
      </c>
      <c r="C181" s="16">
        <v>15566.6</v>
      </c>
      <c r="D181" s="11">
        <f t="shared" si="14"/>
        <v>-3.1123520672166061E-3</v>
      </c>
      <c r="F181" s="77">
        <v>45.57</v>
      </c>
      <c r="G181" s="11">
        <f t="shared" si="15"/>
        <v>1.0421286031042198E-2</v>
      </c>
      <c r="I181" s="77">
        <v>492.17</v>
      </c>
      <c r="J181" s="11">
        <f t="shared" si="16"/>
        <v>-5.3337180226966652E-2</v>
      </c>
      <c r="L181" s="77">
        <v>225.21</v>
      </c>
      <c r="M181" s="11">
        <f t="shared" si="17"/>
        <v>-1.5044828340257999E-2</v>
      </c>
      <c r="O181" s="77">
        <v>53.85</v>
      </c>
      <c r="P181" s="11">
        <f t="shared" si="18"/>
        <v>-2.0385470719050947E-3</v>
      </c>
      <c r="R181" s="77">
        <v>164.39</v>
      </c>
      <c r="S181" s="11">
        <f t="shared" si="19"/>
        <v>1.1942136041859008E-2</v>
      </c>
      <c r="U181" s="77">
        <v>3.38</v>
      </c>
      <c r="V181" s="11">
        <f t="shared" si="20"/>
        <v>-1.024890190336758E-2</v>
      </c>
      <c r="X181" s="72"/>
    </row>
    <row r="182" spans="2:24" x14ac:dyDescent="0.3">
      <c r="B182" s="72">
        <v>44689</v>
      </c>
      <c r="C182" s="16">
        <v>15257.4</v>
      </c>
      <c r="D182" s="11">
        <f t="shared" si="14"/>
        <v>-1.9863040098672791E-2</v>
      </c>
      <c r="F182" s="77">
        <v>47.61</v>
      </c>
      <c r="G182" s="11">
        <f t="shared" si="15"/>
        <v>4.476629361421991E-2</v>
      </c>
      <c r="I182" s="77">
        <v>486.21</v>
      </c>
      <c r="J182" s="11">
        <f t="shared" si="16"/>
        <v>-1.2109636914074517E-2</v>
      </c>
      <c r="L182" s="77">
        <v>219.73</v>
      </c>
      <c r="M182" s="11">
        <f t="shared" si="17"/>
        <v>-2.4332844900315287E-2</v>
      </c>
      <c r="O182" s="77">
        <v>53.39</v>
      </c>
      <c r="P182" s="11">
        <f t="shared" si="18"/>
        <v>-8.5422469823583924E-3</v>
      </c>
      <c r="R182" s="77">
        <v>159.4</v>
      </c>
      <c r="S182" s="11">
        <f t="shared" si="19"/>
        <v>-3.0354644443092549E-2</v>
      </c>
      <c r="U182" s="77">
        <v>3.44</v>
      </c>
      <c r="V182" s="11">
        <f t="shared" si="20"/>
        <v>1.7751479289940919E-2</v>
      </c>
      <c r="X182" s="72"/>
    </row>
    <row r="183" spans="2:24" x14ac:dyDescent="0.3">
      <c r="B183" s="72">
        <v>44696</v>
      </c>
      <c r="C183" s="16">
        <v>15081</v>
      </c>
      <c r="D183" s="11">
        <f t="shared" si="14"/>
        <v>-1.1561602894333167E-2</v>
      </c>
      <c r="F183" s="77">
        <v>46.77</v>
      </c>
      <c r="G183" s="11">
        <f t="shared" si="15"/>
        <v>-1.7643352236924925E-2</v>
      </c>
      <c r="I183" s="77">
        <v>407.17</v>
      </c>
      <c r="J183" s="11">
        <f t="shared" si="16"/>
        <v>-0.16256350136772169</v>
      </c>
      <c r="L183" s="77">
        <v>155.36000000000001</v>
      </c>
      <c r="M183" s="11">
        <f t="shared" si="17"/>
        <v>-0.29295043917535146</v>
      </c>
      <c r="O183" s="77">
        <v>48.66</v>
      </c>
      <c r="P183" s="11">
        <f t="shared" si="18"/>
        <v>-8.8593369544858636E-2</v>
      </c>
      <c r="R183" s="77">
        <v>127.88</v>
      </c>
      <c r="S183" s="11">
        <f t="shared" si="19"/>
        <v>-0.19774153074027612</v>
      </c>
      <c r="U183" s="77">
        <v>3.18</v>
      </c>
      <c r="V183" s="11">
        <f t="shared" si="20"/>
        <v>-7.5581395348837122E-2</v>
      </c>
      <c r="X183" s="72"/>
    </row>
    <row r="184" spans="2:24" x14ac:dyDescent="0.3">
      <c r="B184" s="72">
        <v>44703</v>
      </c>
      <c r="C184" s="16">
        <v>15942.6</v>
      </c>
      <c r="D184" s="11">
        <f t="shared" si="14"/>
        <v>5.7131489954246995E-2</v>
      </c>
      <c r="F184" s="77">
        <v>43.88</v>
      </c>
      <c r="G184" s="11">
        <f t="shared" si="15"/>
        <v>-6.179174684626898E-2</v>
      </c>
      <c r="I184" s="77">
        <v>460.29</v>
      </c>
      <c r="J184" s="11">
        <f t="shared" si="16"/>
        <v>0.13046147800672947</v>
      </c>
      <c r="L184" s="77">
        <v>167.14</v>
      </c>
      <c r="M184" s="11">
        <f t="shared" si="17"/>
        <v>7.5823892893923661E-2</v>
      </c>
      <c r="O184" s="77">
        <v>52.96</v>
      </c>
      <c r="P184" s="11">
        <f t="shared" si="18"/>
        <v>8.8368269625976215E-2</v>
      </c>
      <c r="R184" s="77">
        <v>165</v>
      </c>
      <c r="S184" s="11">
        <f t="shared" si="19"/>
        <v>0.29027213012198949</v>
      </c>
      <c r="U184" s="77">
        <v>3.2</v>
      </c>
      <c r="V184" s="11">
        <f t="shared" si="20"/>
        <v>6.2893081761006275E-3</v>
      </c>
      <c r="X184" s="72"/>
    </row>
    <row r="185" spans="2:24" x14ac:dyDescent="0.3">
      <c r="B185" s="72">
        <v>44710</v>
      </c>
      <c r="C185" s="16">
        <v>15797.2</v>
      </c>
      <c r="D185" s="11">
        <f t="shared" si="14"/>
        <v>-9.1202187848907768E-3</v>
      </c>
      <c r="F185" s="77">
        <v>44.2</v>
      </c>
      <c r="G185" s="11">
        <f t="shared" si="15"/>
        <v>7.2926162260711358E-3</v>
      </c>
      <c r="I185" s="77">
        <v>465.66</v>
      </c>
      <c r="J185" s="11">
        <f t="shared" si="16"/>
        <v>1.1666558039496788E-2</v>
      </c>
      <c r="L185" s="77">
        <v>161.04</v>
      </c>
      <c r="M185" s="11">
        <f t="shared" si="17"/>
        <v>-3.6496350364963459E-2</v>
      </c>
      <c r="O185" s="77">
        <v>52.54</v>
      </c>
      <c r="P185" s="11">
        <f t="shared" si="18"/>
        <v>-7.9305135951661665E-3</v>
      </c>
      <c r="R185" s="77">
        <v>159.88</v>
      </c>
      <c r="S185" s="11">
        <f t="shared" si="19"/>
        <v>-3.1030303030303075E-2</v>
      </c>
      <c r="U185" s="77">
        <v>3.38</v>
      </c>
      <c r="V185" s="11">
        <f t="shared" si="20"/>
        <v>5.6249999999999911E-2</v>
      </c>
      <c r="X185" s="72"/>
    </row>
    <row r="186" spans="2:24" x14ac:dyDescent="0.3">
      <c r="B186" s="72">
        <v>44717</v>
      </c>
      <c r="C186" s="16">
        <v>15096.7</v>
      </c>
      <c r="D186" s="11">
        <f t="shared" si="14"/>
        <v>-4.4343301344542119E-2</v>
      </c>
      <c r="F186" s="77">
        <v>43.32</v>
      </c>
      <c r="G186" s="11">
        <f t="shared" si="15"/>
        <v>-1.9909502262443479E-2</v>
      </c>
      <c r="I186" s="77">
        <v>453.01</v>
      </c>
      <c r="J186" s="11">
        <f t="shared" si="16"/>
        <v>-2.7165743246145291E-2</v>
      </c>
      <c r="L186" s="77">
        <v>149.66999999999999</v>
      </c>
      <c r="M186" s="11">
        <f t="shared" si="17"/>
        <v>-7.0603576751117725E-2</v>
      </c>
      <c r="O186" s="77">
        <v>51.09</v>
      </c>
      <c r="P186" s="11">
        <f t="shared" si="18"/>
        <v>-2.7598020555766989E-2</v>
      </c>
      <c r="R186" s="77">
        <v>156</v>
      </c>
      <c r="S186" s="11">
        <f t="shared" si="19"/>
        <v>-2.4268201150863145E-2</v>
      </c>
      <c r="U186" s="77">
        <v>2.96</v>
      </c>
      <c r="V186" s="11">
        <f t="shared" si="20"/>
        <v>-0.12426035502958577</v>
      </c>
      <c r="X186" s="72"/>
    </row>
    <row r="187" spans="2:24" x14ac:dyDescent="0.3">
      <c r="B187" s="72">
        <v>44724</v>
      </c>
      <c r="C187" s="16">
        <v>14097</v>
      </c>
      <c r="D187" s="11">
        <f t="shared" si="14"/>
        <v>-6.6219769883484547E-2</v>
      </c>
      <c r="F187" s="77">
        <v>43.13</v>
      </c>
      <c r="G187" s="11">
        <f t="shared" si="15"/>
        <v>-4.3859649122806044E-3</v>
      </c>
      <c r="I187" s="77">
        <v>436.76</v>
      </c>
      <c r="J187" s="11">
        <f t="shared" si="16"/>
        <v>-3.5871172821791975E-2</v>
      </c>
      <c r="L187" s="77">
        <v>139.30000000000001</v>
      </c>
      <c r="M187" s="11">
        <f t="shared" si="17"/>
        <v>-6.928576200975467E-2</v>
      </c>
      <c r="O187" s="77">
        <v>46.2</v>
      </c>
      <c r="P187" s="11">
        <f t="shared" si="18"/>
        <v>-9.5713446858485041E-2</v>
      </c>
      <c r="R187" s="77">
        <v>150.09</v>
      </c>
      <c r="S187" s="11">
        <f t="shared" si="19"/>
        <v>-3.7884615384615405E-2</v>
      </c>
      <c r="U187" s="77">
        <v>2.99</v>
      </c>
      <c r="V187" s="11">
        <f t="shared" si="20"/>
        <v>1.0135135135135309E-2</v>
      </c>
      <c r="X187" s="72"/>
    </row>
    <row r="188" spans="2:24" x14ac:dyDescent="0.3">
      <c r="B188" s="72">
        <v>44731</v>
      </c>
      <c r="C188" s="16">
        <v>14811.5</v>
      </c>
      <c r="D188" s="11">
        <f t="shared" si="14"/>
        <v>5.0684542810527144E-2</v>
      </c>
      <c r="F188" s="77">
        <v>43.75</v>
      </c>
      <c r="G188" s="11">
        <f t="shared" si="15"/>
        <v>1.4375144910734994E-2</v>
      </c>
      <c r="I188" s="77">
        <v>473.6</v>
      </c>
      <c r="J188" s="11">
        <f t="shared" si="16"/>
        <v>8.4348383551607453E-2</v>
      </c>
      <c r="L188" s="77">
        <v>150.41999999999999</v>
      </c>
      <c r="M188" s="11">
        <f t="shared" si="17"/>
        <v>7.9827709978463668E-2</v>
      </c>
      <c r="O188" s="77">
        <v>48.45</v>
      </c>
      <c r="P188" s="11">
        <f t="shared" si="18"/>
        <v>4.870129870129869E-2</v>
      </c>
      <c r="R188" s="77">
        <v>157.21</v>
      </c>
      <c r="S188" s="11">
        <f t="shared" si="19"/>
        <v>4.7438203744420093E-2</v>
      </c>
      <c r="U188" s="77">
        <v>3.145</v>
      </c>
      <c r="V188" s="11">
        <f t="shared" si="20"/>
        <v>5.1839464882942998E-2</v>
      </c>
      <c r="X188" s="72"/>
    </row>
    <row r="189" spans="2:24" x14ac:dyDescent="0.3">
      <c r="B189" s="72">
        <v>44738</v>
      </c>
      <c r="C189" s="16">
        <v>14636.8</v>
      </c>
      <c r="D189" s="11">
        <f t="shared" si="14"/>
        <v>-1.1794889106437667E-2</v>
      </c>
      <c r="F189" s="77">
        <v>43.91</v>
      </c>
      <c r="G189" s="11">
        <f t="shared" si="15"/>
        <v>3.6571428571428033E-3</v>
      </c>
      <c r="I189" s="77">
        <v>474.96</v>
      </c>
      <c r="J189" s="11">
        <f t="shared" si="16"/>
        <v>2.8716216216215784E-3</v>
      </c>
      <c r="L189" s="77">
        <v>142.38</v>
      </c>
      <c r="M189" s="11">
        <f t="shared" si="17"/>
        <v>-5.3450339050658102E-2</v>
      </c>
      <c r="O189" s="77">
        <v>48.14</v>
      </c>
      <c r="P189" s="11">
        <f t="shared" si="18"/>
        <v>-6.3983488132095534E-3</v>
      </c>
      <c r="R189" s="77">
        <v>156.27000000000001</v>
      </c>
      <c r="S189" s="11">
        <f t="shared" si="19"/>
        <v>-5.9792634056357041E-3</v>
      </c>
      <c r="U189" s="77">
        <v>3.15</v>
      </c>
      <c r="V189" s="11">
        <f t="shared" si="20"/>
        <v>1.5898251192367763E-3</v>
      </c>
      <c r="X189" s="72"/>
    </row>
    <row r="190" spans="2:24" x14ac:dyDescent="0.3">
      <c r="B190" s="72">
        <v>44745</v>
      </c>
      <c r="C190" s="16">
        <v>14642.3</v>
      </c>
      <c r="D190" s="11">
        <f t="shared" si="14"/>
        <v>3.7576519457815927E-4</v>
      </c>
      <c r="F190" s="77">
        <v>43.56</v>
      </c>
      <c r="G190" s="11">
        <f t="shared" si="15"/>
        <v>-7.9708494648143002E-3</v>
      </c>
      <c r="I190" s="77">
        <v>490.39</v>
      </c>
      <c r="J190" s="11">
        <f t="shared" si="16"/>
        <v>3.2486946269159489E-2</v>
      </c>
      <c r="L190" s="77">
        <v>147.99</v>
      </c>
      <c r="M190" s="11">
        <f t="shared" si="17"/>
        <v>3.9401601348504123E-2</v>
      </c>
      <c r="O190" s="77">
        <v>48.02</v>
      </c>
      <c r="P190" s="11">
        <f t="shared" si="18"/>
        <v>-2.49272953884494E-3</v>
      </c>
      <c r="R190" s="77">
        <v>167.36</v>
      </c>
      <c r="S190" s="11">
        <f t="shared" si="19"/>
        <v>7.0966916234721955E-2</v>
      </c>
      <c r="U190" s="77">
        <v>3.09</v>
      </c>
      <c r="V190" s="11">
        <f t="shared" si="20"/>
        <v>-1.9047619047619091E-2</v>
      </c>
      <c r="X190" s="72"/>
    </row>
    <row r="191" spans="2:24" x14ac:dyDescent="0.3">
      <c r="B191" s="72">
        <v>44752</v>
      </c>
      <c r="C191" s="16">
        <v>14449.7</v>
      </c>
      <c r="D191" s="11">
        <f t="shared" si="14"/>
        <v>-1.3153671212855822E-2</v>
      </c>
      <c r="F191" s="77">
        <v>39.74</v>
      </c>
      <c r="G191" s="11">
        <f t="shared" si="15"/>
        <v>-8.7695133149678584E-2</v>
      </c>
      <c r="I191" s="77">
        <v>511.32</v>
      </c>
      <c r="J191" s="11">
        <f t="shared" si="16"/>
        <v>4.2680315667122048E-2</v>
      </c>
      <c r="L191" s="77">
        <v>146.66999999999999</v>
      </c>
      <c r="M191" s="11">
        <f t="shared" si="17"/>
        <v>-8.9195215892967639E-3</v>
      </c>
      <c r="O191" s="77">
        <v>47.75</v>
      </c>
      <c r="P191" s="11">
        <f t="shared" si="18"/>
        <v>-5.6226572261558472E-3</v>
      </c>
      <c r="R191" s="77">
        <v>167.96</v>
      </c>
      <c r="S191" s="11">
        <f t="shared" si="19"/>
        <v>3.5850860420649777E-3</v>
      </c>
      <c r="U191" s="77">
        <v>3.02</v>
      </c>
      <c r="V191" s="11">
        <f t="shared" si="20"/>
        <v>-2.2653721682847849E-2</v>
      </c>
      <c r="X191" s="72"/>
    </row>
    <row r="192" spans="2:24" x14ac:dyDescent="0.3">
      <c r="B192" s="72">
        <v>44759</v>
      </c>
      <c r="C192" s="16">
        <v>14790.8</v>
      </c>
      <c r="D192" s="11">
        <f t="shared" si="14"/>
        <v>2.3606026422693827E-2</v>
      </c>
      <c r="F192" s="77">
        <v>39.44</v>
      </c>
      <c r="G192" s="11">
        <f t="shared" si="15"/>
        <v>-7.5490689481632067E-3</v>
      </c>
      <c r="I192" s="77">
        <v>517.94000000000005</v>
      </c>
      <c r="J192" s="11">
        <f t="shared" si="16"/>
        <v>1.294688257842469E-2</v>
      </c>
      <c r="L192" s="77">
        <v>157.74</v>
      </c>
      <c r="M192" s="11">
        <f t="shared" si="17"/>
        <v>7.5475557373696267E-2</v>
      </c>
      <c r="O192" s="77">
        <v>46.24</v>
      </c>
      <c r="P192" s="11">
        <f t="shared" si="18"/>
        <v>-3.162303664921462E-2</v>
      </c>
      <c r="R192" s="77">
        <v>172.01</v>
      </c>
      <c r="S192" s="11">
        <f t="shared" si="19"/>
        <v>2.4112884020004666E-2</v>
      </c>
      <c r="U192" s="77">
        <v>3.13</v>
      </c>
      <c r="V192" s="11">
        <f t="shared" si="20"/>
        <v>3.6423841059602502E-2</v>
      </c>
      <c r="X192" s="72"/>
    </row>
    <row r="193" spans="2:24" x14ac:dyDescent="0.3">
      <c r="B193" s="72">
        <v>44766</v>
      </c>
      <c r="C193" s="16">
        <v>15327.7</v>
      </c>
      <c r="D193" s="11">
        <f t="shared" si="14"/>
        <v>3.6299591638045303E-2</v>
      </c>
      <c r="F193" s="77">
        <v>39.950000000000003</v>
      </c>
      <c r="G193" s="11">
        <f t="shared" si="15"/>
        <v>1.2931034482758674E-2</v>
      </c>
      <c r="I193" s="77">
        <v>529.26</v>
      </c>
      <c r="J193" s="11">
        <f t="shared" si="16"/>
        <v>2.1855813414681124E-2</v>
      </c>
      <c r="L193" s="77">
        <v>163.38</v>
      </c>
      <c r="M193" s="11">
        <f t="shared" si="17"/>
        <v>3.5755039939140199E-2</v>
      </c>
      <c r="O193" s="77">
        <v>46.44</v>
      </c>
      <c r="P193" s="11">
        <f t="shared" si="18"/>
        <v>4.325259515570945E-3</v>
      </c>
      <c r="R193" s="77">
        <v>165.36</v>
      </c>
      <c r="S193" s="11">
        <f t="shared" si="19"/>
        <v>-3.866054299168642E-2</v>
      </c>
      <c r="U193" s="77">
        <v>3.25</v>
      </c>
      <c r="V193" s="11">
        <f t="shared" si="20"/>
        <v>3.833865814696491E-2</v>
      </c>
      <c r="X193" s="72"/>
    </row>
    <row r="194" spans="2:24" x14ac:dyDescent="0.3">
      <c r="B194" s="72">
        <v>44773</v>
      </c>
      <c r="C194" s="16">
        <v>15273.2</v>
      </c>
      <c r="D194" s="11">
        <f t="shared" si="14"/>
        <v>-3.555654142500142E-3</v>
      </c>
      <c r="F194" s="77">
        <v>39.25</v>
      </c>
      <c r="G194" s="11">
        <f t="shared" si="15"/>
        <v>-1.7521902377972576E-2</v>
      </c>
      <c r="I194" s="77">
        <v>528.65</v>
      </c>
      <c r="J194" s="11">
        <f t="shared" si="16"/>
        <v>-1.1525526206401793E-3</v>
      </c>
      <c r="L194" s="77">
        <v>166.13</v>
      </c>
      <c r="M194" s="11">
        <f t="shared" si="17"/>
        <v>1.6831925572285522E-2</v>
      </c>
      <c r="O194" s="77">
        <v>47.25</v>
      </c>
      <c r="P194" s="11">
        <f t="shared" si="18"/>
        <v>1.744186046511631E-2</v>
      </c>
      <c r="R194" s="77">
        <v>164.97</v>
      </c>
      <c r="S194" s="11">
        <f t="shared" si="19"/>
        <v>-2.3584905660378741E-3</v>
      </c>
      <c r="U194" s="77">
        <v>3.06</v>
      </c>
      <c r="V194" s="11">
        <f t="shared" si="20"/>
        <v>-5.8461538461538454E-2</v>
      </c>
      <c r="X194" s="72"/>
    </row>
    <row r="195" spans="2:24" x14ac:dyDescent="0.3">
      <c r="B195" s="72">
        <v>44780</v>
      </c>
      <c r="C195" s="16">
        <v>15804.4</v>
      </c>
      <c r="D195" s="11">
        <f t="shared" si="14"/>
        <v>3.4779875860985188E-2</v>
      </c>
      <c r="F195" s="77">
        <v>40.520000000000003</v>
      </c>
      <c r="G195" s="11">
        <f t="shared" si="15"/>
        <v>3.2356687898089209E-2</v>
      </c>
      <c r="I195" s="77">
        <v>525.27</v>
      </c>
      <c r="J195" s="11">
        <f t="shared" si="16"/>
        <v>-6.3936441880261263E-3</v>
      </c>
      <c r="L195" s="77">
        <v>172.48</v>
      </c>
      <c r="M195" s="11">
        <f t="shared" si="17"/>
        <v>3.8223078312165093E-2</v>
      </c>
      <c r="O195" s="77">
        <v>47.21</v>
      </c>
      <c r="P195" s="11">
        <f t="shared" si="18"/>
        <v>-8.4656084656087316E-4</v>
      </c>
      <c r="R195" s="77">
        <v>166.76</v>
      </c>
      <c r="S195" s="11">
        <f t="shared" si="19"/>
        <v>1.0850457658968304E-2</v>
      </c>
      <c r="U195" s="77">
        <v>3.2149999999999999</v>
      </c>
      <c r="V195" s="11">
        <f t="shared" si="20"/>
        <v>5.0653594771241872E-2</v>
      </c>
      <c r="X195" s="72"/>
    </row>
    <row r="196" spans="2:24" x14ac:dyDescent="0.3">
      <c r="B196" s="72">
        <v>44787</v>
      </c>
      <c r="C196" s="16">
        <v>15588.3</v>
      </c>
      <c r="D196" s="11">
        <f t="shared" si="14"/>
        <v>-1.3673407405532689E-2</v>
      </c>
      <c r="F196" s="77">
        <v>41.35</v>
      </c>
      <c r="G196" s="11">
        <f t="shared" si="15"/>
        <v>2.0483711747285138E-2</v>
      </c>
      <c r="I196" s="77">
        <v>542.20000000000005</v>
      </c>
      <c r="J196" s="11">
        <f t="shared" si="16"/>
        <v>3.223104308260516E-2</v>
      </c>
      <c r="L196" s="77">
        <v>167.04</v>
      </c>
      <c r="M196" s="11">
        <f t="shared" si="17"/>
        <v>-3.153988868274582E-2</v>
      </c>
      <c r="O196" s="77">
        <v>49.5</v>
      </c>
      <c r="P196" s="11">
        <f t="shared" si="18"/>
        <v>4.850667231518746E-2</v>
      </c>
      <c r="R196" s="77">
        <v>167.68</v>
      </c>
      <c r="S196" s="11">
        <f t="shared" si="19"/>
        <v>5.5169105301031696E-3</v>
      </c>
      <c r="U196" s="77">
        <v>3.22</v>
      </c>
      <c r="V196" s="11">
        <f t="shared" si="20"/>
        <v>1.5552099533437946E-3</v>
      </c>
      <c r="X196" s="72"/>
    </row>
    <row r="197" spans="2:24" x14ac:dyDescent="0.3">
      <c r="B197" s="72">
        <v>44794</v>
      </c>
      <c r="C197" s="16">
        <v>15178.2</v>
      </c>
      <c r="D197" s="11">
        <f t="shared" si="14"/>
        <v>-2.6308192682973686E-2</v>
      </c>
      <c r="F197" s="77">
        <v>41.44</v>
      </c>
      <c r="G197" s="11">
        <f t="shared" si="15"/>
        <v>2.1765417170493961E-3</v>
      </c>
      <c r="I197" s="77">
        <v>519.99</v>
      </c>
      <c r="J197" s="11">
        <f t="shared" si="16"/>
        <v>-4.0962744374769544E-2</v>
      </c>
      <c r="L197" s="77">
        <v>160.62</v>
      </c>
      <c r="M197" s="11">
        <f t="shared" si="17"/>
        <v>-3.8433908045976906E-2</v>
      </c>
      <c r="O197" s="77">
        <v>48.38</v>
      </c>
      <c r="P197" s="11">
        <f t="shared" si="18"/>
        <v>-2.262626262626255E-2</v>
      </c>
      <c r="R197" s="77">
        <v>138.69999999999999</v>
      </c>
      <c r="S197" s="11">
        <f t="shared" si="19"/>
        <v>-0.1728291984732826</v>
      </c>
      <c r="U197" s="77">
        <v>2.98</v>
      </c>
      <c r="V197" s="11">
        <f t="shared" si="20"/>
        <v>-7.4534161490683259E-2</v>
      </c>
      <c r="X197" s="72"/>
    </row>
    <row r="198" spans="2:24" x14ac:dyDescent="0.3">
      <c r="B198" s="72">
        <v>44801</v>
      </c>
      <c r="C198" s="16">
        <v>14689.5</v>
      </c>
      <c r="D198" s="11">
        <f t="shared" si="14"/>
        <v>-3.2197493773965302E-2</v>
      </c>
      <c r="F198" s="77">
        <v>41.98</v>
      </c>
      <c r="G198" s="11">
        <f t="shared" si="15"/>
        <v>1.3030888030888033E-2</v>
      </c>
      <c r="I198" s="77">
        <v>507.57</v>
      </c>
      <c r="J198" s="11">
        <f t="shared" si="16"/>
        <v>-2.3885074712975296E-2</v>
      </c>
      <c r="L198" s="77">
        <v>164.6</v>
      </c>
      <c r="M198" s="11">
        <f t="shared" si="17"/>
        <v>2.4778981446893278E-2</v>
      </c>
      <c r="O198" s="77">
        <v>48.43</v>
      </c>
      <c r="P198" s="11">
        <f t="shared" si="18"/>
        <v>1.0334849111202082E-3</v>
      </c>
      <c r="R198" s="77">
        <v>136.58000000000001</v>
      </c>
      <c r="S198" s="11">
        <f t="shared" si="19"/>
        <v>-1.5284787310742454E-2</v>
      </c>
      <c r="U198" s="77">
        <v>2.855</v>
      </c>
      <c r="V198" s="11">
        <f t="shared" si="20"/>
        <v>-4.1946308724832182E-2</v>
      </c>
      <c r="X198" s="72"/>
    </row>
    <row r="199" spans="2:24" x14ac:dyDescent="0.3">
      <c r="B199" s="72">
        <v>44808</v>
      </c>
      <c r="C199" s="16">
        <v>15190.8</v>
      </c>
      <c r="D199" s="11">
        <f t="shared" si="14"/>
        <v>3.4126416828346828E-2</v>
      </c>
      <c r="F199" s="77">
        <v>40.98</v>
      </c>
      <c r="G199" s="11">
        <f t="shared" si="15"/>
        <v>-2.3820867079561658E-2</v>
      </c>
      <c r="I199" s="77">
        <v>524.65</v>
      </c>
      <c r="J199" s="11">
        <f t="shared" si="16"/>
        <v>3.3650530961246705E-2</v>
      </c>
      <c r="L199" s="77">
        <v>173.65</v>
      </c>
      <c r="M199" s="11">
        <f t="shared" si="17"/>
        <v>5.4981773997569983E-2</v>
      </c>
      <c r="O199" s="77">
        <v>51.94</v>
      </c>
      <c r="P199" s="11">
        <f t="shared" si="18"/>
        <v>7.2475738178814808E-2</v>
      </c>
      <c r="R199" s="77">
        <v>144.44999999999999</v>
      </c>
      <c r="S199" s="11">
        <f t="shared" si="19"/>
        <v>5.7621906574901072E-2</v>
      </c>
      <c r="U199" s="77">
        <v>2.65</v>
      </c>
      <c r="V199" s="11">
        <f t="shared" si="20"/>
        <v>-7.1803852889667286E-2</v>
      </c>
      <c r="X199" s="72"/>
    </row>
    <row r="200" spans="2:24" x14ac:dyDescent="0.3">
      <c r="B200" s="72">
        <v>44815</v>
      </c>
      <c r="C200" s="16">
        <v>14573.9</v>
      </c>
      <c r="D200" s="11">
        <f t="shared" si="14"/>
        <v>-4.0610106116860223E-2</v>
      </c>
      <c r="F200" s="77">
        <v>40.97</v>
      </c>
      <c r="G200" s="11">
        <f t="shared" si="15"/>
        <v>-2.4402147388968842E-4</v>
      </c>
      <c r="I200" s="77">
        <v>492.93</v>
      </c>
      <c r="J200" s="11">
        <f t="shared" si="16"/>
        <v>-6.0459353854950826E-2</v>
      </c>
      <c r="L200" s="77">
        <v>164.09</v>
      </c>
      <c r="M200" s="11">
        <f t="shared" si="17"/>
        <v>-5.5053268067952743E-2</v>
      </c>
      <c r="O200" s="77">
        <v>47.28</v>
      </c>
      <c r="P200" s="11">
        <f t="shared" si="18"/>
        <v>-8.9718906430496626E-2</v>
      </c>
      <c r="R200" s="77">
        <v>141.91999999999999</v>
      </c>
      <c r="S200" s="11">
        <f t="shared" si="19"/>
        <v>-1.751471097265489E-2</v>
      </c>
      <c r="U200" s="77">
        <v>2.5299999999999998</v>
      </c>
      <c r="V200" s="11">
        <f t="shared" si="20"/>
        <v>-4.5283018867924518E-2</v>
      </c>
      <c r="X200" s="72"/>
    </row>
    <row r="201" spans="2:24" x14ac:dyDescent="0.3">
      <c r="B201" s="72">
        <v>44822</v>
      </c>
      <c r="C201" s="16">
        <v>13797</v>
      </c>
      <c r="D201" s="11">
        <f t="shared" si="14"/>
        <v>-5.3307625275320958E-2</v>
      </c>
      <c r="F201" s="77">
        <v>43.15</v>
      </c>
      <c r="G201" s="11">
        <f t="shared" si="15"/>
        <v>5.3209665608982215E-2</v>
      </c>
      <c r="I201" s="77">
        <v>456.03</v>
      </c>
      <c r="J201" s="11">
        <f t="shared" si="16"/>
        <v>-7.4858499178382387E-2</v>
      </c>
      <c r="L201" s="77">
        <v>152.61000000000001</v>
      </c>
      <c r="M201" s="11">
        <f t="shared" si="17"/>
        <v>-6.9961606435492651E-2</v>
      </c>
      <c r="O201" s="77">
        <v>44.86</v>
      </c>
      <c r="P201" s="11">
        <f t="shared" si="18"/>
        <v>-5.1184433164128684E-2</v>
      </c>
      <c r="R201" s="77">
        <v>141.29</v>
      </c>
      <c r="S201" s="11">
        <f t="shared" si="19"/>
        <v>-4.4391206313415532E-3</v>
      </c>
      <c r="U201" s="77">
        <v>2.4300000000000002</v>
      </c>
      <c r="V201" s="11">
        <f t="shared" si="20"/>
        <v>-3.9525691699604626E-2</v>
      </c>
      <c r="X201" s="72"/>
    </row>
    <row r="202" spans="2:24" x14ac:dyDescent="0.3">
      <c r="B202" s="72">
        <v>44829</v>
      </c>
      <c r="C202" s="16">
        <v>13472.2</v>
      </c>
      <c r="D202" s="11">
        <f t="shared" ref="D202:D265" si="21">C202/C201-1</f>
        <v>-2.3541349568746761E-2</v>
      </c>
      <c r="F202" s="77">
        <v>44.04</v>
      </c>
      <c r="G202" s="11">
        <f t="shared" ref="G202:G265" si="22">F202/F201-1</f>
        <v>2.0625724217844699E-2</v>
      </c>
      <c r="I202" s="77">
        <v>461.77</v>
      </c>
      <c r="J202" s="11">
        <f t="shared" ref="J202:J265" si="23">I202/I201-1</f>
        <v>1.2586891213297369E-2</v>
      </c>
      <c r="L202" s="77">
        <v>148.38999999999999</v>
      </c>
      <c r="M202" s="11">
        <f t="shared" ref="M202:M265" si="24">L202/L201-1</f>
        <v>-2.7652185308957633E-2</v>
      </c>
      <c r="O202" s="77">
        <v>43.75</v>
      </c>
      <c r="P202" s="11">
        <f t="shared" ref="P202:P265" si="25">O202/O201-1</f>
        <v>-2.4743646901471239E-2</v>
      </c>
      <c r="R202" s="77">
        <v>136.1</v>
      </c>
      <c r="S202" s="11">
        <f t="shared" ref="S202:S265" si="26">R202/R201-1</f>
        <v>-3.6732960577535501E-2</v>
      </c>
      <c r="U202" s="77">
        <v>2.29</v>
      </c>
      <c r="V202" s="11">
        <f t="shared" si="20"/>
        <v>-5.7613168724279906E-2</v>
      </c>
      <c r="X202" s="72"/>
    </row>
    <row r="203" spans="2:24" x14ac:dyDescent="0.3">
      <c r="B203" s="72">
        <v>44836</v>
      </c>
      <c r="C203" s="16">
        <v>13798.3</v>
      </c>
      <c r="D203" s="11">
        <f t="shared" si="21"/>
        <v>2.4205400751176498E-2</v>
      </c>
      <c r="F203" s="77">
        <v>40.6</v>
      </c>
      <c r="G203" s="11">
        <f t="shared" si="22"/>
        <v>-7.8110808356039896E-2</v>
      </c>
      <c r="I203" s="77">
        <v>457.74</v>
      </c>
      <c r="J203" s="11">
        <f t="shared" si="23"/>
        <v>-8.7272884769473702E-3</v>
      </c>
      <c r="L203" s="77">
        <v>152.34</v>
      </c>
      <c r="M203" s="11">
        <f t="shared" si="24"/>
        <v>2.6619044410000736E-2</v>
      </c>
      <c r="O203" s="77">
        <v>43</v>
      </c>
      <c r="P203" s="11">
        <f t="shared" si="25"/>
        <v>-1.7142857142857126E-2</v>
      </c>
      <c r="R203" s="77">
        <v>141.94999999999999</v>
      </c>
      <c r="S203" s="11">
        <f t="shared" si="26"/>
        <v>4.2983100661278417E-2</v>
      </c>
      <c r="U203" s="77">
        <v>2.11</v>
      </c>
      <c r="V203" s="11">
        <f t="shared" ref="V203:V266" si="27">U203/U202-1</f>
        <v>-7.8602620087336317E-2</v>
      </c>
      <c r="X203" s="72"/>
    </row>
    <row r="204" spans="2:24" x14ac:dyDescent="0.3">
      <c r="B204" s="72">
        <v>44843</v>
      </c>
      <c r="C204" s="16">
        <v>13607.3</v>
      </c>
      <c r="D204" s="11">
        <f t="shared" si="21"/>
        <v>-1.3842284919156733E-2</v>
      </c>
      <c r="F204" s="77">
        <v>39.83</v>
      </c>
      <c r="G204" s="11">
        <f t="shared" si="22"/>
        <v>-1.8965517241379404E-2</v>
      </c>
      <c r="I204" s="77">
        <v>444.54</v>
      </c>
      <c r="J204" s="11">
        <f t="shared" si="23"/>
        <v>-2.8837331236072905E-2</v>
      </c>
      <c r="L204" s="77">
        <v>145.69</v>
      </c>
      <c r="M204" s="11">
        <f t="shared" si="24"/>
        <v>-4.3652356570828443E-2</v>
      </c>
      <c r="O204" s="77">
        <v>43.16</v>
      </c>
      <c r="P204" s="11">
        <f t="shared" si="25"/>
        <v>3.7209302325580396E-3</v>
      </c>
      <c r="R204" s="77">
        <v>136.08000000000001</v>
      </c>
      <c r="S204" s="11">
        <f t="shared" si="26"/>
        <v>-4.1352588939767343E-2</v>
      </c>
      <c r="U204" s="77">
        <v>2.2000000000000002</v>
      </c>
      <c r="V204" s="11">
        <f t="shared" si="27"/>
        <v>4.2654028436019065E-2</v>
      </c>
      <c r="X204" s="72"/>
    </row>
    <row r="205" spans="2:24" x14ac:dyDescent="0.3">
      <c r="B205" s="72">
        <v>44850</v>
      </c>
      <c r="C205" s="16">
        <v>14144</v>
      </c>
      <c r="D205" s="11">
        <f t="shared" si="21"/>
        <v>3.9442064186135495E-2</v>
      </c>
      <c r="F205" s="77">
        <v>36.53</v>
      </c>
      <c r="G205" s="11">
        <f t="shared" si="22"/>
        <v>-8.2852121516444832E-2</v>
      </c>
      <c r="I205" s="77">
        <v>467.55</v>
      </c>
      <c r="J205" s="11">
        <f t="shared" si="23"/>
        <v>5.1761371305169446E-2</v>
      </c>
      <c r="L205" s="77">
        <v>159.19</v>
      </c>
      <c r="M205" s="11">
        <f t="shared" si="24"/>
        <v>9.2662502573958472E-2</v>
      </c>
      <c r="O205" s="77">
        <v>43.63</v>
      </c>
      <c r="P205" s="11">
        <f t="shared" si="25"/>
        <v>1.0889712696941833E-2</v>
      </c>
      <c r="R205" s="77">
        <v>143.61000000000001</v>
      </c>
      <c r="S205" s="11">
        <f t="shared" si="26"/>
        <v>5.5335097001763645E-2</v>
      </c>
      <c r="U205" s="77">
        <v>2.2400000000000002</v>
      </c>
      <c r="V205" s="11">
        <f t="shared" si="27"/>
        <v>1.8181818181818299E-2</v>
      </c>
      <c r="X205" s="72"/>
    </row>
    <row r="206" spans="2:24" x14ac:dyDescent="0.3">
      <c r="B206" s="72">
        <v>44857</v>
      </c>
      <c r="C206" s="16">
        <v>14795.6</v>
      </c>
      <c r="D206" s="11">
        <f t="shared" si="21"/>
        <v>4.6069004524886825E-2</v>
      </c>
      <c r="F206" s="77">
        <v>37.99</v>
      </c>
      <c r="G206" s="11">
        <f t="shared" si="22"/>
        <v>3.9967150287435027E-2</v>
      </c>
      <c r="I206" s="77">
        <v>499.51</v>
      </c>
      <c r="J206" s="11">
        <f t="shared" si="23"/>
        <v>6.8356325526681694E-2</v>
      </c>
      <c r="L206" s="77">
        <v>167.52</v>
      </c>
      <c r="M206" s="11">
        <f t="shared" si="24"/>
        <v>5.2327407500471157E-2</v>
      </c>
      <c r="O206" s="77">
        <v>46.77</v>
      </c>
      <c r="P206" s="11">
        <f t="shared" si="25"/>
        <v>7.1968828787531525E-2</v>
      </c>
      <c r="R206" s="77">
        <v>158.55000000000001</v>
      </c>
      <c r="S206" s="11">
        <f t="shared" si="26"/>
        <v>0.10403175266346354</v>
      </c>
      <c r="U206" s="77">
        <v>2.4649999999999999</v>
      </c>
      <c r="V206" s="11">
        <f t="shared" si="27"/>
        <v>0.10044642857142838</v>
      </c>
      <c r="X206" s="72"/>
    </row>
    <row r="207" spans="2:24" x14ac:dyDescent="0.3">
      <c r="B207" s="72">
        <v>44864</v>
      </c>
      <c r="C207" s="16">
        <v>14702.8</v>
      </c>
      <c r="D207" s="11">
        <f t="shared" si="21"/>
        <v>-6.2721349590419972E-3</v>
      </c>
      <c r="F207" s="77">
        <v>38.03</v>
      </c>
      <c r="G207" s="11">
        <f t="shared" si="22"/>
        <v>1.0529086601736015E-3</v>
      </c>
      <c r="I207" s="77">
        <v>475.59</v>
      </c>
      <c r="J207" s="11">
        <f t="shared" si="23"/>
        <v>-4.7886929190606775E-2</v>
      </c>
      <c r="L207" s="77">
        <v>159.63</v>
      </c>
      <c r="M207" s="11">
        <f t="shared" si="24"/>
        <v>-4.7098853868194901E-2</v>
      </c>
      <c r="O207" s="77">
        <v>46.4</v>
      </c>
      <c r="P207" s="11">
        <f t="shared" si="25"/>
        <v>-7.9110540945050989E-3</v>
      </c>
      <c r="R207" s="77">
        <v>156.4</v>
      </c>
      <c r="S207" s="11">
        <f t="shared" si="26"/>
        <v>-1.3560391043834774E-2</v>
      </c>
      <c r="U207" s="77">
        <v>2.4500000000000002</v>
      </c>
      <c r="V207" s="11">
        <f t="shared" si="27"/>
        <v>-6.0851926977686377E-3</v>
      </c>
      <c r="X207" s="72"/>
    </row>
    <row r="208" spans="2:24" x14ac:dyDescent="0.3">
      <c r="B208" s="72">
        <v>44871</v>
      </c>
      <c r="C208" s="16">
        <v>15352.7</v>
      </c>
      <c r="D208" s="11">
        <f t="shared" si="21"/>
        <v>4.4202464836629929E-2</v>
      </c>
      <c r="F208" s="77">
        <v>39.08</v>
      </c>
      <c r="G208" s="11">
        <f t="shared" si="22"/>
        <v>2.7609781751248841E-2</v>
      </c>
      <c r="I208" s="77">
        <v>504.01</v>
      </c>
      <c r="J208" s="11">
        <f t="shared" si="23"/>
        <v>5.9757354023423526E-2</v>
      </c>
      <c r="L208" s="77">
        <v>173.32</v>
      </c>
      <c r="M208" s="11">
        <f t="shared" si="24"/>
        <v>8.5760821900645157E-2</v>
      </c>
      <c r="O208" s="77">
        <v>47.1</v>
      </c>
      <c r="P208" s="11">
        <f t="shared" si="25"/>
        <v>1.5086206896551824E-2</v>
      </c>
      <c r="R208" s="77">
        <v>165.61</v>
      </c>
      <c r="S208" s="11">
        <f t="shared" si="26"/>
        <v>5.888746803069056E-2</v>
      </c>
      <c r="U208" s="77">
        <v>2.6850000000000001</v>
      </c>
      <c r="V208" s="11">
        <f t="shared" si="27"/>
        <v>9.5918367346938815E-2</v>
      </c>
      <c r="X208" s="72"/>
    </row>
    <row r="209" spans="2:24" x14ac:dyDescent="0.3">
      <c r="B209" s="72">
        <v>44878</v>
      </c>
      <c r="C209" s="16">
        <v>15309.8</v>
      </c>
      <c r="D209" s="11">
        <f t="shared" si="21"/>
        <v>-2.7942967686466202E-3</v>
      </c>
      <c r="F209" s="77">
        <v>35.89</v>
      </c>
      <c r="G209" s="11">
        <f t="shared" si="22"/>
        <v>-8.1627430910951815E-2</v>
      </c>
      <c r="I209" s="77">
        <v>512.03</v>
      </c>
      <c r="J209" s="11">
        <f t="shared" si="23"/>
        <v>1.5912382690819626E-2</v>
      </c>
      <c r="L209" s="77">
        <v>162.88</v>
      </c>
      <c r="M209" s="11">
        <f t="shared" si="24"/>
        <v>-6.0235402723286424E-2</v>
      </c>
      <c r="O209" s="77">
        <v>48.26</v>
      </c>
      <c r="P209" s="11">
        <f t="shared" si="25"/>
        <v>2.4628450106157107E-2</v>
      </c>
      <c r="R209" s="77">
        <v>163.36000000000001</v>
      </c>
      <c r="S209" s="11">
        <f t="shared" si="26"/>
        <v>-1.3586136102892388E-2</v>
      </c>
      <c r="U209" s="77">
        <v>2.64</v>
      </c>
      <c r="V209" s="11">
        <f t="shared" si="27"/>
        <v>-1.6759776536312776E-2</v>
      </c>
      <c r="X209" s="72"/>
    </row>
    <row r="210" spans="2:24" x14ac:dyDescent="0.3">
      <c r="B210" s="72">
        <v>44885</v>
      </c>
      <c r="C210" s="16">
        <v>15605.7</v>
      </c>
      <c r="D210" s="11">
        <f t="shared" si="21"/>
        <v>1.9327489581836499E-2</v>
      </c>
      <c r="F210" s="77">
        <v>39.53</v>
      </c>
      <c r="G210" s="11">
        <f t="shared" si="22"/>
        <v>0.10142100863750358</v>
      </c>
      <c r="I210" s="77">
        <v>521.79</v>
      </c>
      <c r="J210" s="11">
        <f t="shared" si="23"/>
        <v>1.906138312208272E-2</v>
      </c>
      <c r="L210" s="77">
        <v>163.38</v>
      </c>
      <c r="M210" s="11">
        <f t="shared" si="24"/>
        <v>3.069744597249402E-3</v>
      </c>
      <c r="O210" s="77">
        <v>49.04</v>
      </c>
      <c r="P210" s="11">
        <f t="shared" si="25"/>
        <v>1.616245337753841E-2</v>
      </c>
      <c r="R210" s="77">
        <v>151.33000000000001</v>
      </c>
      <c r="S210" s="11">
        <f t="shared" si="26"/>
        <v>-7.3641038197845288E-2</v>
      </c>
      <c r="U210" s="77">
        <v>2.81</v>
      </c>
      <c r="V210" s="11">
        <f t="shared" si="27"/>
        <v>6.4393939393939448E-2</v>
      </c>
      <c r="X210" s="72"/>
    </row>
    <row r="211" spans="2:24" x14ac:dyDescent="0.3">
      <c r="B211" s="72">
        <v>44892</v>
      </c>
      <c r="C211" s="16">
        <v>15767</v>
      </c>
      <c r="D211" s="11">
        <f t="shared" si="21"/>
        <v>1.0335966986421585E-2</v>
      </c>
      <c r="F211" s="77">
        <v>39.299999999999997</v>
      </c>
      <c r="G211" s="11">
        <f t="shared" si="22"/>
        <v>-5.8183657981281112E-3</v>
      </c>
      <c r="I211" s="77">
        <v>483.53</v>
      </c>
      <c r="J211" s="11">
        <f t="shared" si="23"/>
        <v>-7.3324517526207833E-2</v>
      </c>
      <c r="L211" s="77">
        <v>164.16</v>
      </c>
      <c r="M211" s="11">
        <f t="shared" si="24"/>
        <v>4.7741461623209691E-3</v>
      </c>
      <c r="O211" s="77">
        <v>47.57</v>
      </c>
      <c r="P211" s="11">
        <f t="shared" si="25"/>
        <v>-2.997553017944532E-2</v>
      </c>
      <c r="R211" s="77">
        <v>151.19999999999999</v>
      </c>
      <c r="S211" s="11">
        <f t="shared" si="26"/>
        <v>-8.5904975880546353E-4</v>
      </c>
      <c r="U211" s="77">
        <v>2.68</v>
      </c>
      <c r="V211" s="11">
        <f t="shared" si="27"/>
        <v>-4.6263345195729499E-2</v>
      </c>
      <c r="X211" s="72"/>
    </row>
    <row r="212" spans="2:24" x14ac:dyDescent="0.3">
      <c r="B212" s="72">
        <v>44899</v>
      </c>
      <c r="C212" s="16">
        <v>15291</v>
      </c>
      <c r="D212" s="11">
        <f t="shared" si="21"/>
        <v>-3.0189636582736101E-2</v>
      </c>
      <c r="F212" s="77">
        <v>38.82</v>
      </c>
      <c r="G212" s="11">
        <f t="shared" si="22"/>
        <v>-1.2213740458015154E-2</v>
      </c>
      <c r="I212" s="77">
        <v>472.28</v>
      </c>
      <c r="J212" s="11">
        <f t="shared" si="23"/>
        <v>-2.3266395053047395E-2</v>
      </c>
      <c r="L212" s="77">
        <v>152.28</v>
      </c>
      <c r="M212" s="11">
        <f t="shared" si="24"/>
        <v>-7.2368421052631526E-2</v>
      </c>
      <c r="O212" s="77">
        <v>46.47</v>
      </c>
      <c r="P212" s="11">
        <f t="shared" si="25"/>
        <v>-2.3123817532058055E-2</v>
      </c>
      <c r="R212" s="77">
        <v>142.31</v>
      </c>
      <c r="S212" s="11">
        <f t="shared" si="26"/>
        <v>-5.8796296296296235E-2</v>
      </c>
      <c r="U212" s="77">
        <v>2.74</v>
      </c>
      <c r="V212" s="11">
        <f t="shared" si="27"/>
        <v>2.2388059701492491E-2</v>
      </c>
      <c r="X212" s="72"/>
    </row>
    <row r="213" spans="2:24" x14ac:dyDescent="0.3">
      <c r="B213" s="72">
        <v>44906</v>
      </c>
      <c r="C213" s="16">
        <v>15018.2</v>
      </c>
      <c r="D213" s="11">
        <f t="shared" si="21"/>
        <v>-1.7840559806422074E-2</v>
      </c>
      <c r="F213" s="77">
        <v>38.159999999999997</v>
      </c>
      <c r="G213" s="11">
        <f t="shared" si="22"/>
        <v>-1.7001545595054179E-2</v>
      </c>
      <c r="I213" s="77">
        <v>451.19</v>
      </c>
      <c r="J213" s="11">
        <f t="shared" si="23"/>
        <v>-4.4655712712797446E-2</v>
      </c>
      <c r="L213" s="77">
        <v>146.44999999999999</v>
      </c>
      <c r="M213" s="11">
        <f t="shared" si="24"/>
        <v>-3.828473863934867E-2</v>
      </c>
      <c r="O213" s="77">
        <v>44.32</v>
      </c>
      <c r="P213" s="11">
        <f t="shared" si="25"/>
        <v>-4.6266408435549744E-2</v>
      </c>
      <c r="R213" s="77">
        <v>142.65</v>
      </c>
      <c r="S213" s="11">
        <f t="shared" si="26"/>
        <v>2.3891504462090207E-3</v>
      </c>
      <c r="U213" s="77">
        <v>2.7</v>
      </c>
      <c r="V213" s="11">
        <f t="shared" si="27"/>
        <v>-1.4598540145985384E-2</v>
      </c>
      <c r="X213" s="72"/>
    </row>
    <row r="214" spans="2:24" x14ac:dyDescent="0.3">
      <c r="B214" s="72">
        <v>44913</v>
      </c>
      <c r="C214" s="16">
        <v>15188.5</v>
      </c>
      <c r="D214" s="11">
        <f t="shared" si="21"/>
        <v>1.1339574649425366E-2</v>
      </c>
      <c r="F214" s="77">
        <v>38.119999999999997</v>
      </c>
      <c r="G214" s="11">
        <f t="shared" si="22"/>
        <v>-1.0482180293500676E-3</v>
      </c>
      <c r="I214" s="77">
        <v>452.36</v>
      </c>
      <c r="J214" s="11">
        <f t="shared" si="23"/>
        <v>2.5931425785146178E-3</v>
      </c>
      <c r="L214" s="77">
        <v>143.15</v>
      </c>
      <c r="M214" s="11">
        <f t="shared" si="24"/>
        <v>-2.2533287811539626E-2</v>
      </c>
      <c r="O214" s="77">
        <v>45.89</v>
      </c>
      <c r="P214" s="11">
        <f t="shared" si="25"/>
        <v>3.5424187725631828E-2</v>
      </c>
      <c r="R214" s="77">
        <v>141.91</v>
      </c>
      <c r="S214" s="11">
        <f t="shared" si="26"/>
        <v>-5.1875219067648581E-3</v>
      </c>
      <c r="U214" s="77">
        <v>2.65</v>
      </c>
      <c r="V214" s="11">
        <f t="shared" si="27"/>
        <v>-1.8518518518518601E-2</v>
      </c>
      <c r="X214" s="72"/>
    </row>
    <row r="215" spans="2:24" x14ac:dyDescent="0.3">
      <c r="B215" s="72">
        <v>44920</v>
      </c>
      <c r="C215" s="16">
        <v>15184.3</v>
      </c>
      <c r="D215" s="11">
        <f t="shared" si="21"/>
        <v>-2.7652500246899692E-4</v>
      </c>
      <c r="F215" s="77">
        <v>38.32</v>
      </c>
      <c r="G215" s="11">
        <f t="shared" si="22"/>
        <v>5.2465897166842357E-3</v>
      </c>
      <c r="I215" s="77">
        <v>446.35</v>
      </c>
      <c r="J215" s="11">
        <f t="shared" si="23"/>
        <v>-1.3285878503846438E-2</v>
      </c>
      <c r="L215" s="77">
        <v>149.04</v>
      </c>
      <c r="M215" s="11">
        <f t="shared" si="24"/>
        <v>4.1145651414600026E-2</v>
      </c>
      <c r="O215" s="77">
        <v>44.58</v>
      </c>
      <c r="P215" s="11">
        <f t="shared" si="25"/>
        <v>-2.8546524297232589E-2</v>
      </c>
      <c r="R215" s="77">
        <v>141.44</v>
      </c>
      <c r="S215" s="11">
        <f t="shared" si="26"/>
        <v>-3.3119582834190142E-3</v>
      </c>
      <c r="U215" s="77">
        <v>2.7</v>
      </c>
      <c r="V215" s="11">
        <f t="shared" si="27"/>
        <v>1.8867924528301883E-2</v>
      </c>
      <c r="X215" s="72"/>
    </row>
    <row r="216" spans="2:24" x14ac:dyDescent="0.3">
      <c r="B216" s="72">
        <v>44927</v>
      </c>
      <c r="C216" s="16">
        <v>15539.7</v>
      </c>
      <c r="D216" s="11">
        <f t="shared" si="21"/>
        <v>2.3405754628135655E-2</v>
      </c>
      <c r="F216" s="77">
        <v>38.79</v>
      </c>
      <c r="G216" s="11">
        <f t="shared" si="22"/>
        <v>1.2265135699373708E-2</v>
      </c>
      <c r="I216" s="77">
        <v>472.13</v>
      </c>
      <c r="J216" s="11">
        <f t="shared" si="23"/>
        <v>5.7757365296292162E-2</v>
      </c>
      <c r="L216" s="77">
        <v>160.15</v>
      </c>
      <c r="M216" s="11">
        <f t="shared" si="24"/>
        <v>7.4543746645195919E-2</v>
      </c>
      <c r="O216" s="77">
        <v>45.74</v>
      </c>
      <c r="P216" s="11">
        <f t="shared" si="25"/>
        <v>2.6020637056976215E-2</v>
      </c>
      <c r="R216" s="77">
        <v>145.83000000000001</v>
      </c>
      <c r="S216" s="11">
        <f t="shared" si="26"/>
        <v>3.1037895927601866E-2</v>
      </c>
      <c r="U216" s="77">
        <v>2.87</v>
      </c>
      <c r="V216" s="11">
        <f t="shared" si="27"/>
        <v>6.2962962962962887E-2</v>
      </c>
      <c r="X216" s="72"/>
    </row>
    <row r="217" spans="2:24" x14ac:dyDescent="0.3">
      <c r="B217" s="72">
        <v>44934</v>
      </c>
      <c r="C217" s="16">
        <v>15918.4</v>
      </c>
      <c r="D217" s="11">
        <f t="shared" si="21"/>
        <v>2.4369839829597728E-2</v>
      </c>
      <c r="F217" s="77">
        <v>39.299999999999997</v>
      </c>
      <c r="G217" s="11">
        <f t="shared" si="22"/>
        <v>1.314771848414531E-2</v>
      </c>
      <c r="I217" s="77">
        <v>474.46</v>
      </c>
      <c r="J217" s="11">
        <f t="shared" si="23"/>
        <v>4.935081439433997E-3</v>
      </c>
      <c r="L217" s="77">
        <v>164.6</v>
      </c>
      <c r="M217" s="11">
        <f t="shared" si="24"/>
        <v>2.7786450202934576E-2</v>
      </c>
      <c r="O217" s="77">
        <v>45.22</v>
      </c>
      <c r="P217" s="11">
        <f t="shared" si="25"/>
        <v>-1.1368605159597811E-2</v>
      </c>
      <c r="R217" s="77">
        <v>147.26</v>
      </c>
      <c r="S217" s="11">
        <f t="shared" si="26"/>
        <v>9.8059384214495005E-3</v>
      </c>
      <c r="U217" s="77">
        <v>2.9950000000000001</v>
      </c>
      <c r="V217" s="11">
        <f t="shared" si="27"/>
        <v>4.355400696864109E-2</v>
      </c>
      <c r="X217" s="72"/>
    </row>
    <row r="218" spans="2:24" x14ac:dyDescent="0.3">
      <c r="B218" s="72">
        <v>44941</v>
      </c>
      <c r="C218" s="16">
        <v>15777.5</v>
      </c>
      <c r="D218" s="11">
        <f t="shared" si="21"/>
        <v>-8.8513920997085327E-3</v>
      </c>
      <c r="F218" s="77">
        <v>39.86</v>
      </c>
      <c r="G218" s="11">
        <f t="shared" si="22"/>
        <v>1.4249363867684606E-2</v>
      </c>
      <c r="I218" s="77">
        <v>469.43</v>
      </c>
      <c r="J218" s="11">
        <f t="shared" si="23"/>
        <v>-1.0601525945285073E-2</v>
      </c>
      <c r="L218" s="77">
        <v>162.21</v>
      </c>
      <c r="M218" s="11">
        <f t="shared" si="24"/>
        <v>-1.4520048602673086E-2</v>
      </c>
      <c r="O218" s="77">
        <v>44.45</v>
      </c>
      <c r="P218" s="11">
        <f t="shared" si="25"/>
        <v>-1.7027863777089647E-2</v>
      </c>
      <c r="R218" s="77">
        <v>147.79</v>
      </c>
      <c r="S218" s="11">
        <f t="shared" si="26"/>
        <v>3.5990764633981875E-3</v>
      </c>
      <c r="U218" s="77">
        <v>3.05</v>
      </c>
      <c r="V218" s="11">
        <f t="shared" si="27"/>
        <v>1.8363939899832982E-2</v>
      </c>
      <c r="X218" s="72"/>
    </row>
    <row r="219" spans="2:24" x14ac:dyDescent="0.3">
      <c r="B219" s="72">
        <v>44948</v>
      </c>
      <c r="C219" s="16">
        <v>15962.6</v>
      </c>
      <c r="D219" s="11">
        <f t="shared" si="21"/>
        <v>1.1731896688321974E-2</v>
      </c>
      <c r="F219" s="77">
        <v>40.1</v>
      </c>
      <c r="G219" s="11">
        <f t="shared" si="22"/>
        <v>6.0210737581536389E-3</v>
      </c>
      <c r="I219" s="77">
        <v>492.1</v>
      </c>
      <c r="J219" s="11">
        <f t="shared" si="23"/>
        <v>4.8292610186822404E-2</v>
      </c>
      <c r="L219" s="77">
        <v>168.51</v>
      </c>
      <c r="M219" s="11">
        <f t="shared" si="24"/>
        <v>3.8838542629924033E-2</v>
      </c>
      <c r="O219" s="77">
        <v>45.05</v>
      </c>
      <c r="P219" s="11">
        <f t="shared" si="25"/>
        <v>1.3498312710910954E-2</v>
      </c>
      <c r="R219" s="77">
        <v>150.37</v>
      </c>
      <c r="S219" s="11">
        <f t="shared" si="26"/>
        <v>1.7457202787739545E-2</v>
      </c>
      <c r="U219" s="77">
        <v>2.99</v>
      </c>
      <c r="V219" s="11">
        <f t="shared" si="27"/>
        <v>-1.967213114754085E-2</v>
      </c>
      <c r="X219" s="72"/>
    </row>
    <row r="220" spans="2:24" x14ac:dyDescent="0.3">
      <c r="B220" s="72">
        <v>44955</v>
      </c>
      <c r="C220" s="16">
        <v>15999.4</v>
      </c>
      <c r="D220" s="11">
        <f t="shared" si="21"/>
        <v>2.3053888464283911E-3</v>
      </c>
      <c r="F220" s="77">
        <v>40.1</v>
      </c>
      <c r="G220" s="11">
        <f t="shared" si="22"/>
        <v>0</v>
      </c>
      <c r="I220" s="77">
        <v>503.35</v>
      </c>
      <c r="J220" s="11">
        <f t="shared" si="23"/>
        <v>2.2861207071733336E-2</v>
      </c>
      <c r="L220" s="77">
        <v>176.76</v>
      </c>
      <c r="M220" s="11">
        <f t="shared" si="24"/>
        <v>4.895851878226809E-2</v>
      </c>
      <c r="O220" s="77">
        <v>44.42</v>
      </c>
      <c r="P220" s="11">
        <f t="shared" si="25"/>
        <v>-1.3984461709211859E-2</v>
      </c>
      <c r="R220" s="77">
        <v>149.91</v>
      </c>
      <c r="S220" s="11">
        <f t="shared" si="26"/>
        <v>-3.0591208352730437E-3</v>
      </c>
      <c r="U220" s="77">
        <v>3.11</v>
      </c>
      <c r="V220" s="11">
        <f t="shared" si="27"/>
        <v>4.013377926421402E-2</v>
      </c>
      <c r="X220" s="72"/>
    </row>
    <row r="221" spans="2:24" x14ac:dyDescent="0.3">
      <c r="B221" s="72">
        <v>44962</v>
      </c>
      <c r="C221" s="16">
        <v>15910.7</v>
      </c>
      <c r="D221" s="11">
        <f t="shared" si="21"/>
        <v>-5.5439578984211035E-3</v>
      </c>
      <c r="F221" s="77">
        <v>39.93</v>
      </c>
      <c r="G221" s="11">
        <f t="shared" si="22"/>
        <v>-4.2394014962593429E-3</v>
      </c>
      <c r="I221" s="77">
        <v>488.87</v>
      </c>
      <c r="J221" s="11">
        <f t="shared" si="23"/>
        <v>-2.8767259362272757E-2</v>
      </c>
      <c r="L221" s="77">
        <v>170.02</v>
      </c>
      <c r="M221" s="11">
        <f t="shared" si="24"/>
        <v>-3.813079882326309E-2</v>
      </c>
      <c r="O221" s="77">
        <v>44.8</v>
      </c>
      <c r="P221" s="11">
        <f t="shared" si="25"/>
        <v>8.5547050877980979E-3</v>
      </c>
      <c r="R221" s="77">
        <v>147.04</v>
      </c>
      <c r="S221" s="11">
        <f t="shared" si="26"/>
        <v>-1.9144820225468595E-2</v>
      </c>
      <c r="U221" s="77">
        <v>2.9249999999999998</v>
      </c>
      <c r="V221" s="11">
        <f t="shared" si="27"/>
        <v>-5.9485530546623866E-2</v>
      </c>
      <c r="X221" s="72"/>
    </row>
    <row r="222" spans="2:24" x14ac:dyDescent="0.3">
      <c r="B222" s="72">
        <v>44969</v>
      </c>
      <c r="C222" s="16">
        <v>15840.2</v>
      </c>
      <c r="D222" s="11">
        <f t="shared" si="21"/>
        <v>-4.4309804094100347E-3</v>
      </c>
      <c r="F222" s="77">
        <v>39.700000000000003</v>
      </c>
      <c r="G222" s="11">
        <f t="shared" si="22"/>
        <v>-5.7600801402453161E-3</v>
      </c>
      <c r="I222" s="77">
        <v>496.2</v>
      </c>
      <c r="J222" s="11">
        <f t="shared" si="23"/>
        <v>1.4993761122588767E-2</v>
      </c>
      <c r="L222" s="77">
        <v>173.22</v>
      </c>
      <c r="M222" s="11">
        <f t="shared" si="24"/>
        <v>1.8821315139395223E-2</v>
      </c>
      <c r="O222" s="77">
        <v>44</v>
      </c>
      <c r="P222" s="11">
        <f t="shared" si="25"/>
        <v>-1.7857142857142794E-2</v>
      </c>
      <c r="R222" s="77">
        <v>148.04</v>
      </c>
      <c r="S222" s="11">
        <f t="shared" si="26"/>
        <v>6.8008705114255275E-3</v>
      </c>
      <c r="U222" s="77">
        <v>2.98</v>
      </c>
      <c r="V222" s="11">
        <f t="shared" si="27"/>
        <v>1.8803418803418959E-2</v>
      </c>
      <c r="X222" s="72"/>
    </row>
    <row r="223" spans="2:24" x14ac:dyDescent="0.3">
      <c r="B223" s="72">
        <v>44976</v>
      </c>
      <c r="C223" s="16">
        <v>15464.5</v>
      </c>
      <c r="D223" s="11">
        <f t="shared" si="21"/>
        <v>-2.3718134872034446E-2</v>
      </c>
      <c r="F223" s="77">
        <v>39.79</v>
      </c>
      <c r="G223" s="11">
        <f t="shared" si="22"/>
        <v>2.2670025188915588E-3</v>
      </c>
      <c r="I223" s="77">
        <v>477.75</v>
      </c>
      <c r="J223" s="11">
        <f t="shared" si="23"/>
        <v>-3.7182587666263589E-2</v>
      </c>
      <c r="L223" s="77">
        <v>166.96</v>
      </c>
      <c r="M223" s="11">
        <f t="shared" si="24"/>
        <v>-3.6139013970673095E-2</v>
      </c>
      <c r="O223" s="77">
        <v>43.75</v>
      </c>
      <c r="P223" s="11">
        <f t="shared" si="25"/>
        <v>-5.6818181818182323E-3</v>
      </c>
      <c r="R223" s="77">
        <v>144</v>
      </c>
      <c r="S223" s="11">
        <f t="shared" si="26"/>
        <v>-2.7289921642799198E-2</v>
      </c>
      <c r="U223" s="77">
        <v>2.95</v>
      </c>
      <c r="V223" s="11">
        <f t="shared" si="27"/>
        <v>-1.0067114093959662E-2</v>
      </c>
      <c r="X223" s="72"/>
    </row>
    <row r="224" spans="2:24" x14ac:dyDescent="0.3">
      <c r="B224" s="72">
        <v>44983</v>
      </c>
      <c r="C224" s="16">
        <v>15721.1</v>
      </c>
      <c r="D224" s="11">
        <f t="shared" si="21"/>
        <v>1.6592841669630376E-2</v>
      </c>
      <c r="F224" s="77">
        <v>39.619999999999997</v>
      </c>
      <c r="G224" s="11">
        <f t="shared" si="22"/>
        <v>-4.272430258859039E-3</v>
      </c>
      <c r="I224" s="77">
        <v>464.69</v>
      </c>
      <c r="J224" s="11">
        <f t="shared" si="23"/>
        <v>-2.7336473050758814E-2</v>
      </c>
      <c r="L224" s="77">
        <v>166</v>
      </c>
      <c r="M224" s="11">
        <f t="shared" si="24"/>
        <v>-5.7498802108290059E-3</v>
      </c>
      <c r="O224" s="77">
        <v>45.98</v>
      </c>
      <c r="P224" s="11">
        <f t="shared" si="25"/>
        <v>5.0971428571428445E-2</v>
      </c>
      <c r="R224" s="77">
        <v>149.15</v>
      </c>
      <c r="S224" s="11">
        <f t="shared" si="26"/>
        <v>3.5763888888888928E-2</v>
      </c>
      <c r="U224" s="77">
        <v>3.03</v>
      </c>
      <c r="V224" s="11">
        <f t="shared" si="27"/>
        <v>2.7118644067796405E-2</v>
      </c>
      <c r="X224" s="72"/>
    </row>
    <row r="225" spans="2:24" x14ac:dyDescent="0.3">
      <c r="B225" s="72">
        <v>44990</v>
      </c>
      <c r="C225" s="16">
        <v>14894.2</v>
      </c>
      <c r="D225" s="11">
        <f t="shared" si="21"/>
        <v>-5.2598100641812584E-2</v>
      </c>
      <c r="F225" s="77">
        <v>39.81</v>
      </c>
      <c r="G225" s="11">
        <f t="shared" si="22"/>
        <v>4.7955577990914655E-3</v>
      </c>
      <c r="I225" s="77">
        <v>460.66</v>
      </c>
      <c r="J225" s="11">
        <f t="shared" si="23"/>
        <v>-8.6724482988658202E-3</v>
      </c>
      <c r="L225" s="77">
        <v>158.18</v>
      </c>
      <c r="M225" s="11">
        <f t="shared" si="24"/>
        <v>-4.710843373493967E-2</v>
      </c>
      <c r="O225" s="77">
        <v>47.1</v>
      </c>
      <c r="P225" s="11">
        <f t="shared" si="25"/>
        <v>2.4358416702914498E-2</v>
      </c>
      <c r="R225" s="77">
        <v>140.29</v>
      </c>
      <c r="S225" s="11">
        <f t="shared" si="26"/>
        <v>-5.9403285283271989E-2</v>
      </c>
      <c r="U225" s="77">
        <v>3.0804999999999998</v>
      </c>
      <c r="V225" s="11">
        <f t="shared" si="27"/>
        <v>1.6666666666666607E-2</v>
      </c>
      <c r="X225" s="72"/>
    </row>
    <row r="226" spans="2:24" x14ac:dyDescent="0.3">
      <c r="B226" s="72">
        <v>44997</v>
      </c>
      <c r="C226" s="16">
        <v>14599</v>
      </c>
      <c r="D226" s="11">
        <f t="shared" si="21"/>
        <v>-1.9819795625142689E-2</v>
      </c>
      <c r="F226" s="77">
        <v>39.21</v>
      </c>
      <c r="G226" s="11">
        <f t="shared" si="22"/>
        <v>-1.5071590052750605E-2</v>
      </c>
      <c r="I226" s="77">
        <v>476.22</v>
      </c>
      <c r="J226" s="11">
        <f t="shared" si="23"/>
        <v>3.3777623409890101E-2</v>
      </c>
      <c r="L226" s="77">
        <v>159.36000000000001</v>
      </c>
      <c r="M226" s="11">
        <f t="shared" si="24"/>
        <v>7.4598558604122012E-3</v>
      </c>
      <c r="O226" s="77">
        <v>46.78</v>
      </c>
      <c r="P226" s="11">
        <f t="shared" si="25"/>
        <v>-6.7940552016985123E-3</v>
      </c>
      <c r="R226" s="77">
        <v>137.15</v>
      </c>
      <c r="S226" s="11">
        <f t="shared" si="26"/>
        <v>-2.2382208282842542E-2</v>
      </c>
      <c r="U226" s="77">
        <v>3.05</v>
      </c>
      <c r="V226" s="11">
        <f t="shared" si="27"/>
        <v>-9.9009900990099098E-3</v>
      </c>
      <c r="X226" s="72"/>
    </row>
    <row r="227" spans="2:24" x14ac:dyDescent="0.3">
      <c r="B227" s="72">
        <v>45004</v>
      </c>
      <c r="C227" s="16">
        <v>14758.6</v>
      </c>
      <c r="D227" s="11">
        <f t="shared" si="21"/>
        <v>1.0932255633947507E-2</v>
      </c>
      <c r="F227" s="77">
        <v>39.68</v>
      </c>
      <c r="G227" s="11">
        <f t="shared" si="22"/>
        <v>1.1986738077021108E-2</v>
      </c>
      <c r="I227" s="77">
        <v>484.26</v>
      </c>
      <c r="J227" s="11">
        <f t="shared" si="23"/>
        <v>1.6882953256897926E-2</v>
      </c>
      <c r="L227" s="77">
        <v>156.22</v>
      </c>
      <c r="M227" s="11">
        <f t="shared" si="24"/>
        <v>-1.9703815261044255E-2</v>
      </c>
      <c r="O227" s="77">
        <v>49.05</v>
      </c>
      <c r="P227" s="11">
        <f t="shared" si="25"/>
        <v>4.8525010688328152E-2</v>
      </c>
      <c r="R227" s="77">
        <v>137.38999999999999</v>
      </c>
      <c r="S227" s="11">
        <f t="shared" si="26"/>
        <v>1.7499088589134626E-3</v>
      </c>
      <c r="U227" s="77">
        <v>3.06</v>
      </c>
      <c r="V227" s="11">
        <f t="shared" si="27"/>
        <v>3.2786885245903452E-3</v>
      </c>
      <c r="X227" s="72"/>
    </row>
    <row r="228" spans="2:24" x14ac:dyDescent="0.3">
      <c r="B228" s="72">
        <v>45011</v>
      </c>
      <c r="C228" s="16">
        <v>15374.9</v>
      </c>
      <c r="D228" s="11">
        <f t="shared" si="21"/>
        <v>4.17587034000515E-2</v>
      </c>
      <c r="F228" s="77">
        <v>39.71</v>
      </c>
      <c r="G228" s="11">
        <f t="shared" si="22"/>
        <v>7.5604838709675271E-4</v>
      </c>
      <c r="I228" s="77">
        <v>485.82</v>
      </c>
      <c r="J228" s="11">
        <f t="shared" si="23"/>
        <v>3.2214099863709933E-3</v>
      </c>
      <c r="L228" s="77">
        <v>165.63</v>
      </c>
      <c r="M228" s="11">
        <f t="shared" si="24"/>
        <v>6.0235565228523802E-2</v>
      </c>
      <c r="O228" s="77">
        <v>49.37</v>
      </c>
      <c r="P228" s="11">
        <f t="shared" si="25"/>
        <v>6.5239551478084579E-3</v>
      </c>
      <c r="R228" s="77">
        <v>143.55000000000001</v>
      </c>
      <c r="S228" s="11">
        <f t="shared" si="26"/>
        <v>4.4835868694956149E-2</v>
      </c>
      <c r="U228" s="77">
        <v>3.28</v>
      </c>
      <c r="V228" s="11">
        <f t="shared" si="27"/>
        <v>7.1895424836601274E-2</v>
      </c>
      <c r="X228" s="72"/>
    </row>
    <row r="229" spans="2:24" x14ac:dyDescent="0.3">
      <c r="B229" s="72">
        <v>45018</v>
      </c>
      <c r="C229" s="16">
        <v>15379.1</v>
      </c>
      <c r="D229" s="11">
        <f t="shared" si="21"/>
        <v>2.7317250843905683E-4</v>
      </c>
      <c r="F229" s="77">
        <v>40.08</v>
      </c>
      <c r="G229" s="11">
        <f t="shared" si="22"/>
        <v>9.3175522538402333E-3</v>
      </c>
      <c r="I229" s="77">
        <v>475.17</v>
      </c>
      <c r="J229" s="11">
        <f t="shared" si="23"/>
        <v>-2.1921699394837568E-2</v>
      </c>
      <c r="L229" s="77">
        <v>165.58</v>
      </c>
      <c r="M229" s="11">
        <f t="shared" si="24"/>
        <v>-3.0187767916434183E-4</v>
      </c>
      <c r="O229" s="77">
        <v>48.52</v>
      </c>
      <c r="P229" s="11">
        <f t="shared" si="25"/>
        <v>-1.7216933360340136E-2</v>
      </c>
      <c r="R229" s="77">
        <v>149.04</v>
      </c>
      <c r="S229" s="11">
        <f t="shared" si="26"/>
        <v>3.8244514106583027E-2</v>
      </c>
      <c r="U229" s="77">
        <v>3.2850000000000001</v>
      </c>
      <c r="V229" s="11">
        <f t="shared" si="27"/>
        <v>1.5243902439026069E-3</v>
      </c>
      <c r="X229" s="72"/>
    </row>
    <row r="230" spans="2:24" x14ac:dyDescent="0.3">
      <c r="B230" s="72">
        <v>45025</v>
      </c>
      <c r="C230" s="16">
        <v>15601.8</v>
      </c>
      <c r="D230" s="11">
        <f t="shared" si="21"/>
        <v>1.4480691327841022E-2</v>
      </c>
      <c r="F230" s="77">
        <v>39.39</v>
      </c>
      <c r="G230" s="11">
        <f t="shared" si="22"/>
        <v>-1.7215568862275377E-2</v>
      </c>
      <c r="I230" s="77">
        <v>480.38</v>
      </c>
      <c r="J230" s="11">
        <f t="shared" si="23"/>
        <v>1.0964496916892941E-2</v>
      </c>
      <c r="L230" s="77">
        <v>161</v>
      </c>
      <c r="M230" s="11">
        <f t="shared" si="24"/>
        <v>-2.7660345452349411E-2</v>
      </c>
      <c r="O230" s="77">
        <v>46.65</v>
      </c>
      <c r="P230" s="11">
        <f t="shared" si="25"/>
        <v>-3.8540807914262287E-2</v>
      </c>
      <c r="R230" s="77">
        <v>147.9</v>
      </c>
      <c r="S230" s="11">
        <f t="shared" si="26"/>
        <v>-7.6489533011271371E-3</v>
      </c>
      <c r="U230" s="77">
        <v>3.37</v>
      </c>
      <c r="V230" s="11">
        <f t="shared" si="27"/>
        <v>2.5875190258751957E-2</v>
      </c>
      <c r="X230" s="72"/>
    </row>
    <row r="231" spans="2:24" x14ac:dyDescent="0.3">
      <c r="B231" s="72">
        <v>45032</v>
      </c>
      <c r="C231" s="16">
        <v>15578.9</v>
      </c>
      <c r="D231" s="11">
        <f t="shared" si="21"/>
        <v>-1.467779358791943E-3</v>
      </c>
      <c r="F231" s="77">
        <v>39.479999999999997</v>
      </c>
      <c r="G231" s="11">
        <f t="shared" si="22"/>
        <v>2.2848438690021844E-3</v>
      </c>
      <c r="I231" s="77">
        <v>495.09</v>
      </c>
      <c r="J231" s="11">
        <f t="shared" si="23"/>
        <v>3.0621591240268087E-2</v>
      </c>
      <c r="L231" s="77">
        <v>162.18</v>
      </c>
      <c r="M231" s="11">
        <f t="shared" si="24"/>
        <v>7.3291925465839292E-3</v>
      </c>
      <c r="O231" s="77">
        <v>47.92</v>
      </c>
      <c r="P231" s="11">
        <f t="shared" si="25"/>
        <v>2.7224008574491032E-2</v>
      </c>
      <c r="R231" s="77">
        <v>150.99</v>
      </c>
      <c r="S231" s="11">
        <f t="shared" si="26"/>
        <v>2.0892494929006133E-2</v>
      </c>
      <c r="U231" s="77">
        <v>3.4550000000000001</v>
      </c>
      <c r="V231" s="11">
        <f t="shared" si="27"/>
        <v>2.5222551928783421E-2</v>
      </c>
      <c r="X231" s="72"/>
    </row>
    <row r="232" spans="2:24" x14ac:dyDescent="0.3">
      <c r="B232" s="72">
        <v>45039</v>
      </c>
      <c r="C232" s="16">
        <v>15545.9</v>
      </c>
      <c r="D232" s="11">
        <f t="shared" si="21"/>
        <v>-2.1182496838673126E-3</v>
      </c>
      <c r="F232" s="77">
        <v>38.99</v>
      </c>
      <c r="G232" s="11">
        <f t="shared" si="22"/>
        <v>-1.241134751773032E-2</v>
      </c>
      <c r="I232" s="77">
        <v>492.03</v>
      </c>
      <c r="J232" s="11">
        <f t="shared" si="23"/>
        <v>-6.1806944191965529E-3</v>
      </c>
      <c r="L232" s="77">
        <v>157.75</v>
      </c>
      <c r="M232" s="11">
        <f t="shared" si="24"/>
        <v>-2.7315328647182224E-2</v>
      </c>
      <c r="O232" s="77">
        <v>48.63</v>
      </c>
      <c r="P232" s="11">
        <f t="shared" si="25"/>
        <v>1.4816360601001666E-2</v>
      </c>
      <c r="R232" s="77">
        <v>153.71</v>
      </c>
      <c r="S232" s="11">
        <f t="shared" si="26"/>
        <v>1.8014438042254444E-2</v>
      </c>
      <c r="U232" s="77">
        <v>3.4550000000000001</v>
      </c>
      <c r="V232" s="11">
        <f t="shared" si="27"/>
        <v>0</v>
      </c>
      <c r="X232" s="72"/>
    </row>
    <row r="233" spans="2:24" x14ac:dyDescent="0.3">
      <c r="B233" s="72">
        <v>45046</v>
      </c>
      <c r="C233" s="16">
        <v>15380.9</v>
      </c>
      <c r="D233" s="11">
        <f t="shared" si="21"/>
        <v>-1.0613730951569256E-2</v>
      </c>
      <c r="F233" s="77">
        <v>39.14</v>
      </c>
      <c r="G233" s="11">
        <f t="shared" si="22"/>
        <v>3.8471402923825337E-3</v>
      </c>
      <c r="I233" s="77">
        <v>487.96</v>
      </c>
      <c r="J233" s="11">
        <f t="shared" si="23"/>
        <v>-8.27185334227587E-3</v>
      </c>
      <c r="L233" s="77">
        <v>156.30000000000001</v>
      </c>
      <c r="M233" s="11">
        <f t="shared" si="24"/>
        <v>-9.1917591125197928E-3</v>
      </c>
      <c r="O233" s="77">
        <v>49.23</v>
      </c>
      <c r="P233" s="11">
        <f t="shared" si="25"/>
        <v>1.2338062924120763E-2</v>
      </c>
      <c r="R233" s="77">
        <v>155.47</v>
      </c>
      <c r="S233" s="11">
        <f t="shared" si="26"/>
        <v>1.1450133368030579E-2</v>
      </c>
      <c r="U233" s="77">
        <v>3.55</v>
      </c>
      <c r="V233" s="11">
        <f t="shared" si="27"/>
        <v>2.7496382054992718E-2</v>
      </c>
      <c r="X233" s="72"/>
    </row>
    <row r="234" spans="2:24" x14ac:dyDescent="0.3">
      <c r="B234" s="72">
        <v>45053</v>
      </c>
      <c r="C234" s="16">
        <v>15246.4</v>
      </c>
      <c r="D234" s="11">
        <f t="shared" si="21"/>
        <v>-8.7446118237554105E-3</v>
      </c>
      <c r="F234" s="77">
        <v>38.24</v>
      </c>
      <c r="G234" s="11">
        <f t="shared" si="22"/>
        <v>-2.2994379151762834E-2</v>
      </c>
      <c r="I234" s="77">
        <v>492.86</v>
      </c>
      <c r="J234" s="11">
        <f t="shared" si="23"/>
        <v>1.0041806705467726E-2</v>
      </c>
      <c r="L234" s="77">
        <v>157.99</v>
      </c>
      <c r="M234" s="11">
        <f t="shared" si="24"/>
        <v>1.0812539987204106E-2</v>
      </c>
      <c r="O234" s="77">
        <v>49.18</v>
      </c>
      <c r="P234" s="11">
        <f t="shared" si="25"/>
        <v>-1.0156408693885455E-3</v>
      </c>
      <c r="R234" s="77">
        <v>158.72</v>
      </c>
      <c r="S234" s="11">
        <f t="shared" si="26"/>
        <v>2.0904354537852887E-2</v>
      </c>
      <c r="U234" s="77">
        <v>3.5049999999999999</v>
      </c>
      <c r="V234" s="11">
        <f t="shared" si="27"/>
        <v>-1.2676056338028152E-2</v>
      </c>
      <c r="X234" s="72"/>
    </row>
    <row r="235" spans="2:24" x14ac:dyDescent="0.3">
      <c r="B235" s="72">
        <v>45060</v>
      </c>
      <c r="C235" s="16">
        <v>15324.3</v>
      </c>
      <c r="D235" s="11">
        <f t="shared" si="21"/>
        <v>5.1094028754328225E-3</v>
      </c>
      <c r="F235" s="77">
        <v>38.090000000000003</v>
      </c>
      <c r="G235" s="11">
        <f t="shared" si="22"/>
        <v>-3.9225941422593724E-3</v>
      </c>
      <c r="I235" s="77">
        <v>485.48</v>
      </c>
      <c r="J235" s="11">
        <f t="shared" si="23"/>
        <v>-1.4973826238688481E-2</v>
      </c>
      <c r="L235" s="77">
        <v>152.28</v>
      </c>
      <c r="M235" s="11">
        <f t="shared" si="24"/>
        <v>-3.6141527944806628E-2</v>
      </c>
      <c r="O235" s="77">
        <v>49.64</v>
      </c>
      <c r="P235" s="11">
        <f t="shared" si="25"/>
        <v>9.3533956893046E-3</v>
      </c>
      <c r="R235" s="77">
        <v>160.08000000000001</v>
      </c>
      <c r="S235" s="11">
        <f t="shared" si="26"/>
        <v>8.5685483870967527E-3</v>
      </c>
      <c r="U235" s="77">
        <v>3.2601</v>
      </c>
      <c r="V235" s="11">
        <f t="shared" si="27"/>
        <v>-6.987161198288161E-2</v>
      </c>
      <c r="X235" s="72"/>
    </row>
    <row r="236" spans="2:24" x14ac:dyDescent="0.3">
      <c r="B236" s="72">
        <v>45067</v>
      </c>
      <c r="C236" s="16">
        <v>15078.7</v>
      </c>
      <c r="D236" s="11">
        <f t="shared" si="21"/>
        <v>-1.6026833199558776E-2</v>
      </c>
      <c r="F236" s="77">
        <v>36.94</v>
      </c>
      <c r="G236" s="11">
        <f t="shared" si="22"/>
        <v>-3.0191651352061033E-2</v>
      </c>
      <c r="I236" s="77">
        <v>495.98</v>
      </c>
      <c r="J236" s="11">
        <f t="shared" si="23"/>
        <v>2.1628079426546876E-2</v>
      </c>
      <c r="L236" s="77">
        <v>138.93</v>
      </c>
      <c r="M236" s="11">
        <f t="shared" si="24"/>
        <v>-8.7667454688731272E-2</v>
      </c>
      <c r="O236" s="77">
        <v>47.31</v>
      </c>
      <c r="P236" s="11">
        <f t="shared" si="25"/>
        <v>-4.6937953263497145E-2</v>
      </c>
      <c r="R236" s="77">
        <v>142.44999999999999</v>
      </c>
      <c r="S236" s="11">
        <f t="shared" si="26"/>
        <v>-0.11013243378310855</v>
      </c>
      <c r="U236" s="77">
        <v>3.2850000000000001</v>
      </c>
      <c r="V236" s="11">
        <f t="shared" si="27"/>
        <v>7.6378025213950096E-3</v>
      </c>
      <c r="X236" s="72"/>
    </row>
    <row r="237" spans="2:24" x14ac:dyDescent="0.3">
      <c r="B237" s="72">
        <v>45074</v>
      </c>
      <c r="C237" s="16">
        <v>15345.2</v>
      </c>
      <c r="D237" s="11">
        <f t="shared" si="21"/>
        <v>1.7673937408397178E-2</v>
      </c>
      <c r="F237" s="77">
        <v>37.659999999999997</v>
      </c>
      <c r="G237" s="11">
        <f t="shared" si="22"/>
        <v>1.9491066594477413E-2</v>
      </c>
      <c r="I237" s="77">
        <v>501.19</v>
      </c>
      <c r="J237" s="11">
        <f t="shared" si="23"/>
        <v>1.0504455824831505E-2</v>
      </c>
      <c r="L237" s="77">
        <v>133.22</v>
      </c>
      <c r="M237" s="11">
        <f t="shared" si="24"/>
        <v>-4.1099834449003114E-2</v>
      </c>
      <c r="O237" s="77">
        <v>45.92</v>
      </c>
      <c r="P237" s="11">
        <f t="shared" si="25"/>
        <v>-2.9380680617205668E-2</v>
      </c>
      <c r="R237" s="77">
        <v>133.61000000000001</v>
      </c>
      <c r="S237" s="11">
        <f t="shared" si="26"/>
        <v>-6.2056862056861894E-2</v>
      </c>
      <c r="U237" s="77">
        <v>3.25</v>
      </c>
      <c r="V237" s="11">
        <f t="shared" si="27"/>
        <v>-1.0654490106544956E-2</v>
      </c>
      <c r="X237" s="72"/>
    </row>
    <row r="238" spans="2:24" x14ac:dyDescent="0.3">
      <c r="B238" s="72">
        <v>45081</v>
      </c>
      <c r="C238" s="16">
        <v>15499.9</v>
      </c>
      <c r="D238" s="11">
        <f t="shared" si="21"/>
        <v>1.0081328363266584E-2</v>
      </c>
      <c r="F238" s="77">
        <v>35.76</v>
      </c>
      <c r="G238" s="11">
        <f t="shared" si="22"/>
        <v>-5.0451407328730768E-2</v>
      </c>
      <c r="I238" s="77">
        <v>505.78</v>
      </c>
      <c r="J238" s="11">
        <f t="shared" si="23"/>
        <v>9.1582034757278219E-3</v>
      </c>
      <c r="L238" s="77">
        <v>126.99</v>
      </c>
      <c r="M238" s="11">
        <f t="shared" si="24"/>
        <v>-4.6764750037531888E-2</v>
      </c>
      <c r="O238" s="77">
        <v>46.17</v>
      </c>
      <c r="P238" s="11">
        <f t="shared" si="25"/>
        <v>5.4442508710801363E-3</v>
      </c>
      <c r="R238" s="77">
        <v>131.77000000000001</v>
      </c>
      <c r="S238" s="11">
        <f t="shared" si="26"/>
        <v>-1.3771424294588774E-2</v>
      </c>
      <c r="U238" s="77">
        <v>3.3</v>
      </c>
      <c r="V238" s="11">
        <f t="shared" si="27"/>
        <v>1.538461538461533E-2</v>
      </c>
      <c r="X238" s="72"/>
    </row>
    <row r="239" spans="2:24" x14ac:dyDescent="0.3">
      <c r="B239" s="72">
        <v>45088</v>
      </c>
      <c r="C239" s="16">
        <v>15795.1</v>
      </c>
      <c r="D239" s="11">
        <f t="shared" si="21"/>
        <v>1.9045284163123677E-2</v>
      </c>
      <c r="F239" s="77">
        <v>36.47</v>
      </c>
      <c r="G239" s="11">
        <f t="shared" si="22"/>
        <v>1.9854586129753882E-2</v>
      </c>
      <c r="I239" s="77">
        <v>512.01</v>
      </c>
      <c r="J239" s="11">
        <f t="shared" si="23"/>
        <v>1.2317608446360095E-2</v>
      </c>
      <c r="L239" s="77">
        <v>133.81</v>
      </c>
      <c r="M239" s="11">
        <f t="shared" si="24"/>
        <v>5.3705016143003492E-2</v>
      </c>
      <c r="O239" s="77">
        <v>46.17</v>
      </c>
      <c r="P239" s="11">
        <f t="shared" si="25"/>
        <v>0</v>
      </c>
      <c r="R239" s="77">
        <v>136.22</v>
      </c>
      <c r="S239" s="11">
        <f t="shared" si="26"/>
        <v>3.3770964559459493E-2</v>
      </c>
      <c r="U239" s="77">
        <v>3.3650000000000002</v>
      </c>
      <c r="V239" s="11">
        <f t="shared" si="27"/>
        <v>1.9696969696969768E-2</v>
      </c>
      <c r="X239" s="72"/>
    </row>
    <row r="240" spans="2:24" x14ac:dyDescent="0.3">
      <c r="B240" s="72">
        <v>45095</v>
      </c>
      <c r="C240" s="16">
        <v>15469.4</v>
      </c>
      <c r="D240" s="11">
        <f t="shared" si="21"/>
        <v>-2.0620318959677419E-2</v>
      </c>
      <c r="F240" s="77">
        <v>37.67</v>
      </c>
      <c r="G240" s="11">
        <f t="shared" si="22"/>
        <v>3.2903756512201898E-2</v>
      </c>
      <c r="I240" s="77">
        <v>512.78</v>
      </c>
      <c r="J240" s="11">
        <f t="shared" si="23"/>
        <v>1.5038768774047195E-3</v>
      </c>
      <c r="L240" s="77">
        <v>131.83000000000001</v>
      </c>
      <c r="M240" s="11">
        <f t="shared" si="24"/>
        <v>-1.4797100366190752E-2</v>
      </c>
      <c r="O240" s="77">
        <v>46.14</v>
      </c>
      <c r="P240" s="11">
        <f t="shared" si="25"/>
        <v>-6.4977257959719648E-4</v>
      </c>
      <c r="R240" s="77">
        <v>143.66999999999999</v>
      </c>
      <c r="S240" s="11">
        <f t="shared" si="26"/>
        <v>5.4690941124651227E-2</v>
      </c>
      <c r="U240" s="77">
        <v>3.2949999999999999</v>
      </c>
      <c r="V240" s="11">
        <f t="shared" si="27"/>
        <v>-2.0802377414561701E-2</v>
      </c>
      <c r="X240" s="72"/>
    </row>
    <row r="241" spans="2:24" x14ac:dyDescent="0.3">
      <c r="B241" s="72">
        <v>45102</v>
      </c>
      <c r="C241" s="16">
        <v>15875.9</v>
      </c>
      <c r="D241" s="11">
        <f t="shared" si="21"/>
        <v>2.6277683685210773E-2</v>
      </c>
      <c r="F241" s="77">
        <v>37.97</v>
      </c>
      <c r="G241" s="11">
        <f t="shared" si="22"/>
        <v>7.9638970002653409E-3</v>
      </c>
      <c r="I241" s="77">
        <v>526.41</v>
      </c>
      <c r="J241" s="11">
        <f t="shared" si="23"/>
        <v>2.6580599867389587E-2</v>
      </c>
      <c r="L241" s="77">
        <v>131.9</v>
      </c>
      <c r="M241" s="11">
        <f t="shared" si="24"/>
        <v>5.3098687703845293E-4</v>
      </c>
      <c r="O241" s="77">
        <v>47</v>
      </c>
      <c r="P241" s="11">
        <f t="shared" si="25"/>
        <v>1.8638925010836527E-2</v>
      </c>
      <c r="R241" s="77">
        <v>143.5</v>
      </c>
      <c r="S241" s="11">
        <f t="shared" si="26"/>
        <v>-1.1832672095773988E-3</v>
      </c>
      <c r="U241" s="77">
        <v>3.16</v>
      </c>
      <c r="V241" s="11">
        <f t="shared" si="27"/>
        <v>-4.0971168437025751E-2</v>
      </c>
      <c r="X241" s="72"/>
    </row>
    <row r="242" spans="2:24" x14ac:dyDescent="0.3">
      <c r="B242" s="72">
        <v>45109</v>
      </c>
      <c r="C242" s="16">
        <v>15671.6</v>
      </c>
      <c r="D242" s="11">
        <f t="shared" si="21"/>
        <v>-1.2868561782324095E-2</v>
      </c>
      <c r="F242" s="77">
        <v>38.200000000000003</v>
      </c>
      <c r="G242" s="11">
        <f t="shared" si="22"/>
        <v>6.0574137476956391E-3</v>
      </c>
      <c r="I242" s="77">
        <v>513.38</v>
      </c>
      <c r="J242" s="11">
        <f t="shared" si="23"/>
        <v>-2.475256929009706E-2</v>
      </c>
      <c r="L242" s="77">
        <v>130.05000000000001</v>
      </c>
      <c r="M242" s="11">
        <f t="shared" si="24"/>
        <v>-1.4025777103866544E-2</v>
      </c>
      <c r="O242" s="77">
        <v>47.17</v>
      </c>
      <c r="P242" s="11">
        <f t="shared" si="25"/>
        <v>3.6170212765957999E-3</v>
      </c>
      <c r="R242" s="77">
        <v>143.54</v>
      </c>
      <c r="S242" s="11">
        <f t="shared" si="26"/>
        <v>2.787456445991765E-4</v>
      </c>
      <c r="U242" s="77">
        <v>3.19</v>
      </c>
      <c r="V242" s="11">
        <f t="shared" si="27"/>
        <v>9.4936708860757779E-3</v>
      </c>
      <c r="X242" s="72"/>
    </row>
    <row r="243" spans="2:24" x14ac:dyDescent="0.3">
      <c r="B243" s="72">
        <v>45116</v>
      </c>
      <c r="C243" s="16">
        <v>16040.2</v>
      </c>
      <c r="D243" s="11">
        <f t="shared" si="21"/>
        <v>2.3520253196865681E-2</v>
      </c>
      <c r="F243" s="77">
        <v>37.33</v>
      </c>
      <c r="G243" s="11">
        <f t="shared" si="22"/>
        <v>-2.2774869109947748E-2</v>
      </c>
      <c r="I243" s="77">
        <v>534.54</v>
      </c>
      <c r="J243" s="11">
        <f t="shared" si="23"/>
        <v>4.1217032217850225E-2</v>
      </c>
      <c r="L243" s="77">
        <v>130.91999999999999</v>
      </c>
      <c r="M243" s="11">
        <f t="shared" si="24"/>
        <v>6.6897347174161848E-3</v>
      </c>
      <c r="O243" s="77">
        <v>46.44</v>
      </c>
      <c r="P243" s="11">
        <f t="shared" si="25"/>
        <v>-1.5475938096247699E-2</v>
      </c>
      <c r="R243" s="77">
        <v>147.91</v>
      </c>
      <c r="S243" s="11">
        <f t="shared" si="26"/>
        <v>3.0444475407551908E-2</v>
      </c>
      <c r="U243" s="77">
        <v>3.15</v>
      </c>
      <c r="V243" s="11">
        <f t="shared" si="27"/>
        <v>-1.2539184952978122E-2</v>
      </c>
      <c r="X243" s="72"/>
    </row>
    <row r="244" spans="2:24" x14ac:dyDescent="0.3">
      <c r="B244" s="72">
        <v>45123</v>
      </c>
      <c r="C244" s="16">
        <v>16289.1</v>
      </c>
      <c r="D244" s="11">
        <f t="shared" si="21"/>
        <v>1.5517262877021487E-2</v>
      </c>
      <c r="F244" s="77">
        <v>36.83</v>
      </c>
      <c r="G244" s="11">
        <f t="shared" si="22"/>
        <v>-1.3394053040450049E-2</v>
      </c>
      <c r="I244" s="77">
        <v>545.46</v>
      </c>
      <c r="J244" s="11">
        <f t="shared" si="23"/>
        <v>2.0428779885509174E-2</v>
      </c>
      <c r="L244" s="77">
        <v>134.08000000000001</v>
      </c>
      <c r="M244" s="11">
        <f t="shared" si="24"/>
        <v>2.4136877482432206E-2</v>
      </c>
      <c r="O244" s="77">
        <v>47.99</v>
      </c>
      <c r="P244" s="11">
        <f t="shared" si="25"/>
        <v>3.3376399655469458E-2</v>
      </c>
      <c r="R244" s="77">
        <v>151.57</v>
      </c>
      <c r="S244" s="11">
        <f t="shared" si="26"/>
        <v>2.4744777229396275E-2</v>
      </c>
      <c r="U244" s="77">
        <v>3.2</v>
      </c>
      <c r="V244" s="11">
        <f t="shared" si="27"/>
        <v>1.5873015873016039E-2</v>
      </c>
      <c r="X244" s="72"/>
    </row>
    <row r="245" spans="2:24" x14ac:dyDescent="0.3">
      <c r="B245" s="72">
        <v>45130</v>
      </c>
      <c r="C245" s="16">
        <v>16363.3</v>
      </c>
      <c r="D245" s="11">
        <f t="shared" si="21"/>
        <v>4.5551933501544184E-3</v>
      </c>
      <c r="F245" s="77">
        <v>37.04</v>
      </c>
      <c r="G245" s="11">
        <f t="shared" si="22"/>
        <v>5.7018734727125597E-3</v>
      </c>
      <c r="I245" s="77">
        <v>550.79</v>
      </c>
      <c r="J245" s="11">
        <f t="shared" si="23"/>
        <v>9.7715689509769721E-3</v>
      </c>
      <c r="L245" s="77">
        <v>135</v>
      </c>
      <c r="M245" s="11">
        <f t="shared" si="24"/>
        <v>6.8615751789975477E-3</v>
      </c>
      <c r="O245" s="77">
        <v>48.52</v>
      </c>
      <c r="P245" s="11">
        <f t="shared" si="25"/>
        <v>1.1043967493227669E-2</v>
      </c>
      <c r="R245" s="77">
        <v>152.44</v>
      </c>
      <c r="S245" s="11">
        <f t="shared" si="26"/>
        <v>5.7399221481824192E-3</v>
      </c>
      <c r="U245" s="77">
        <v>3.5</v>
      </c>
      <c r="V245" s="11">
        <f t="shared" si="27"/>
        <v>9.375E-2</v>
      </c>
      <c r="X245" s="72"/>
    </row>
    <row r="246" spans="2:24" x14ac:dyDescent="0.3">
      <c r="B246" s="72">
        <v>45137</v>
      </c>
      <c r="C246" s="16">
        <v>16071.1</v>
      </c>
      <c r="D246" s="11">
        <f t="shared" si="21"/>
        <v>-1.7857033727915472E-2</v>
      </c>
      <c r="F246" s="77">
        <v>36.36</v>
      </c>
      <c r="G246" s="11">
        <f t="shared" si="22"/>
        <v>-1.8358531317494542E-2</v>
      </c>
      <c r="I246" s="77">
        <v>539.77</v>
      </c>
      <c r="J246" s="11">
        <f t="shared" si="23"/>
        <v>-2.0007625410773611E-2</v>
      </c>
      <c r="L246" s="77">
        <v>132.53</v>
      </c>
      <c r="M246" s="11">
        <f t="shared" si="24"/>
        <v>-1.8296296296296255E-2</v>
      </c>
      <c r="O246" s="77">
        <v>49.49</v>
      </c>
      <c r="P246" s="11">
        <f t="shared" si="25"/>
        <v>1.9991755976916714E-2</v>
      </c>
      <c r="R246" s="77">
        <v>150.21</v>
      </c>
      <c r="S246" s="11">
        <f t="shared" si="26"/>
        <v>-1.462870637627911E-2</v>
      </c>
      <c r="U246" s="77">
        <v>3.1</v>
      </c>
      <c r="V246" s="11">
        <f t="shared" si="27"/>
        <v>-0.11428571428571421</v>
      </c>
      <c r="X246" s="72"/>
    </row>
    <row r="247" spans="2:24" x14ac:dyDescent="0.3">
      <c r="B247" s="72">
        <v>45144</v>
      </c>
      <c r="C247" s="16">
        <v>16143.4</v>
      </c>
      <c r="D247" s="11">
        <f t="shared" si="21"/>
        <v>4.4987586412876812E-3</v>
      </c>
      <c r="F247" s="77">
        <v>35.35</v>
      </c>
      <c r="G247" s="11">
        <f t="shared" si="22"/>
        <v>-2.7777777777777679E-2</v>
      </c>
      <c r="I247" s="77">
        <v>550.44000000000005</v>
      </c>
      <c r="J247" s="11">
        <f t="shared" si="23"/>
        <v>1.9767678826166923E-2</v>
      </c>
      <c r="L247" s="77">
        <v>131.05000000000001</v>
      </c>
      <c r="M247" s="11">
        <f t="shared" si="24"/>
        <v>-1.1167282879347984E-2</v>
      </c>
      <c r="O247" s="77">
        <v>48.98</v>
      </c>
      <c r="P247" s="11">
        <f t="shared" si="25"/>
        <v>-1.0305112143867534E-2</v>
      </c>
      <c r="R247" s="77">
        <v>147.27000000000001</v>
      </c>
      <c r="S247" s="11">
        <f t="shared" si="26"/>
        <v>-1.9572598362292748E-2</v>
      </c>
      <c r="U247" s="77">
        <v>3.1</v>
      </c>
      <c r="V247" s="11">
        <f t="shared" si="27"/>
        <v>0</v>
      </c>
      <c r="X247" s="72"/>
    </row>
    <row r="248" spans="2:24" x14ac:dyDescent="0.3">
      <c r="B248" s="72">
        <v>45151</v>
      </c>
      <c r="C248" s="16">
        <v>15750.2</v>
      </c>
      <c r="D248" s="11">
        <f t="shared" si="21"/>
        <v>-2.43567030489239E-2</v>
      </c>
      <c r="F248" s="77">
        <v>33.81</v>
      </c>
      <c r="G248" s="11">
        <f t="shared" si="22"/>
        <v>-4.3564356435643492E-2</v>
      </c>
      <c r="I248" s="77">
        <v>532.82000000000005</v>
      </c>
      <c r="J248" s="11">
        <f t="shared" si="23"/>
        <v>-3.2010755032337745E-2</v>
      </c>
      <c r="L248" s="77">
        <v>131.21</v>
      </c>
      <c r="M248" s="11">
        <f t="shared" si="24"/>
        <v>1.220908050362457E-3</v>
      </c>
      <c r="O248" s="77">
        <v>47.57</v>
      </c>
      <c r="P248" s="11">
        <f t="shared" si="25"/>
        <v>-2.8787260106165724E-2</v>
      </c>
      <c r="R248" s="77">
        <v>142.81</v>
      </c>
      <c r="S248" s="11">
        <f t="shared" si="26"/>
        <v>-3.0284511441569961E-2</v>
      </c>
      <c r="U248" s="77">
        <v>3.1850000000000001</v>
      </c>
      <c r="V248" s="11">
        <f t="shared" si="27"/>
        <v>2.7419354838709609E-2</v>
      </c>
      <c r="X248" s="72"/>
    </row>
    <row r="249" spans="2:24" x14ac:dyDescent="0.3">
      <c r="B249" s="72">
        <v>45158</v>
      </c>
      <c r="C249" s="16">
        <v>15766.9</v>
      </c>
      <c r="D249" s="11">
        <f t="shared" si="21"/>
        <v>1.0603039961396554E-3</v>
      </c>
      <c r="F249" s="77">
        <v>34.22</v>
      </c>
      <c r="G249" s="11">
        <f t="shared" si="22"/>
        <v>1.2126589766341178E-2</v>
      </c>
      <c r="I249" s="77">
        <v>522.14</v>
      </c>
      <c r="J249" s="11">
        <f t="shared" si="23"/>
        <v>-2.0044292631658078E-2</v>
      </c>
      <c r="L249" s="77">
        <v>121.79</v>
      </c>
      <c r="M249" s="11">
        <f t="shared" si="24"/>
        <v>-7.179330843685694E-2</v>
      </c>
      <c r="O249" s="77">
        <v>46.54</v>
      </c>
      <c r="P249" s="11">
        <f t="shared" si="25"/>
        <v>-2.1652301870927038E-2</v>
      </c>
      <c r="R249" s="77">
        <v>123.31</v>
      </c>
      <c r="S249" s="11">
        <f t="shared" si="26"/>
        <v>-0.13654505986975707</v>
      </c>
      <c r="U249" s="77">
        <v>3.28</v>
      </c>
      <c r="V249" s="11">
        <f t="shared" si="27"/>
        <v>2.9827315541601118E-2</v>
      </c>
      <c r="X249" s="72"/>
    </row>
    <row r="250" spans="2:24" x14ac:dyDescent="0.3">
      <c r="B250" s="72">
        <v>45165</v>
      </c>
      <c r="C250" s="16">
        <v>16091.8</v>
      </c>
      <c r="D250" s="11">
        <f t="shared" si="21"/>
        <v>2.0606460369508195E-2</v>
      </c>
      <c r="F250" s="77">
        <v>33.619999999999997</v>
      </c>
      <c r="G250" s="11">
        <f t="shared" si="22"/>
        <v>-1.7533606078316777E-2</v>
      </c>
      <c r="I250" s="77">
        <v>532.15</v>
      </c>
      <c r="J250" s="11">
        <f t="shared" si="23"/>
        <v>1.9171103535450262E-2</v>
      </c>
      <c r="L250" s="77">
        <v>125.52</v>
      </c>
      <c r="M250" s="11">
        <f t="shared" si="24"/>
        <v>3.062648821742342E-2</v>
      </c>
      <c r="O250" s="77">
        <v>45.98</v>
      </c>
      <c r="P250" s="11">
        <f t="shared" si="25"/>
        <v>-1.2032660077352819E-2</v>
      </c>
      <c r="R250" s="77">
        <v>118.74</v>
      </c>
      <c r="S250" s="11">
        <f t="shared" si="26"/>
        <v>-3.7061065607006838E-2</v>
      </c>
      <c r="U250" s="77">
        <v>3.335</v>
      </c>
      <c r="V250" s="11">
        <f t="shared" si="27"/>
        <v>1.67682926829269E-2</v>
      </c>
      <c r="X250" s="72"/>
    </row>
    <row r="251" spans="2:24" x14ac:dyDescent="0.3">
      <c r="B251" s="72">
        <v>45172</v>
      </c>
      <c r="C251" s="16">
        <v>15879</v>
      </c>
      <c r="D251" s="11">
        <f t="shared" si="21"/>
        <v>-1.3224126573782913E-2</v>
      </c>
      <c r="F251" s="77">
        <v>33.97</v>
      </c>
      <c r="G251" s="11">
        <f t="shared" si="22"/>
        <v>1.0410469958358259E-2</v>
      </c>
      <c r="I251" s="77">
        <v>538.92999999999995</v>
      </c>
      <c r="J251" s="11">
        <f t="shared" si="23"/>
        <v>1.2740768580287387E-2</v>
      </c>
      <c r="L251" s="77">
        <v>123.69</v>
      </c>
      <c r="M251" s="11">
        <f t="shared" si="24"/>
        <v>-1.4579349904397687E-2</v>
      </c>
      <c r="O251" s="77">
        <v>46.94</v>
      </c>
      <c r="P251" s="11">
        <f t="shared" si="25"/>
        <v>2.0878642888212395E-2</v>
      </c>
      <c r="R251" s="77">
        <v>116.02</v>
      </c>
      <c r="S251" s="11">
        <f t="shared" si="26"/>
        <v>-2.2907192184605019E-2</v>
      </c>
      <c r="U251" s="77">
        <v>3.1709999999999998</v>
      </c>
      <c r="V251" s="11">
        <f t="shared" si="27"/>
        <v>-4.9175412293853138E-2</v>
      </c>
      <c r="X251" s="72"/>
    </row>
    <row r="252" spans="2:24" x14ac:dyDescent="0.3">
      <c r="B252" s="72">
        <v>45179</v>
      </c>
      <c r="C252" s="16">
        <v>15973.7</v>
      </c>
      <c r="D252" s="11">
        <f t="shared" si="21"/>
        <v>5.9638516279363341E-3</v>
      </c>
      <c r="F252" s="77">
        <v>34.03</v>
      </c>
      <c r="G252" s="11">
        <f t="shared" si="22"/>
        <v>1.7662643508979947E-3</v>
      </c>
      <c r="I252" s="77">
        <v>543.99</v>
      </c>
      <c r="J252" s="11">
        <f t="shared" si="23"/>
        <v>9.388974449372034E-3</v>
      </c>
      <c r="L252" s="77">
        <v>123.05</v>
      </c>
      <c r="M252" s="11">
        <f t="shared" si="24"/>
        <v>-5.1742258872988778E-3</v>
      </c>
      <c r="O252" s="77">
        <v>46.32</v>
      </c>
      <c r="P252" s="11">
        <f t="shared" si="25"/>
        <v>-1.320835108649332E-2</v>
      </c>
      <c r="R252" s="77">
        <v>112.35</v>
      </c>
      <c r="S252" s="11">
        <f t="shared" si="26"/>
        <v>-3.163247715911055E-2</v>
      </c>
      <c r="U252" s="77">
        <v>3.2</v>
      </c>
      <c r="V252" s="11">
        <f t="shared" si="27"/>
        <v>9.1453800063072688E-3</v>
      </c>
      <c r="X252" s="72"/>
    </row>
    <row r="253" spans="2:24" x14ac:dyDescent="0.3">
      <c r="B253" s="72">
        <v>45186</v>
      </c>
      <c r="C253" s="16">
        <v>15569.5</v>
      </c>
      <c r="D253" s="11">
        <f t="shared" si="21"/>
        <v>-2.5304093603861433E-2</v>
      </c>
      <c r="F253" s="77">
        <v>33.840000000000003</v>
      </c>
      <c r="G253" s="11">
        <f t="shared" si="22"/>
        <v>-5.5833088451365809E-3</v>
      </c>
      <c r="I253" s="77">
        <v>546.16999999999996</v>
      </c>
      <c r="J253" s="11">
        <f t="shared" si="23"/>
        <v>4.0074266071066234E-3</v>
      </c>
      <c r="L253" s="77">
        <v>112.6</v>
      </c>
      <c r="M253" s="11">
        <f t="shared" si="24"/>
        <v>-8.4924827305973172E-2</v>
      </c>
      <c r="O253" s="77">
        <v>45.66</v>
      </c>
      <c r="P253" s="11">
        <f t="shared" si="25"/>
        <v>-1.4248704663212486E-2</v>
      </c>
      <c r="R253" s="77">
        <v>104.5</v>
      </c>
      <c r="S253" s="11">
        <f t="shared" si="26"/>
        <v>-6.9870939029817447E-2</v>
      </c>
      <c r="U253" s="77">
        <v>3.2639999999999998</v>
      </c>
      <c r="V253" s="11">
        <f t="shared" si="27"/>
        <v>1.9999999999999796E-2</v>
      </c>
      <c r="X253" s="72"/>
    </row>
    <row r="254" spans="2:24" x14ac:dyDescent="0.3">
      <c r="B254" s="72">
        <v>45193</v>
      </c>
      <c r="C254" s="16">
        <v>15398.2</v>
      </c>
      <c r="D254" s="11">
        <f t="shared" si="21"/>
        <v>-1.1002280098911243E-2</v>
      </c>
      <c r="F254" s="77">
        <v>34.39</v>
      </c>
      <c r="G254" s="11">
        <f t="shared" si="22"/>
        <v>1.625295508274216E-2</v>
      </c>
      <c r="I254" s="77">
        <v>552.4</v>
      </c>
      <c r="J254" s="11">
        <f t="shared" si="23"/>
        <v>1.1406704872109374E-2</v>
      </c>
      <c r="L254" s="77">
        <v>110.57</v>
      </c>
      <c r="M254" s="11">
        <f t="shared" si="24"/>
        <v>-1.8028419182948507E-2</v>
      </c>
      <c r="O254" s="77">
        <v>44.75</v>
      </c>
      <c r="P254" s="11">
        <f t="shared" si="25"/>
        <v>-1.9929916776171619E-2</v>
      </c>
      <c r="R254" s="77">
        <v>106.45</v>
      </c>
      <c r="S254" s="11">
        <f t="shared" si="26"/>
        <v>1.866028708133971E-2</v>
      </c>
      <c r="U254" s="77">
        <v>3.42</v>
      </c>
      <c r="V254" s="11">
        <f t="shared" si="27"/>
        <v>4.7794117647058876E-2</v>
      </c>
      <c r="X254" s="72"/>
    </row>
    <row r="255" spans="2:24" x14ac:dyDescent="0.3">
      <c r="B255" s="72">
        <v>45200</v>
      </c>
      <c r="C255" s="16">
        <v>15214</v>
      </c>
      <c r="D255" s="11">
        <f t="shared" si="21"/>
        <v>-1.1962437167980733E-2</v>
      </c>
      <c r="F255" s="77">
        <v>33.85</v>
      </c>
      <c r="G255" s="11">
        <f t="shared" si="22"/>
        <v>-1.5702239022971742E-2</v>
      </c>
      <c r="I255" s="77">
        <v>545.13</v>
      </c>
      <c r="J255" s="11">
        <f t="shared" si="23"/>
        <v>-1.3160753077480103E-2</v>
      </c>
      <c r="L255" s="77">
        <v>105.01</v>
      </c>
      <c r="M255" s="11">
        <f t="shared" si="24"/>
        <v>-5.0284887401645939E-2</v>
      </c>
      <c r="O255" s="77">
        <v>43.45</v>
      </c>
      <c r="P255" s="11">
        <f t="shared" si="25"/>
        <v>-2.9050279329608908E-2</v>
      </c>
      <c r="R255" s="77">
        <v>105.35</v>
      </c>
      <c r="S255" s="11">
        <f t="shared" si="26"/>
        <v>-1.0333489901362181E-2</v>
      </c>
      <c r="U255" s="77">
        <v>3.38</v>
      </c>
      <c r="V255" s="11">
        <f t="shared" si="27"/>
        <v>-1.1695906432748537E-2</v>
      </c>
      <c r="X255" s="72"/>
    </row>
    <row r="256" spans="2:24" x14ac:dyDescent="0.3">
      <c r="B256" s="72">
        <v>45207</v>
      </c>
      <c r="C256" s="16">
        <v>15323.7</v>
      </c>
      <c r="D256" s="11">
        <f t="shared" si="21"/>
        <v>7.210464046273124E-3</v>
      </c>
      <c r="F256" s="77">
        <v>32.94</v>
      </c>
      <c r="G256" s="11">
        <f t="shared" si="22"/>
        <v>-2.6883308714918841E-2</v>
      </c>
      <c r="I256" s="77">
        <v>554.24</v>
      </c>
      <c r="J256" s="11">
        <f t="shared" si="23"/>
        <v>1.6711610074661154E-2</v>
      </c>
      <c r="L256" s="77">
        <v>111.98</v>
      </c>
      <c r="M256" s="11">
        <f t="shared" si="24"/>
        <v>6.6374630987525052E-2</v>
      </c>
      <c r="O256" s="77">
        <v>44.16</v>
      </c>
      <c r="P256" s="11">
        <f t="shared" si="25"/>
        <v>1.6340621403912348E-2</v>
      </c>
      <c r="R256" s="77">
        <v>107.94</v>
      </c>
      <c r="S256" s="11">
        <f t="shared" si="26"/>
        <v>2.4584717607973428E-2</v>
      </c>
      <c r="U256" s="77">
        <v>3.28</v>
      </c>
      <c r="V256" s="11">
        <f t="shared" si="27"/>
        <v>-2.9585798816568087E-2</v>
      </c>
      <c r="X256" s="72"/>
    </row>
    <row r="257" spans="2:24" x14ac:dyDescent="0.3">
      <c r="B257" s="72">
        <v>45214</v>
      </c>
      <c r="C257" s="16">
        <v>15033.3</v>
      </c>
      <c r="D257" s="11">
        <f t="shared" si="21"/>
        <v>-1.895103662953479E-2</v>
      </c>
      <c r="F257" s="77">
        <v>32.51</v>
      </c>
      <c r="G257" s="11">
        <f t="shared" si="22"/>
        <v>-1.3054037644201544E-2</v>
      </c>
      <c r="I257" s="77">
        <v>540.64</v>
      </c>
      <c r="J257" s="11">
        <f t="shared" si="23"/>
        <v>-2.4538106235565849E-2</v>
      </c>
      <c r="L257" s="77">
        <v>108.83</v>
      </c>
      <c r="M257" s="11">
        <f t="shared" si="24"/>
        <v>-2.8130023218431943E-2</v>
      </c>
      <c r="O257" s="77">
        <v>44.13</v>
      </c>
      <c r="P257" s="11">
        <f t="shared" si="25"/>
        <v>-6.7934782608680688E-4</v>
      </c>
      <c r="R257" s="77">
        <v>110.53</v>
      </c>
      <c r="S257" s="11">
        <f t="shared" si="26"/>
        <v>2.399481193255526E-2</v>
      </c>
      <c r="U257" s="77">
        <v>3.3</v>
      </c>
      <c r="V257" s="11">
        <f t="shared" si="27"/>
        <v>6.0975609756097615E-3</v>
      </c>
      <c r="X257" s="72"/>
    </row>
    <row r="258" spans="2:24" x14ac:dyDescent="0.3">
      <c r="B258" s="72">
        <v>45221</v>
      </c>
      <c r="C258" s="16">
        <v>14675.8</v>
      </c>
      <c r="D258" s="11">
        <f t="shared" si="21"/>
        <v>-2.3780540533349326E-2</v>
      </c>
      <c r="F258" s="77">
        <v>32.76</v>
      </c>
      <c r="G258" s="11">
        <f t="shared" si="22"/>
        <v>7.689941556444202E-3</v>
      </c>
      <c r="I258" s="77">
        <v>530.96</v>
      </c>
      <c r="J258" s="11">
        <f t="shared" si="23"/>
        <v>-1.7904705534181664E-2</v>
      </c>
      <c r="L258" s="77">
        <v>107.23</v>
      </c>
      <c r="M258" s="11">
        <f t="shared" si="24"/>
        <v>-1.4701828539924633E-2</v>
      </c>
      <c r="O258" s="77">
        <v>44.43</v>
      </c>
      <c r="P258" s="11">
        <f t="shared" si="25"/>
        <v>6.7980965329708098E-3</v>
      </c>
      <c r="R258" s="77">
        <v>108.24</v>
      </c>
      <c r="S258" s="11">
        <f t="shared" si="26"/>
        <v>-2.0718357007147414E-2</v>
      </c>
      <c r="U258" s="77">
        <v>3.25</v>
      </c>
      <c r="V258" s="11">
        <f t="shared" si="27"/>
        <v>-1.5151515151515138E-2</v>
      </c>
      <c r="X258" s="72"/>
    </row>
    <row r="259" spans="2:24" x14ac:dyDescent="0.3">
      <c r="B259" s="72">
        <v>45228</v>
      </c>
      <c r="C259" s="16">
        <v>15475.2</v>
      </c>
      <c r="D259" s="11">
        <f t="shared" si="21"/>
        <v>5.4470625110726534E-2</v>
      </c>
      <c r="F259" s="77">
        <v>32.81</v>
      </c>
      <c r="G259" s="11">
        <f t="shared" si="22"/>
        <v>1.5262515262517429E-3</v>
      </c>
      <c r="I259" s="77">
        <v>548.42999999999995</v>
      </c>
      <c r="J259" s="11">
        <f t="shared" si="23"/>
        <v>3.2902666867560493E-2</v>
      </c>
      <c r="L259" s="77">
        <v>112.85</v>
      </c>
      <c r="M259" s="11">
        <f t="shared" si="24"/>
        <v>5.2410705959153203E-2</v>
      </c>
      <c r="O259" s="77">
        <v>45.37</v>
      </c>
      <c r="P259" s="11">
        <f t="shared" si="25"/>
        <v>2.1156875984694956E-2</v>
      </c>
      <c r="R259" s="77">
        <v>116.35</v>
      </c>
      <c r="S259" s="11">
        <f t="shared" si="26"/>
        <v>7.4926090169992632E-2</v>
      </c>
      <c r="U259" s="77">
        <v>3.4249999999999998</v>
      </c>
      <c r="V259" s="11">
        <f t="shared" si="27"/>
        <v>5.3846153846153877E-2</v>
      </c>
      <c r="X259" s="72"/>
    </row>
    <row r="260" spans="2:24" x14ac:dyDescent="0.3">
      <c r="B260" s="72">
        <v>45235</v>
      </c>
      <c r="C260" s="16">
        <v>15388.4</v>
      </c>
      <c r="D260" s="11">
        <f t="shared" si="21"/>
        <v>-5.6089743589744501E-3</v>
      </c>
      <c r="F260" s="77">
        <v>32.53</v>
      </c>
      <c r="G260" s="11">
        <f t="shared" si="22"/>
        <v>-8.533983541603174E-3</v>
      </c>
      <c r="I260" s="77">
        <v>564.29</v>
      </c>
      <c r="J260" s="11">
        <f t="shared" si="23"/>
        <v>2.8918913990846562E-2</v>
      </c>
      <c r="L260" s="77">
        <v>108.33</v>
      </c>
      <c r="M260" s="11">
        <f t="shared" si="24"/>
        <v>-4.0053167922020294E-2</v>
      </c>
      <c r="O260" s="77">
        <v>43.89</v>
      </c>
      <c r="P260" s="11">
        <f t="shared" si="25"/>
        <v>-3.2620674454485243E-2</v>
      </c>
      <c r="R260" s="77">
        <v>114.08</v>
      </c>
      <c r="S260" s="11">
        <f t="shared" si="26"/>
        <v>-1.9510098839707779E-2</v>
      </c>
      <c r="U260" s="77">
        <v>3.415</v>
      </c>
      <c r="V260" s="11">
        <f t="shared" si="27"/>
        <v>-2.9197080291970545E-3</v>
      </c>
      <c r="X260" s="72"/>
    </row>
    <row r="261" spans="2:24" x14ac:dyDescent="0.3">
      <c r="B261" s="72">
        <v>45242</v>
      </c>
      <c r="C261" s="16">
        <v>15813.5</v>
      </c>
      <c r="D261" s="11">
        <f t="shared" si="21"/>
        <v>2.7624704322736671E-2</v>
      </c>
      <c r="F261" s="77">
        <v>32.64</v>
      </c>
      <c r="G261" s="11">
        <f t="shared" si="22"/>
        <v>3.3814940055332254E-3</v>
      </c>
      <c r="I261" s="77">
        <v>564.32000000000005</v>
      </c>
      <c r="J261" s="11">
        <f t="shared" si="23"/>
        <v>5.3164153183793417E-5</v>
      </c>
      <c r="L261" s="77">
        <v>129.88999999999999</v>
      </c>
      <c r="M261" s="11">
        <f t="shared" si="24"/>
        <v>0.19902150835410315</v>
      </c>
      <c r="O261" s="77">
        <v>42.44</v>
      </c>
      <c r="P261" s="11">
        <f t="shared" si="25"/>
        <v>-3.3037138300296309E-2</v>
      </c>
      <c r="R261" s="77">
        <v>115</v>
      </c>
      <c r="S261" s="11">
        <f t="shared" si="26"/>
        <v>8.0645161290322509E-3</v>
      </c>
      <c r="U261" s="77">
        <v>3.45</v>
      </c>
      <c r="V261" s="11">
        <f t="shared" si="27"/>
        <v>1.024890190336758E-2</v>
      </c>
      <c r="X261" s="72"/>
    </row>
    <row r="262" spans="2:24" x14ac:dyDescent="0.3">
      <c r="B262" s="72">
        <v>45249</v>
      </c>
      <c r="C262" s="16">
        <v>15983.8</v>
      </c>
      <c r="D262" s="11">
        <f t="shared" si="21"/>
        <v>1.0769279413159527E-2</v>
      </c>
      <c r="F262" s="77">
        <v>33.18</v>
      </c>
      <c r="G262" s="11">
        <f t="shared" si="22"/>
        <v>1.6544117647058876E-2</v>
      </c>
      <c r="I262" s="77">
        <v>578.21</v>
      </c>
      <c r="J262" s="11">
        <f t="shared" si="23"/>
        <v>2.4613694357811244E-2</v>
      </c>
      <c r="L262" s="77">
        <v>131.46</v>
      </c>
      <c r="M262" s="11">
        <f t="shared" si="24"/>
        <v>1.2087150665948343E-2</v>
      </c>
      <c r="O262" s="77">
        <v>44.18</v>
      </c>
      <c r="P262" s="11">
        <f t="shared" si="25"/>
        <v>4.0999057492931312E-2</v>
      </c>
      <c r="R262" s="77">
        <v>117.32</v>
      </c>
      <c r="S262" s="11">
        <f t="shared" si="26"/>
        <v>2.0173913043478153E-2</v>
      </c>
      <c r="U262" s="77">
        <v>3.49</v>
      </c>
      <c r="V262" s="11">
        <f t="shared" si="27"/>
        <v>1.1594202898550732E-2</v>
      </c>
      <c r="X262" s="72"/>
    </row>
    <row r="263" spans="2:24" x14ac:dyDescent="0.3">
      <c r="B263" s="72">
        <v>45256</v>
      </c>
      <c r="C263" s="16">
        <v>16263.8</v>
      </c>
      <c r="D263" s="11">
        <f t="shared" si="21"/>
        <v>1.7517736708417164E-2</v>
      </c>
      <c r="F263" s="77">
        <v>33.33</v>
      </c>
      <c r="G263" s="11">
        <f t="shared" si="22"/>
        <v>4.5207956600361587E-3</v>
      </c>
      <c r="I263" s="77">
        <v>582.99</v>
      </c>
      <c r="J263" s="11">
        <f t="shared" si="23"/>
        <v>8.266892651458857E-3</v>
      </c>
      <c r="L263" s="77">
        <v>134.78</v>
      </c>
      <c r="M263" s="11">
        <f t="shared" si="24"/>
        <v>2.5254830366651326E-2</v>
      </c>
      <c r="O263" s="77">
        <v>44.6</v>
      </c>
      <c r="P263" s="11">
        <f t="shared" si="25"/>
        <v>9.506564056134037E-3</v>
      </c>
      <c r="R263" s="77">
        <v>126.15</v>
      </c>
      <c r="S263" s="11">
        <f t="shared" si="26"/>
        <v>7.5264234572110622E-2</v>
      </c>
      <c r="U263" s="77">
        <v>3.4</v>
      </c>
      <c r="V263" s="11">
        <f t="shared" si="27"/>
        <v>-2.5787965616045905E-2</v>
      </c>
      <c r="X263" s="72"/>
    </row>
    <row r="264" spans="2:24" x14ac:dyDescent="0.3">
      <c r="B264" s="72">
        <v>45263</v>
      </c>
      <c r="C264" s="16">
        <v>16207.8</v>
      </c>
      <c r="D264" s="11">
        <f t="shared" si="21"/>
        <v>-3.4432297495050612E-3</v>
      </c>
      <c r="F264" s="77">
        <v>31.86</v>
      </c>
      <c r="G264" s="11">
        <f t="shared" si="22"/>
        <v>-4.4104410441044073E-2</v>
      </c>
      <c r="I264" s="77">
        <v>597.20000000000005</v>
      </c>
      <c r="J264" s="11">
        <f t="shared" si="23"/>
        <v>2.4374346043671391E-2</v>
      </c>
      <c r="L264" s="77">
        <v>135.19</v>
      </c>
      <c r="M264" s="11">
        <f t="shared" si="24"/>
        <v>3.0419943611812439E-3</v>
      </c>
      <c r="O264" s="77">
        <v>44.58</v>
      </c>
      <c r="P264" s="11">
        <f t="shared" si="25"/>
        <v>-4.484304932735883E-4</v>
      </c>
      <c r="R264" s="77">
        <v>124.41</v>
      </c>
      <c r="S264" s="11">
        <f t="shared" si="26"/>
        <v>-1.379310344827589E-2</v>
      </c>
      <c r="U264" s="77">
        <v>3.68</v>
      </c>
      <c r="V264" s="11">
        <f t="shared" si="27"/>
        <v>8.235294117647074E-2</v>
      </c>
      <c r="X264" s="72"/>
    </row>
    <row r="265" spans="2:24" x14ac:dyDescent="0.3">
      <c r="B265" s="72">
        <v>45270</v>
      </c>
      <c r="C265" s="16">
        <v>16609.8</v>
      </c>
      <c r="D265" s="11">
        <f t="shared" si="21"/>
        <v>2.4802872690926625E-2</v>
      </c>
      <c r="F265" s="77">
        <v>31.29</v>
      </c>
      <c r="G265" s="11">
        <f t="shared" si="22"/>
        <v>-1.7890772128060228E-2</v>
      </c>
      <c r="I265" s="77">
        <v>644.16999999999996</v>
      </c>
      <c r="J265" s="11">
        <f t="shared" si="23"/>
        <v>7.8650368385800196E-2</v>
      </c>
      <c r="L265" s="77">
        <v>138.37</v>
      </c>
      <c r="M265" s="11">
        <f t="shared" si="24"/>
        <v>2.3522449885346575E-2</v>
      </c>
      <c r="O265" s="77">
        <v>44.11</v>
      </c>
      <c r="P265" s="11">
        <f t="shared" si="25"/>
        <v>-1.0542844324809342E-2</v>
      </c>
      <c r="R265" s="77">
        <v>130.81</v>
      </c>
      <c r="S265" s="11">
        <f t="shared" si="26"/>
        <v>5.1442810063499822E-2</v>
      </c>
      <c r="U265" s="77">
        <v>3.75</v>
      </c>
      <c r="V265" s="11">
        <f t="shared" si="27"/>
        <v>1.9021739130434812E-2</v>
      </c>
      <c r="X265" s="72"/>
    </row>
    <row r="266" spans="2:24" x14ac:dyDescent="0.3">
      <c r="B266" s="72">
        <v>45277</v>
      </c>
      <c r="C266" s="16">
        <v>16770.5</v>
      </c>
      <c r="D266" s="11">
        <f t="shared" ref="D266:D268" si="28">C266/C265-1</f>
        <v>9.6750111380028425E-3</v>
      </c>
      <c r="F266" s="77">
        <v>32.31</v>
      </c>
      <c r="G266" s="11">
        <f t="shared" ref="G266:G268" si="29">F266/F265-1</f>
        <v>3.2598274209012512E-2</v>
      </c>
      <c r="I266" s="77">
        <v>656.67</v>
      </c>
      <c r="J266" s="11">
        <f t="shared" ref="J266:J268" si="30">I266/I265-1</f>
        <v>1.9404815499014294E-2</v>
      </c>
      <c r="L266" s="77">
        <v>140.19999999999999</v>
      </c>
      <c r="M266" s="11">
        <f t="shared" ref="M266:M268" si="31">L266/L265-1</f>
        <v>1.3225410132253979E-2</v>
      </c>
      <c r="O266" s="77">
        <v>45.14</v>
      </c>
      <c r="P266" s="11">
        <f t="shared" ref="P266:P268" si="32">O266/O265-1</f>
        <v>2.3350714123781424E-2</v>
      </c>
      <c r="R266" s="77">
        <v>136.56</v>
      </c>
      <c r="S266" s="11">
        <f t="shared" ref="S266:S268" si="33">R266/R265-1</f>
        <v>4.3956884030272869E-2</v>
      </c>
      <c r="U266" s="77">
        <v>3.5</v>
      </c>
      <c r="V266" s="11">
        <f t="shared" si="27"/>
        <v>-6.6666666666666652E-2</v>
      </c>
      <c r="X266" s="72"/>
    </row>
    <row r="267" spans="2:24" x14ac:dyDescent="0.3">
      <c r="B267" s="72">
        <v>45284</v>
      </c>
      <c r="C267" s="16">
        <v>16852.900000000001</v>
      </c>
      <c r="D267" s="11">
        <f t="shared" si="28"/>
        <v>4.913389582898553E-3</v>
      </c>
      <c r="F267" s="77">
        <v>32.58</v>
      </c>
      <c r="G267" s="11">
        <f t="shared" si="29"/>
        <v>8.3565459610026593E-3</v>
      </c>
      <c r="I267" s="77">
        <v>660.08</v>
      </c>
      <c r="J267" s="11">
        <f t="shared" si="30"/>
        <v>5.1928670412841882E-3</v>
      </c>
      <c r="L267" s="77">
        <v>142.41999999999999</v>
      </c>
      <c r="M267" s="11">
        <f t="shared" si="31"/>
        <v>1.5834522111269678E-2</v>
      </c>
      <c r="O267" s="77">
        <v>45.71</v>
      </c>
      <c r="P267" s="11">
        <f t="shared" si="32"/>
        <v>1.2627381479840549E-2</v>
      </c>
      <c r="R267" s="77">
        <v>142.05000000000001</v>
      </c>
      <c r="S267" s="11">
        <f t="shared" si="33"/>
        <v>4.0202108963093286E-2</v>
      </c>
      <c r="U267" s="77">
        <v>3.61</v>
      </c>
      <c r="V267" s="11">
        <f t="shared" ref="V267:V268" si="34">U267/U266-1</f>
        <v>3.1428571428571361E-2</v>
      </c>
      <c r="X267" s="72"/>
    </row>
    <row r="268" spans="2:24" x14ac:dyDescent="0.3">
      <c r="B268" s="72">
        <v>45291</v>
      </c>
      <c r="C268" s="16">
        <v>16758.2</v>
      </c>
      <c r="D268" s="11">
        <f t="shared" si="28"/>
        <v>-5.6192109369901377E-3</v>
      </c>
      <c r="F268" s="77">
        <v>31.61</v>
      </c>
      <c r="G268" s="11">
        <f t="shared" si="29"/>
        <v>-2.9772866789441355E-2</v>
      </c>
      <c r="I268" s="77">
        <v>656.01</v>
      </c>
      <c r="J268" s="11">
        <f t="shared" si="30"/>
        <v>-6.1659192825113118E-3</v>
      </c>
      <c r="L268" s="77">
        <v>140.75</v>
      </c>
      <c r="M268" s="11">
        <f t="shared" si="31"/>
        <v>-1.1725881196461119E-2</v>
      </c>
      <c r="O268" s="77">
        <v>46.05</v>
      </c>
      <c r="P268" s="11">
        <f t="shared" si="32"/>
        <v>7.4381973309995963E-3</v>
      </c>
      <c r="R268" s="77">
        <v>136.29</v>
      </c>
      <c r="S268" s="11">
        <f t="shared" si="33"/>
        <v>-4.054910242872245E-2</v>
      </c>
      <c r="U268" s="77">
        <v>3.81</v>
      </c>
      <c r="V268" s="11">
        <f t="shared" si="34"/>
        <v>5.5401662049861633E-2</v>
      </c>
    </row>
    <row r="269" spans="2:24" x14ac:dyDescent="0.3">
      <c r="I269" s="16"/>
      <c r="V269" s="11"/>
    </row>
    <row r="270" spans="2:24" x14ac:dyDescent="0.3">
      <c r="F270" s="173" t="s">
        <v>375</v>
      </c>
      <c r="G270" s="173"/>
      <c r="I270" s="173" t="s">
        <v>375</v>
      </c>
      <c r="J270" s="173"/>
      <c r="L270" s="173" t="s">
        <v>375</v>
      </c>
      <c r="M270" s="173"/>
      <c r="O270" s="173" t="s">
        <v>375</v>
      </c>
      <c r="P270" s="173"/>
      <c r="R270" s="173" t="s">
        <v>375</v>
      </c>
      <c r="S270" s="173"/>
      <c r="U270" s="173" t="s">
        <v>375</v>
      </c>
      <c r="V270" s="173"/>
    </row>
    <row r="271" spans="2:24" x14ac:dyDescent="0.3">
      <c r="I271" s="16"/>
    </row>
    <row r="272" spans="2:24" x14ac:dyDescent="0.3">
      <c r="B272" t="s">
        <v>381</v>
      </c>
      <c r="C272" s="78">
        <f>SLOPE(G9:G268,$D$9:$D$268)</f>
        <v>-4.8717716937049259E-2</v>
      </c>
      <c r="F272" t="s">
        <v>376</v>
      </c>
      <c r="G272" s="78">
        <f>SLOPE(G9:G268,$D$9:$D$268)</f>
        <v>-4.8717716937049259E-2</v>
      </c>
      <c r="I272" t="s">
        <v>376</v>
      </c>
      <c r="J272" s="78">
        <f>SLOPE(J9:J268,$D$9:$D$268)</f>
        <v>0.58558587027799658</v>
      </c>
      <c r="L272" t="s">
        <v>376</v>
      </c>
      <c r="M272" s="78">
        <f>SLOPE(M9:M268,$D$9:$D$268)</f>
        <v>0.74783405959848059</v>
      </c>
      <c r="O272" t="s">
        <v>376</v>
      </c>
      <c r="P272" s="78">
        <f>SLOPE(P9:P268,$D$9:$D$268)</f>
        <v>0.20956489109146917</v>
      </c>
      <c r="R272" t="s">
        <v>376</v>
      </c>
      <c r="S272" s="78">
        <f>SLOPE(S9:S268,$D$9:$D$268)</f>
        <v>0.69873475505751448</v>
      </c>
      <c r="U272" t="s">
        <v>376</v>
      </c>
      <c r="V272" s="78">
        <f>SLOPE(V9:V268,$D$9:$D$268)</f>
        <v>0.67712904833168697</v>
      </c>
    </row>
    <row r="273" spans="2:22" x14ac:dyDescent="0.3">
      <c r="B273" t="s">
        <v>382</v>
      </c>
      <c r="C273" s="78">
        <f>_xlfn.COVARIANCE.S($G$9:$G$268,$D$9:$D$268)/_xlfn.VAR.S($D$9:$D$268)</f>
        <v>-4.8717716937049287E-2</v>
      </c>
      <c r="F273" t="s">
        <v>377</v>
      </c>
      <c r="G273" s="81">
        <v>0.75</v>
      </c>
      <c r="I273" t="s">
        <v>377</v>
      </c>
      <c r="J273" s="46">
        <f>$G$273</f>
        <v>0.75</v>
      </c>
      <c r="L273" t="s">
        <v>377</v>
      </c>
      <c r="M273" s="46">
        <f>$G$273</f>
        <v>0.75</v>
      </c>
      <c r="O273" t="s">
        <v>377</v>
      </c>
      <c r="P273" s="46">
        <f>$G$273</f>
        <v>0.75</v>
      </c>
      <c r="R273" t="s">
        <v>377</v>
      </c>
      <c r="S273" s="46">
        <f>$G$273</f>
        <v>0.75</v>
      </c>
      <c r="U273" t="s">
        <v>377</v>
      </c>
      <c r="V273" s="46">
        <f>$G$273</f>
        <v>0.75</v>
      </c>
    </row>
    <row r="274" spans="2:22" x14ac:dyDescent="0.3">
      <c r="B274" t="s">
        <v>383</v>
      </c>
      <c r="C274" s="78">
        <f>C298</f>
        <v>-4.9735160031701212E-2</v>
      </c>
    </row>
    <row r="275" spans="2:22" x14ac:dyDescent="0.3">
      <c r="F275" t="s">
        <v>378</v>
      </c>
      <c r="G275" s="83">
        <v>1</v>
      </c>
      <c r="I275" t="s">
        <v>378</v>
      </c>
      <c r="J275" s="66">
        <f>$G$275</f>
        <v>1</v>
      </c>
      <c r="L275" t="s">
        <v>378</v>
      </c>
      <c r="M275" s="66">
        <f>$G$275</f>
        <v>1</v>
      </c>
      <c r="O275" t="s">
        <v>378</v>
      </c>
      <c r="P275" s="66">
        <f>$G$275</f>
        <v>1</v>
      </c>
      <c r="R275" t="s">
        <v>378</v>
      </c>
      <c r="S275" s="66">
        <f>$G$275</f>
        <v>1</v>
      </c>
      <c r="U275" t="s">
        <v>378</v>
      </c>
      <c r="V275" s="66">
        <f>$G$275</f>
        <v>1</v>
      </c>
    </row>
    <row r="276" spans="2:22" x14ac:dyDescent="0.3">
      <c r="F276" t="s">
        <v>379</v>
      </c>
      <c r="G276" s="81">
        <v>0.25</v>
      </c>
      <c r="I276" t="s">
        <v>379</v>
      </c>
      <c r="J276" s="80">
        <f>$G$276</f>
        <v>0.25</v>
      </c>
      <c r="L276" t="s">
        <v>379</v>
      </c>
      <c r="M276" s="46">
        <f>$G$276</f>
        <v>0.25</v>
      </c>
      <c r="O276" t="s">
        <v>379</v>
      </c>
      <c r="P276" s="46">
        <f>$G$276</f>
        <v>0.25</v>
      </c>
      <c r="R276" t="s">
        <v>379</v>
      </c>
      <c r="S276" s="46">
        <f>$G$276</f>
        <v>0.25</v>
      </c>
      <c r="U276" t="s">
        <v>379</v>
      </c>
      <c r="V276" s="46">
        <f>$G$276</f>
        <v>0.25</v>
      </c>
    </row>
    <row r="278" spans="2:22" x14ac:dyDescent="0.3">
      <c r="F278" s="76" t="s">
        <v>380</v>
      </c>
      <c r="G278" s="82">
        <f>(G272*G273)+(G275*G276)</f>
        <v>0.21346171229721306</v>
      </c>
      <c r="I278" s="76" t="s">
        <v>380</v>
      </c>
      <c r="J278" s="82">
        <f>(J272*J273)+(J275*J276)</f>
        <v>0.68918940270849749</v>
      </c>
      <c r="L278" s="76" t="s">
        <v>380</v>
      </c>
      <c r="M278" s="82">
        <f>(M272*M273)+(M275*M276)</f>
        <v>0.81087554469886047</v>
      </c>
      <c r="O278" s="76" t="s">
        <v>380</v>
      </c>
      <c r="P278" s="82">
        <f>(P272*P273)+(P275*P276)</f>
        <v>0.40717366831860191</v>
      </c>
      <c r="R278" s="76" t="s">
        <v>380</v>
      </c>
      <c r="S278" s="82">
        <f>(S272*S273)+(S275*S276)</f>
        <v>0.77405106629313591</v>
      </c>
      <c r="U278" s="76" t="s">
        <v>380</v>
      </c>
      <c r="V278" s="82">
        <f>(V272*V273)+(V275*V276)</f>
        <v>0.75784678624876523</v>
      </c>
    </row>
    <row r="279" spans="2:22" x14ac:dyDescent="0.3">
      <c r="I279" s="16"/>
    </row>
    <row r="280" spans="2:22" x14ac:dyDescent="0.3">
      <c r="I280" s="16"/>
    </row>
    <row r="281" spans="2:22" x14ac:dyDescent="0.3">
      <c r="B281" t="s">
        <v>326</v>
      </c>
    </row>
    <row r="282" spans="2:22" ht="15" thickBot="1" x14ac:dyDescent="0.35"/>
    <row r="283" spans="2:22" x14ac:dyDescent="0.3">
      <c r="B283" s="65" t="s">
        <v>327</v>
      </c>
      <c r="C283" s="65"/>
    </row>
    <row r="284" spans="2:22" x14ac:dyDescent="0.3">
      <c r="B284" t="s">
        <v>328</v>
      </c>
      <c r="C284">
        <v>4.6428096160296715E-2</v>
      </c>
    </row>
    <row r="285" spans="2:22" x14ac:dyDescent="0.3">
      <c r="B285" t="s">
        <v>329</v>
      </c>
      <c r="C285">
        <v>2.1555681130697589E-3</v>
      </c>
    </row>
    <row r="286" spans="2:22" x14ac:dyDescent="0.3">
      <c r="B286" t="s">
        <v>330</v>
      </c>
      <c r="C286">
        <v>-1.7270950460233547E-3</v>
      </c>
    </row>
    <row r="287" spans="2:22" x14ac:dyDescent="0.3">
      <c r="B287" t="s">
        <v>331</v>
      </c>
      <c r="C287">
        <v>3.005742433621281E-2</v>
      </c>
    </row>
    <row r="288" spans="2:22" ht="15" thickBot="1" x14ac:dyDescent="0.35">
      <c r="B288" s="6" t="s">
        <v>332</v>
      </c>
      <c r="C288" s="6">
        <v>259</v>
      </c>
    </row>
    <row r="290" spans="2:10" ht="15" thickBot="1" x14ac:dyDescent="0.35">
      <c r="B290" t="s">
        <v>333</v>
      </c>
    </row>
    <row r="291" spans="2:10" x14ac:dyDescent="0.3">
      <c r="B291" s="64"/>
      <c r="C291" s="64" t="s">
        <v>338</v>
      </c>
      <c r="D291" s="64" t="s">
        <v>339</v>
      </c>
      <c r="E291" s="64" t="s">
        <v>340</v>
      </c>
      <c r="F291" s="64" t="s">
        <v>341</v>
      </c>
      <c r="G291" s="64" t="s">
        <v>342</v>
      </c>
    </row>
    <row r="292" spans="2:10" x14ac:dyDescent="0.3">
      <c r="B292" t="s">
        <v>334</v>
      </c>
      <c r="C292">
        <v>1</v>
      </c>
      <c r="D292">
        <v>5.0157462910174755E-4</v>
      </c>
      <c r="E292">
        <v>5.0157462910174755E-4</v>
      </c>
      <c r="F292">
        <v>0.55517772846749913</v>
      </c>
      <c r="G292">
        <v>0.45689061010251719</v>
      </c>
    </row>
    <row r="293" spans="2:10" x14ac:dyDescent="0.3">
      <c r="B293" t="s">
        <v>335</v>
      </c>
      <c r="C293">
        <v>257</v>
      </c>
      <c r="D293">
        <v>0.23218633073587963</v>
      </c>
      <c r="E293">
        <v>9.0344875772715809E-4</v>
      </c>
    </row>
    <row r="294" spans="2:10" ht="15" thickBot="1" x14ac:dyDescent="0.35">
      <c r="B294" s="6" t="s">
        <v>336</v>
      </c>
      <c r="C294" s="6">
        <v>258</v>
      </c>
      <c r="D294" s="6">
        <v>0.23268790536498138</v>
      </c>
      <c r="E294" s="6"/>
      <c r="F294" s="6"/>
      <c r="G294" s="6"/>
    </row>
    <row r="295" spans="2:10" ht="15" thickBot="1" x14ac:dyDescent="0.35"/>
    <row r="296" spans="2:10" x14ac:dyDescent="0.3">
      <c r="B296" s="64"/>
      <c r="C296" s="64" t="s">
        <v>343</v>
      </c>
      <c r="D296" s="64" t="s">
        <v>331</v>
      </c>
      <c r="E296" s="64" t="s">
        <v>344</v>
      </c>
      <c r="F296" s="64" t="s">
        <v>345</v>
      </c>
      <c r="G296" s="64" t="s">
        <v>346</v>
      </c>
      <c r="H296" s="64" t="s">
        <v>347</v>
      </c>
      <c r="I296" s="64" t="s">
        <v>348</v>
      </c>
      <c r="J296" s="64" t="s">
        <v>349</v>
      </c>
    </row>
    <row r="297" spans="2:10" x14ac:dyDescent="0.3">
      <c r="B297" t="s">
        <v>337</v>
      </c>
      <c r="C297">
        <v>-1.4435646716674006E-3</v>
      </c>
      <c r="D297">
        <v>1.8708795026902241E-3</v>
      </c>
      <c r="E297">
        <v>-0.77159681828339677</v>
      </c>
      <c r="F297">
        <v>0.44106213379106551</v>
      </c>
      <c r="G297">
        <v>-5.1277707393000069E-3</v>
      </c>
      <c r="H297">
        <v>2.2406413959652057E-3</v>
      </c>
      <c r="I297">
        <v>-5.1277707393000069E-3</v>
      </c>
      <c r="J297">
        <v>2.2406413959652057E-3</v>
      </c>
    </row>
    <row r="298" spans="2:10" ht="15" thickBot="1" x14ac:dyDescent="0.35">
      <c r="B298" s="6">
        <v>2.5641458474003898E-2</v>
      </c>
      <c r="C298" s="79">
        <v>-4.9735160031701212E-2</v>
      </c>
      <c r="D298" s="6">
        <v>6.6749420847438443E-2</v>
      </c>
      <c r="E298" s="6">
        <v>-0.74510249527670369</v>
      </c>
      <c r="F298" s="6">
        <v>0.45689061010248821</v>
      </c>
      <c r="G298" s="6">
        <v>-0.18118062241635902</v>
      </c>
      <c r="H298" s="6">
        <v>8.1710302352956579E-2</v>
      </c>
      <c r="I298" s="6">
        <v>-0.18118062241635902</v>
      </c>
      <c r="J298" s="6">
        <v>8.1710302352956579E-2</v>
      </c>
    </row>
    <row r="305" spans="9:9" x14ac:dyDescent="0.3">
      <c r="I305" s="16"/>
    </row>
    <row r="306" spans="9:9" x14ac:dyDescent="0.3">
      <c r="I306" s="16"/>
    </row>
    <row r="307" spans="9:9" x14ac:dyDescent="0.3">
      <c r="I307" s="16"/>
    </row>
    <row r="308" spans="9:9" x14ac:dyDescent="0.3">
      <c r="I308" s="16"/>
    </row>
    <row r="309" spans="9:9" x14ac:dyDescent="0.3">
      <c r="I309" s="16"/>
    </row>
    <row r="310" spans="9:9" x14ac:dyDescent="0.3">
      <c r="I310" s="16"/>
    </row>
    <row r="311" spans="9:9" x14ac:dyDescent="0.3">
      <c r="I311" s="16"/>
    </row>
    <row r="312" spans="9:9" x14ac:dyDescent="0.3">
      <c r="I312" s="16"/>
    </row>
    <row r="313" spans="9:9" x14ac:dyDescent="0.3">
      <c r="I313" s="16"/>
    </row>
    <row r="314" spans="9:9" x14ac:dyDescent="0.3">
      <c r="I314" s="16"/>
    </row>
    <row r="315" spans="9:9" x14ac:dyDescent="0.3">
      <c r="I315" s="16"/>
    </row>
    <row r="316" spans="9:9" x14ac:dyDescent="0.3">
      <c r="I316" s="16"/>
    </row>
    <row r="317" spans="9:9" x14ac:dyDescent="0.3">
      <c r="I317" s="16"/>
    </row>
    <row r="318" spans="9:9" x14ac:dyDescent="0.3">
      <c r="I318" s="16"/>
    </row>
    <row r="319" spans="9:9" x14ac:dyDescent="0.3">
      <c r="I319" s="16"/>
    </row>
    <row r="320" spans="9:9" x14ac:dyDescent="0.3">
      <c r="I320" s="16"/>
    </row>
    <row r="321" spans="9:9" x14ac:dyDescent="0.3">
      <c r="I321" s="16"/>
    </row>
    <row r="322" spans="9:9" x14ac:dyDescent="0.3">
      <c r="I322" s="16"/>
    </row>
    <row r="323" spans="9:9" x14ac:dyDescent="0.3">
      <c r="I323" s="16"/>
    </row>
    <row r="324" spans="9:9" x14ac:dyDescent="0.3">
      <c r="I324" s="16"/>
    </row>
    <row r="325" spans="9:9" x14ac:dyDescent="0.3">
      <c r="I325" s="16"/>
    </row>
    <row r="326" spans="9:9" x14ac:dyDescent="0.3">
      <c r="I326" s="16"/>
    </row>
    <row r="327" spans="9:9" x14ac:dyDescent="0.3">
      <c r="I327" s="16"/>
    </row>
    <row r="328" spans="9:9" x14ac:dyDescent="0.3">
      <c r="I328" s="16"/>
    </row>
    <row r="329" spans="9:9" x14ac:dyDescent="0.3">
      <c r="I329" s="16"/>
    </row>
    <row r="330" spans="9:9" x14ac:dyDescent="0.3">
      <c r="I330" s="16"/>
    </row>
    <row r="331" spans="9:9" x14ac:dyDescent="0.3">
      <c r="I331" s="16"/>
    </row>
    <row r="332" spans="9:9" x14ac:dyDescent="0.3">
      <c r="I332" s="16"/>
    </row>
    <row r="333" spans="9:9" x14ac:dyDescent="0.3">
      <c r="I333" s="16"/>
    </row>
    <row r="334" spans="9:9" x14ac:dyDescent="0.3">
      <c r="I334" s="16"/>
    </row>
    <row r="335" spans="9:9" x14ac:dyDescent="0.3">
      <c r="I335" s="16"/>
    </row>
    <row r="336" spans="9:9" x14ac:dyDescent="0.3">
      <c r="I336" s="16"/>
    </row>
    <row r="337" spans="9:9" x14ac:dyDescent="0.3">
      <c r="I337" s="16"/>
    </row>
    <row r="338" spans="9:9" x14ac:dyDescent="0.3">
      <c r="I338" s="16"/>
    </row>
    <row r="339" spans="9:9" x14ac:dyDescent="0.3">
      <c r="I339" s="16"/>
    </row>
    <row r="340" spans="9:9" x14ac:dyDescent="0.3">
      <c r="I340" s="16"/>
    </row>
    <row r="341" spans="9:9" x14ac:dyDescent="0.3">
      <c r="I341" s="16"/>
    </row>
    <row r="342" spans="9:9" x14ac:dyDescent="0.3">
      <c r="I342" s="16"/>
    </row>
    <row r="343" spans="9:9" x14ac:dyDescent="0.3">
      <c r="I343" s="16"/>
    </row>
    <row r="344" spans="9:9" x14ac:dyDescent="0.3">
      <c r="I344" s="16"/>
    </row>
    <row r="345" spans="9:9" x14ac:dyDescent="0.3">
      <c r="I345" s="16"/>
    </row>
    <row r="346" spans="9:9" x14ac:dyDescent="0.3">
      <c r="I346" s="16"/>
    </row>
    <row r="347" spans="9:9" x14ac:dyDescent="0.3">
      <c r="I347" s="16"/>
    </row>
    <row r="348" spans="9:9" x14ac:dyDescent="0.3">
      <c r="I348" s="16"/>
    </row>
    <row r="349" spans="9:9" x14ac:dyDescent="0.3">
      <c r="I349" s="16"/>
    </row>
    <row r="350" spans="9:9" x14ac:dyDescent="0.3">
      <c r="I350" s="16"/>
    </row>
    <row r="351" spans="9:9" x14ac:dyDescent="0.3">
      <c r="I351" s="16"/>
    </row>
    <row r="352" spans="9:9" x14ac:dyDescent="0.3">
      <c r="I352" s="16"/>
    </row>
    <row r="353" spans="9:9" x14ac:dyDescent="0.3">
      <c r="I353" s="16"/>
    </row>
    <row r="354" spans="9:9" x14ac:dyDescent="0.3">
      <c r="I354" s="16"/>
    </row>
    <row r="355" spans="9:9" x14ac:dyDescent="0.3">
      <c r="I355" s="16"/>
    </row>
    <row r="356" spans="9:9" x14ac:dyDescent="0.3">
      <c r="I356" s="16"/>
    </row>
    <row r="357" spans="9:9" x14ac:dyDescent="0.3">
      <c r="I357" s="16"/>
    </row>
    <row r="358" spans="9:9" x14ac:dyDescent="0.3">
      <c r="I358" s="16"/>
    </row>
    <row r="359" spans="9:9" x14ac:dyDescent="0.3">
      <c r="I359" s="16"/>
    </row>
    <row r="360" spans="9:9" x14ac:dyDescent="0.3">
      <c r="I360" s="16"/>
    </row>
    <row r="361" spans="9:9" x14ac:dyDescent="0.3">
      <c r="I361" s="16"/>
    </row>
    <row r="362" spans="9:9" x14ac:dyDescent="0.3">
      <c r="I362" s="16"/>
    </row>
    <row r="363" spans="9:9" x14ac:dyDescent="0.3">
      <c r="I363" s="16"/>
    </row>
    <row r="364" spans="9:9" x14ac:dyDescent="0.3">
      <c r="I364" s="16"/>
    </row>
    <row r="365" spans="9:9" x14ac:dyDescent="0.3">
      <c r="I365" s="16"/>
    </row>
    <row r="366" spans="9:9" x14ac:dyDescent="0.3">
      <c r="I366" s="16"/>
    </row>
    <row r="367" spans="9:9" x14ac:dyDescent="0.3">
      <c r="I367" s="16"/>
    </row>
    <row r="368" spans="9:9" x14ac:dyDescent="0.3">
      <c r="I368" s="16"/>
    </row>
    <row r="369" spans="9:9" x14ac:dyDescent="0.3">
      <c r="I369" s="16"/>
    </row>
    <row r="370" spans="9:9" x14ac:dyDescent="0.3">
      <c r="I370" s="16"/>
    </row>
    <row r="371" spans="9:9" x14ac:dyDescent="0.3">
      <c r="I371" s="16"/>
    </row>
    <row r="372" spans="9:9" x14ac:dyDescent="0.3">
      <c r="I372" s="16"/>
    </row>
    <row r="373" spans="9:9" x14ac:dyDescent="0.3">
      <c r="I373" s="16"/>
    </row>
    <row r="374" spans="9:9" x14ac:dyDescent="0.3">
      <c r="I374" s="16"/>
    </row>
    <row r="375" spans="9:9" x14ac:dyDescent="0.3">
      <c r="I375" s="16"/>
    </row>
    <row r="376" spans="9:9" x14ac:dyDescent="0.3">
      <c r="I376" s="16"/>
    </row>
    <row r="377" spans="9:9" x14ac:dyDescent="0.3">
      <c r="I377" s="16"/>
    </row>
    <row r="378" spans="9:9" x14ac:dyDescent="0.3">
      <c r="I378" s="16"/>
    </row>
    <row r="379" spans="9:9" x14ac:dyDescent="0.3">
      <c r="I379" s="16"/>
    </row>
    <row r="380" spans="9:9" x14ac:dyDescent="0.3">
      <c r="I380" s="16"/>
    </row>
    <row r="381" spans="9:9" x14ac:dyDescent="0.3">
      <c r="I381" s="16"/>
    </row>
    <row r="382" spans="9:9" x14ac:dyDescent="0.3">
      <c r="I382" s="16"/>
    </row>
    <row r="383" spans="9:9" x14ac:dyDescent="0.3">
      <c r="I383" s="16"/>
    </row>
    <row r="384" spans="9:9" x14ac:dyDescent="0.3">
      <c r="I384" s="16"/>
    </row>
    <row r="385" spans="9:9" x14ac:dyDescent="0.3">
      <c r="I385" s="16"/>
    </row>
    <row r="386" spans="9:9" x14ac:dyDescent="0.3">
      <c r="I386" s="16"/>
    </row>
    <row r="387" spans="9:9" x14ac:dyDescent="0.3">
      <c r="I387" s="16"/>
    </row>
    <row r="388" spans="9:9" x14ac:dyDescent="0.3">
      <c r="I388" s="16"/>
    </row>
    <row r="389" spans="9:9" x14ac:dyDescent="0.3">
      <c r="I389" s="16"/>
    </row>
    <row r="390" spans="9:9" x14ac:dyDescent="0.3">
      <c r="I390" s="16"/>
    </row>
    <row r="391" spans="9:9" x14ac:dyDescent="0.3">
      <c r="I391" s="16"/>
    </row>
    <row r="392" spans="9:9" x14ac:dyDescent="0.3">
      <c r="I392" s="16"/>
    </row>
    <row r="393" spans="9:9" x14ac:dyDescent="0.3">
      <c r="I393" s="16"/>
    </row>
    <row r="394" spans="9:9" x14ac:dyDescent="0.3">
      <c r="I394" s="16"/>
    </row>
    <row r="395" spans="9:9" x14ac:dyDescent="0.3">
      <c r="I395" s="16"/>
    </row>
    <row r="396" spans="9:9" x14ac:dyDescent="0.3">
      <c r="I396" s="16"/>
    </row>
    <row r="397" spans="9:9" x14ac:dyDescent="0.3">
      <c r="I397" s="16"/>
    </row>
    <row r="398" spans="9:9" x14ac:dyDescent="0.3">
      <c r="I398" s="16"/>
    </row>
    <row r="399" spans="9:9" x14ac:dyDescent="0.3">
      <c r="I399" s="16"/>
    </row>
    <row r="400" spans="9:9" x14ac:dyDescent="0.3">
      <c r="I400" s="16"/>
    </row>
    <row r="401" spans="9:9" x14ac:dyDescent="0.3">
      <c r="I401" s="16"/>
    </row>
    <row r="402" spans="9:9" x14ac:dyDescent="0.3">
      <c r="I402" s="16"/>
    </row>
    <row r="403" spans="9:9" x14ac:dyDescent="0.3">
      <c r="I403" s="16"/>
    </row>
    <row r="404" spans="9:9" x14ac:dyDescent="0.3">
      <c r="I404" s="16"/>
    </row>
    <row r="405" spans="9:9" x14ac:dyDescent="0.3">
      <c r="I405" s="16"/>
    </row>
    <row r="406" spans="9:9" x14ac:dyDescent="0.3">
      <c r="I406" s="16"/>
    </row>
    <row r="407" spans="9:9" x14ac:dyDescent="0.3">
      <c r="I407" s="16"/>
    </row>
    <row r="408" spans="9:9" x14ac:dyDescent="0.3">
      <c r="I408" s="16"/>
    </row>
    <row r="409" spans="9:9" x14ac:dyDescent="0.3">
      <c r="I409" s="16"/>
    </row>
    <row r="410" spans="9:9" x14ac:dyDescent="0.3">
      <c r="I410" s="16"/>
    </row>
    <row r="411" spans="9:9" x14ac:dyDescent="0.3">
      <c r="I411" s="16"/>
    </row>
    <row r="412" spans="9:9" x14ac:dyDescent="0.3">
      <c r="I412" s="16"/>
    </row>
    <row r="413" spans="9:9" x14ac:dyDescent="0.3">
      <c r="I413" s="16"/>
    </row>
    <row r="414" spans="9:9" x14ac:dyDescent="0.3">
      <c r="I414" s="16"/>
    </row>
    <row r="415" spans="9:9" x14ac:dyDescent="0.3">
      <c r="I415" s="16"/>
    </row>
    <row r="416" spans="9:9" x14ac:dyDescent="0.3">
      <c r="I416" s="16"/>
    </row>
    <row r="417" spans="9:9" x14ac:dyDescent="0.3">
      <c r="I417" s="16"/>
    </row>
    <row r="418" spans="9:9" x14ac:dyDescent="0.3">
      <c r="I418" s="16"/>
    </row>
    <row r="419" spans="9:9" x14ac:dyDescent="0.3">
      <c r="I419" s="16"/>
    </row>
    <row r="420" spans="9:9" x14ac:dyDescent="0.3">
      <c r="I420" s="16"/>
    </row>
    <row r="421" spans="9:9" x14ac:dyDescent="0.3">
      <c r="I421" s="16"/>
    </row>
    <row r="422" spans="9:9" x14ac:dyDescent="0.3">
      <c r="I422" s="16"/>
    </row>
    <row r="423" spans="9:9" x14ac:dyDescent="0.3">
      <c r="I423" s="16"/>
    </row>
    <row r="424" spans="9:9" x14ac:dyDescent="0.3">
      <c r="I424" s="16"/>
    </row>
    <row r="425" spans="9:9" x14ac:dyDescent="0.3">
      <c r="I425" s="16"/>
    </row>
    <row r="426" spans="9:9" x14ac:dyDescent="0.3">
      <c r="I426" s="16"/>
    </row>
    <row r="427" spans="9:9" x14ac:dyDescent="0.3">
      <c r="I427" s="16"/>
    </row>
    <row r="428" spans="9:9" x14ac:dyDescent="0.3">
      <c r="I428" s="16"/>
    </row>
    <row r="429" spans="9:9" x14ac:dyDescent="0.3">
      <c r="I429" s="16"/>
    </row>
    <row r="430" spans="9:9" x14ac:dyDescent="0.3">
      <c r="I430" s="16"/>
    </row>
    <row r="431" spans="9:9" x14ac:dyDescent="0.3">
      <c r="I431" s="16"/>
    </row>
    <row r="432" spans="9:9" x14ac:dyDescent="0.3">
      <c r="I432" s="16"/>
    </row>
    <row r="433" spans="9:9" x14ac:dyDescent="0.3">
      <c r="I433" s="16"/>
    </row>
    <row r="434" spans="9:9" x14ac:dyDescent="0.3">
      <c r="I434" s="16"/>
    </row>
    <row r="435" spans="9:9" x14ac:dyDescent="0.3">
      <c r="I435" s="16"/>
    </row>
    <row r="436" spans="9:9" x14ac:dyDescent="0.3">
      <c r="I436" s="16"/>
    </row>
    <row r="437" spans="9:9" x14ac:dyDescent="0.3">
      <c r="I437" s="16"/>
    </row>
    <row r="438" spans="9:9" x14ac:dyDescent="0.3">
      <c r="I438" s="16"/>
    </row>
    <row r="439" spans="9:9" x14ac:dyDescent="0.3">
      <c r="I439" s="16"/>
    </row>
    <row r="440" spans="9:9" x14ac:dyDescent="0.3">
      <c r="I440" s="16"/>
    </row>
    <row r="441" spans="9:9" x14ac:dyDescent="0.3">
      <c r="I441" s="16"/>
    </row>
    <row r="442" spans="9:9" x14ac:dyDescent="0.3">
      <c r="I442" s="16"/>
    </row>
    <row r="443" spans="9:9" x14ac:dyDescent="0.3">
      <c r="I443" s="16"/>
    </row>
    <row r="444" spans="9:9" x14ac:dyDescent="0.3">
      <c r="I444" s="16"/>
    </row>
    <row r="445" spans="9:9" x14ac:dyDescent="0.3">
      <c r="I445" s="16"/>
    </row>
    <row r="446" spans="9:9" x14ac:dyDescent="0.3">
      <c r="I446" s="16"/>
    </row>
    <row r="447" spans="9:9" x14ac:dyDescent="0.3">
      <c r="I447" s="16"/>
    </row>
    <row r="448" spans="9:9" x14ac:dyDescent="0.3">
      <c r="I448" s="16"/>
    </row>
    <row r="449" spans="9:9" x14ac:dyDescent="0.3">
      <c r="I449" s="16"/>
    </row>
    <row r="450" spans="9:9" x14ac:dyDescent="0.3">
      <c r="I450" s="16"/>
    </row>
    <row r="451" spans="9:9" x14ac:dyDescent="0.3">
      <c r="I451" s="16"/>
    </row>
    <row r="452" spans="9:9" x14ac:dyDescent="0.3">
      <c r="I452" s="16"/>
    </row>
    <row r="453" spans="9:9" x14ac:dyDescent="0.3">
      <c r="I453" s="16"/>
    </row>
    <row r="454" spans="9:9" x14ac:dyDescent="0.3">
      <c r="I454" s="16"/>
    </row>
    <row r="455" spans="9:9" x14ac:dyDescent="0.3">
      <c r="I455" s="16"/>
    </row>
    <row r="456" spans="9:9" x14ac:dyDescent="0.3">
      <c r="I456" s="16"/>
    </row>
    <row r="457" spans="9:9" x14ac:dyDescent="0.3">
      <c r="I457" s="16"/>
    </row>
    <row r="458" spans="9:9" x14ac:dyDescent="0.3">
      <c r="I458" s="16"/>
    </row>
    <row r="459" spans="9:9" x14ac:dyDescent="0.3">
      <c r="I459" s="16"/>
    </row>
    <row r="460" spans="9:9" x14ac:dyDescent="0.3">
      <c r="I460" s="16"/>
    </row>
    <row r="461" spans="9:9" x14ac:dyDescent="0.3">
      <c r="I461" s="16"/>
    </row>
    <row r="462" spans="9:9" x14ac:dyDescent="0.3">
      <c r="I462" s="16"/>
    </row>
    <row r="463" spans="9:9" x14ac:dyDescent="0.3">
      <c r="I463" s="16"/>
    </row>
    <row r="464" spans="9:9" x14ac:dyDescent="0.3">
      <c r="I464" s="16"/>
    </row>
    <row r="465" spans="9:9" x14ac:dyDescent="0.3">
      <c r="I465" s="16"/>
    </row>
    <row r="466" spans="9:9" x14ac:dyDescent="0.3">
      <c r="I466" s="16"/>
    </row>
    <row r="467" spans="9:9" x14ac:dyDescent="0.3">
      <c r="I467" s="16"/>
    </row>
    <row r="468" spans="9:9" x14ac:dyDescent="0.3">
      <c r="I468" s="16"/>
    </row>
    <row r="469" spans="9:9" x14ac:dyDescent="0.3">
      <c r="I469" s="16"/>
    </row>
    <row r="470" spans="9:9" x14ac:dyDescent="0.3">
      <c r="I470" s="16"/>
    </row>
    <row r="471" spans="9:9" x14ac:dyDescent="0.3">
      <c r="I471" s="16"/>
    </row>
    <row r="472" spans="9:9" x14ac:dyDescent="0.3">
      <c r="I472" s="16"/>
    </row>
    <row r="473" spans="9:9" x14ac:dyDescent="0.3">
      <c r="I473" s="16"/>
    </row>
    <row r="474" spans="9:9" x14ac:dyDescent="0.3">
      <c r="I474" s="16"/>
    </row>
    <row r="475" spans="9:9" x14ac:dyDescent="0.3">
      <c r="I475" s="16"/>
    </row>
    <row r="476" spans="9:9" x14ac:dyDescent="0.3">
      <c r="I476" s="16"/>
    </row>
    <row r="477" spans="9:9" x14ac:dyDescent="0.3">
      <c r="I477" s="16"/>
    </row>
    <row r="478" spans="9:9" x14ac:dyDescent="0.3">
      <c r="I478" s="16"/>
    </row>
    <row r="479" spans="9:9" x14ac:dyDescent="0.3">
      <c r="I479" s="16"/>
    </row>
    <row r="480" spans="9:9" x14ac:dyDescent="0.3">
      <c r="I480" s="16"/>
    </row>
    <row r="481" spans="9:9" x14ac:dyDescent="0.3">
      <c r="I481" s="16"/>
    </row>
    <row r="482" spans="9:9" x14ac:dyDescent="0.3">
      <c r="I482" s="16"/>
    </row>
    <row r="483" spans="9:9" x14ac:dyDescent="0.3">
      <c r="I483" s="16"/>
    </row>
    <row r="484" spans="9:9" x14ac:dyDescent="0.3">
      <c r="I484" s="16"/>
    </row>
    <row r="485" spans="9:9" x14ac:dyDescent="0.3">
      <c r="I485" s="16"/>
    </row>
    <row r="486" spans="9:9" x14ac:dyDescent="0.3">
      <c r="I486" s="16"/>
    </row>
    <row r="487" spans="9:9" x14ac:dyDescent="0.3">
      <c r="I487" s="16"/>
    </row>
    <row r="488" spans="9:9" x14ac:dyDescent="0.3">
      <c r="I488" s="16"/>
    </row>
    <row r="489" spans="9:9" x14ac:dyDescent="0.3">
      <c r="I489" s="16"/>
    </row>
    <row r="490" spans="9:9" x14ac:dyDescent="0.3">
      <c r="I490" s="16"/>
    </row>
    <row r="491" spans="9:9" x14ac:dyDescent="0.3">
      <c r="I491" s="16"/>
    </row>
    <row r="492" spans="9:9" x14ac:dyDescent="0.3">
      <c r="I492" s="16"/>
    </row>
    <row r="493" spans="9:9" x14ac:dyDescent="0.3">
      <c r="I493" s="16"/>
    </row>
    <row r="494" spans="9:9" x14ac:dyDescent="0.3">
      <c r="I494" s="16"/>
    </row>
    <row r="495" spans="9:9" x14ac:dyDescent="0.3">
      <c r="I495" s="16"/>
    </row>
    <row r="496" spans="9:9" x14ac:dyDescent="0.3">
      <c r="I496" s="16"/>
    </row>
    <row r="497" spans="9:9" x14ac:dyDescent="0.3">
      <c r="I497" s="16"/>
    </row>
    <row r="498" spans="9:9" x14ac:dyDescent="0.3">
      <c r="I498" s="16"/>
    </row>
    <row r="499" spans="9:9" x14ac:dyDescent="0.3">
      <c r="I499" s="16"/>
    </row>
    <row r="500" spans="9:9" x14ac:dyDescent="0.3">
      <c r="I500" s="16"/>
    </row>
    <row r="501" spans="9:9" x14ac:dyDescent="0.3">
      <c r="I501" s="16"/>
    </row>
    <row r="502" spans="9:9" x14ac:dyDescent="0.3">
      <c r="I502" s="16"/>
    </row>
    <row r="503" spans="9:9" x14ac:dyDescent="0.3">
      <c r="I503" s="16"/>
    </row>
    <row r="504" spans="9:9" x14ac:dyDescent="0.3">
      <c r="I504" s="16"/>
    </row>
    <row r="505" spans="9:9" x14ac:dyDescent="0.3">
      <c r="I505" s="16"/>
    </row>
    <row r="506" spans="9:9" x14ac:dyDescent="0.3">
      <c r="I506" s="16"/>
    </row>
    <row r="507" spans="9:9" x14ac:dyDescent="0.3">
      <c r="I507" s="16"/>
    </row>
    <row r="508" spans="9:9" x14ac:dyDescent="0.3">
      <c r="I508" s="16"/>
    </row>
    <row r="509" spans="9:9" x14ac:dyDescent="0.3">
      <c r="I509" s="16"/>
    </row>
    <row r="510" spans="9:9" x14ac:dyDescent="0.3">
      <c r="I510" s="16"/>
    </row>
    <row r="511" spans="9:9" x14ac:dyDescent="0.3">
      <c r="I511" s="16"/>
    </row>
    <row r="512" spans="9:9" x14ac:dyDescent="0.3">
      <c r="I512" s="16"/>
    </row>
    <row r="513" spans="9:9" x14ac:dyDescent="0.3">
      <c r="I513" s="16"/>
    </row>
    <row r="514" spans="9:9" x14ac:dyDescent="0.3">
      <c r="I514" s="16"/>
    </row>
    <row r="515" spans="9:9" x14ac:dyDescent="0.3">
      <c r="I515" s="16"/>
    </row>
    <row r="516" spans="9:9" x14ac:dyDescent="0.3">
      <c r="I516" s="16"/>
    </row>
    <row r="517" spans="9:9" x14ac:dyDescent="0.3">
      <c r="I517" s="16"/>
    </row>
    <row r="518" spans="9:9" x14ac:dyDescent="0.3">
      <c r="I518" s="16"/>
    </row>
    <row r="519" spans="9:9" x14ac:dyDescent="0.3">
      <c r="I519" s="16"/>
    </row>
    <row r="520" spans="9:9" x14ac:dyDescent="0.3">
      <c r="I520" s="16"/>
    </row>
    <row r="521" spans="9:9" x14ac:dyDescent="0.3">
      <c r="I521" s="16"/>
    </row>
    <row r="522" spans="9:9" x14ac:dyDescent="0.3">
      <c r="I522" s="16"/>
    </row>
    <row r="523" spans="9:9" x14ac:dyDescent="0.3">
      <c r="I523" s="16"/>
    </row>
    <row r="524" spans="9:9" x14ac:dyDescent="0.3">
      <c r="I524" s="16"/>
    </row>
    <row r="525" spans="9:9" x14ac:dyDescent="0.3">
      <c r="I525" s="16"/>
    </row>
    <row r="526" spans="9:9" x14ac:dyDescent="0.3">
      <c r="I526" s="16"/>
    </row>
    <row r="527" spans="9:9" x14ac:dyDescent="0.3">
      <c r="I527" s="16"/>
    </row>
    <row r="528" spans="9:9" x14ac:dyDescent="0.3">
      <c r="I528" s="16"/>
    </row>
    <row r="529" spans="9:9" x14ac:dyDescent="0.3">
      <c r="I529" s="16"/>
    </row>
    <row r="530" spans="9:9" x14ac:dyDescent="0.3">
      <c r="I530" s="16"/>
    </row>
    <row r="531" spans="9:9" x14ac:dyDescent="0.3">
      <c r="I531" s="16"/>
    </row>
    <row r="532" spans="9:9" x14ac:dyDescent="0.3">
      <c r="I532" s="16"/>
    </row>
    <row r="533" spans="9:9" x14ac:dyDescent="0.3">
      <c r="I533" s="16"/>
    </row>
    <row r="534" spans="9:9" x14ac:dyDescent="0.3">
      <c r="I534" s="16"/>
    </row>
    <row r="535" spans="9:9" x14ac:dyDescent="0.3">
      <c r="I535" s="16"/>
    </row>
    <row r="536" spans="9:9" x14ac:dyDescent="0.3">
      <c r="I536" s="16"/>
    </row>
    <row r="537" spans="9:9" x14ac:dyDescent="0.3">
      <c r="I537" s="16"/>
    </row>
    <row r="538" spans="9:9" x14ac:dyDescent="0.3">
      <c r="I538" s="16"/>
    </row>
    <row r="539" spans="9:9" x14ac:dyDescent="0.3">
      <c r="I539" s="16"/>
    </row>
    <row r="540" spans="9:9" x14ac:dyDescent="0.3">
      <c r="I540" s="16"/>
    </row>
    <row r="541" spans="9:9" x14ac:dyDescent="0.3">
      <c r="I541" s="16"/>
    </row>
    <row r="542" spans="9:9" x14ac:dyDescent="0.3">
      <c r="I542" s="16"/>
    </row>
    <row r="543" spans="9:9" x14ac:dyDescent="0.3">
      <c r="I543" s="16"/>
    </row>
    <row r="544" spans="9:9" x14ac:dyDescent="0.3">
      <c r="I544" s="16"/>
    </row>
    <row r="545" spans="9:9" x14ac:dyDescent="0.3">
      <c r="I545" s="16"/>
    </row>
    <row r="546" spans="9:9" x14ac:dyDescent="0.3">
      <c r="I546" s="16"/>
    </row>
    <row r="547" spans="9:9" x14ac:dyDescent="0.3">
      <c r="I547" s="16"/>
    </row>
    <row r="548" spans="9:9" x14ac:dyDescent="0.3">
      <c r="I548" s="16"/>
    </row>
    <row r="549" spans="9:9" x14ac:dyDescent="0.3">
      <c r="I549" s="16"/>
    </row>
    <row r="550" spans="9:9" x14ac:dyDescent="0.3">
      <c r="I550" s="16"/>
    </row>
    <row r="551" spans="9:9" x14ac:dyDescent="0.3">
      <c r="I551" s="16"/>
    </row>
    <row r="552" spans="9:9" x14ac:dyDescent="0.3">
      <c r="I552" s="16"/>
    </row>
    <row r="553" spans="9:9" x14ac:dyDescent="0.3">
      <c r="I553" s="16"/>
    </row>
    <row r="554" spans="9:9" x14ac:dyDescent="0.3">
      <c r="I554" s="16"/>
    </row>
    <row r="555" spans="9:9" x14ac:dyDescent="0.3">
      <c r="I555" s="16"/>
    </row>
    <row r="556" spans="9:9" x14ac:dyDescent="0.3">
      <c r="I556" s="16"/>
    </row>
    <row r="557" spans="9:9" x14ac:dyDescent="0.3">
      <c r="I557" s="16"/>
    </row>
    <row r="558" spans="9:9" x14ac:dyDescent="0.3">
      <c r="I558" s="16"/>
    </row>
    <row r="559" spans="9:9" x14ac:dyDescent="0.3">
      <c r="I559" s="16"/>
    </row>
    <row r="560" spans="9:9" x14ac:dyDescent="0.3">
      <c r="I560" s="16"/>
    </row>
    <row r="561" spans="9:9" x14ac:dyDescent="0.3">
      <c r="I561" s="16"/>
    </row>
    <row r="562" spans="9:9" x14ac:dyDescent="0.3">
      <c r="I562" s="16"/>
    </row>
    <row r="563" spans="9:9" x14ac:dyDescent="0.3">
      <c r="I563" s="16"/>
    </row>
    <row r="564" spans="9:9" x14ac:dyDescent="0.3">
      <c r="I564" s="16"/>
    </row>
    <row r="565" spans="9:9" x14ac:dyDescent="0.3">
      <c r="I565" s="16"/>
    </row>
    <row r="566" spans="9:9" x14ac:dyDescent="0.3">
      <c r="I566" s="16"/>
    </row>
    <row r="567" spans="9:9" x14ac:dyDescent="0.3">
      <c r="I567" s="16"/>
    </row>
    <row r="568" spans="9:9" x14ac:dyDescent="0.3">
      <c r="I568" s="16"/>
    </row>
    <row r="569" spans="9:9" x14ac:dyDescent="0.3">
      <c r="I569" s="16"/>
    </row>
    <row r="570" spans="9:9" x14ac:dyDescent="0.3">
      <c r="I570" s="16"/>
    </row>
    <row r="571" spans="9:9" x14ac:dyDescent="0.3">
      <c r="I571" s="16"/>
    </row>
    <row r="572" spans="9:9" x14ac:dyDescent="0.3">
      <c r="I572" s="16"/>
    </row>
    <row r="573" spans="9:9" x14ac:dyDescent="0.3">
      <c r="I573" s="16"/>
    </row>
    <row r="574" spans="9:9" x14ac:dyDescent="0.3">
      <c r="I574" s="16"/>
    </row>
    <row r="575" spans="9:9" x14ac:dyDescent="0.3">
      <c r="I575" s="16"/>
    </row>
    <row r="576" spans="9:9" x14ac:dyDescent="0.3">
      <c r="I576" s="16"/>
    </row>
    <row r="577" spans="9:9" x14ac:dyDescent="0.3">
      <c r="I577" s="16"/>
    </row>
    <row r="578" spans="9:9" x14ac:dyDescent="0.3">
      <c r="I578" s="16"/>
    </row>
    <row r="579" spans="9:9" x14ac:dyDescent="0.3">
      <c r="I579" s="16"/>
    </row>
    <row r="580" spans="9:9" x14ac:dyDescent="0.3">
      <c r="I580" s="16"/>
    </row>
    <row r="581" spans="9:9" x14ac:dyDescent="0.3">
      <c r="I581" s="16"/>
    </row>
    <row r="582" spans="9:9" x14ac:dyDescent="0.3">
      <c r="I582" s="16"/>
    </row>
    <row r="583" spans="9:9" x14ac:dyDescent="0.3">
      <c r="I583" s="16"/>
    </row>
    <row r="584" spans="9:9" x14ac:dyDescent="0.3">
      <c r="I584" s="16"/>
    </row>
    <row r="585" spans="9:9" x14ac:dyDescent="0.3">
      <c r="I585" s="16"/>
    </row>
    <row r="586" spans="9:9" x14ac:dyDescent="0.3">
      <c r="I586" s="16"/>
    </row>
    <row r="587" spans="9:9" x14ac:dyDescent="0.3">
      <c r="I587" s="16"/>
    </row>
    <row r="588" spans="9:9" x14ac:dyDescent="0.3">
      <c r="I588" s="16"/>
    </row>
    <row r="589" spans="9:9" x14ac:dyDescent="0.3">
      <c r="I589" s="16"/>
    </row>
    <row r="590" spans="9:9" x14ac:dyDescent="0.3">
      <c r="I590" s="16"/>
    </row>
    <row r="591" spans="9:9" x14ac:dyDescent="0.3">
      <c r="I591" s="16"/>
    </row>
    <row r="592" spans="9:9" x14ac:dyDescent="0.3">
      <c r="I592" s="16"/>
    </row>
    <row r="593" spans="9:9" x14ac:dyDescent="0.3">
      <c r="I593" s="16"/>
    </row>
    <row r="594" spans="9:9" x14ac:dyDescent="0.3">
      <c r="I594" s="16"/>
    </row>
    <row r="595" spans="9:9" x14ac:dyDescent="0.3">
      <c r="I595" s="16"/>
    </row>
    <row r="596" spans="9:9" x14ac:dyDescent="0.3">
      <c r="I596" s="16"/>
    </row>
    <row r="597" spans="9:9" x14ac:dyDescent="0.3">
      <c r="I597" s="16"/>
    </row>
    <row r="598" spans="9:9" x14ac:dyDescent="0.3">
      <c r="I598" s="16"/>
    </row>
    <row r="599" spans="9:9" x14ac:dyDescent="0.3">
      <c r="I599" s="16"/>
    </row>
    <row r="600" spans="9:9" x14ac:dyDescent="0.3">
      <c r="I600" s="16"/>
    </row>
    <row r="601" spans="9:9" x14ac:dyDescent="0.3">
      <c r="I601" s="16"/>
    </row>
    <row r="602" spans="9:9" x14ac:dyDescent="0.3">
      <c r="I602" s="16"/>
    </row>
    <row r="603" spans="9:9" x14ac:dyDescent="0.3">
      <c r="I603" s="16"/>
    </row>
    <row r="604" spans="9:9" x14ac:dyDescent="0.3">
      <c r="I604" s="16"/>
    </row>
    <row r="605" spans="9:9" x14ac:dyDescent="0.3">
      <c r="I605" s="16"/>
    </row>
    <row r="606" spans="9:9" x14ac:dyDescent="0.3">
      <c r="I606" s="16"/>
    </row>
    <row r="607" spans="9:9" x14ac:dyDescent="0.3">
      <c r="I607" s="16"/>
    </row>
    <row r="608" spans="9:9" x14ac:dyDescent="0.3">
      <c r="I608" s="16"/>
    </row>
    <row r="609" spans="9:9" x14ac:dyDescent="0.3">
      <c r="I609" s="16"/>
    </row>
    <row r="610" spans="9:9" x14ac:dyDescent="0.3">
      <c r="I610" s="16"/>
    </row>
    <row r="611" spans="9:9" x14ac:dyDescent="0.3">
      <c r="I611" s="16"/>
    </row>
    <row r="612" spans="9:9" x14ac:dyDescent="0.3">
      <c r="I612" s="16"/>
    </row>
    <row r="613" spans="9:9" x14ac:dyDescent="0.3">
      <c r="I613" s="16"/>
    </row>
    <row r="614" spans="9:9" x14ac:dyDescent="0.3">
      <c r="I614" s="16"/>
    </row>
    <row r="615" spans="9:9" x14ac:dyDescent="0.3">
      <c r="I615" s="16"/>
    </row>
    <row r="616" spans="9:9" x14ac:dyDescent="0.3">
      <c r="I616" s="16"/>
    </row>
    <row r="617" spans="9:9" x14ac:dyDescent="0.3">
      <c r="I617" s="16"/>
    </row>
    <row r="618" spans="9:9" x14ac:dyDescent="0.3">
      <c r="I618" s="16"/>
    </row>
    <row r="619" spans="9:9" x14ac:dyDescent="0.3">
      <c r="I619" s="16"/>
    </row>
    <row r="620" spans="9:9" x14ac:dyDescent="0.3">
      <c r="I620" s="16"/>
    </row>
    <row r="621" spans="9:9" x14ac:dyDescent="0.3">
      <c r="I621" s="16"/>
    </row>
    <row r="622" spans="9:9" x14ac:dyDescent="0.3">
      <c r="I622" s="16"/>
    </row>
    <row r="623" spans="9:9" x14ac:dyDescent="0.3">
      <c r="I623" s="16"/>
    </row>
    <row r="624" spans="9:9" x14ac:dyDescent="0.3">
      <c r="I624" s="16"/>
    </row>
    <row r="625" spans="9:9" x14ac:dyDescent="0.3">
      <c r="I625" s="16"/>
    </row>
    <row r="626" spans="9:9" x14ac:dyDescent="0.3">
      <c r="I626" s="16"/>
    </row>
    <row r="627" spans="9:9" x14ac:dyDescent="0.3">
      <c r="I627" s="16"/>
    </row>
    <row r="628" spans="9:9" x14ac:dyDescent="0.3">
      <c r="I628" s="16"/>
    </row>
    <row r="629" spans="9:9" x14ac:dyDescent="0.3">
      <c r="I629" s="16"/>
    </row>
    <row r="630" spans="9:9" x14ac:dyDescent="0.3">
      <c r="I630" s="16"/>
    </row>
    <row r="631" spans="9:9" x14ac:dyDescent="0.3">
      <c r="I631" s="16"/>
    </row>
    <row r="632" spans="9:9" x14ac:dyDescent="0.3">
      <c r="I632" s="16"/>
    </row>
    <row r="633" spans="9:9" x14ac:dyDescent="0.3">
      <c r="I633" s="16"/>
    </row>
    <row r="634" spans="9:9" x14ac:dyDescent="0.3">
      <c r="I634" s="16"/>
    </row>
    <row r="635" spans="9:9" x14ac:dyDescent="0.3">
      <c r="I635" s="16"/>
    </row>
    <row r="636" spans="9:9" x14ac:dyDescent="0.3">
      <c r="I636" s="16"/>
    </row>
    <row r="637" spans="9:9" x14ac:dyDescent="0.3">
      <c r="I637" s="16"/>
    </row>
    <row r="638" spans="9:9" x14ac:dyDescent="0.3">
      <c r="I638" s="16"/>
    </row>
    <row r="639" spans="9:9" x14ac:dyDescent="0.3">
      <c r="I639" s="16"/>
    </row>
    <row r="640" spans="9:9" x14ac:dyDescent="0.3">
      <c r="I640" s="16"/>
    </row>
    <row r="641" spans="9:9" x14ac:dyDescent="0.3">
      <c r="I641" s="16"/>
    </row>
    <row r="642" spans="9:9" x14ac:dyDescent="0.3">
      <c r="I642" s="16"/>
    </row>
    <row r="643" spans="9:9" x14ac:dyDescent="0.3">
      <c r="I643" s="16"/>
    </row>
    <row r="644" spans="9:9" x14ac:dyDescent="0.3">
      <c r="I644" s="16"/>
    </row>
    <row r="645" spans="9:9" x14ac:dyDescent="0.3">
      <c r="I645" s="16"/>
    </row>
    <row r="646" spans="9:9" x14ac:dyDescent="0.3">
      <c r="I646" s="16"/>
    </row>
    <row r="647" spans="9:9" x14ac:dyDescent="0.3">
      <c r="I647" s="16"/>
    </row>
    <row r="648" spans="9:9" x14ac:dyDescent="0.3">
      <c r="I648" s="16"/>
    </row>
    <row r="649" spans="9:9" x14ac:dyDescent="0.3">
      <c r="I649" s="16"/>
    </row>
    <row r="650" spans="9:9" x14ac:dyDescent="0.3">
      <c r="I650" s="16"/>
    </row>
    <row r="651" spans="9:9" x14ac:dyDescent="0.3">
      <c r="I651" s="16"/>
    </row>
    <row r="652" spans="9:9" x14ac:dyDescent="0.3">
      <c r="I652" s="16"/>
    </row>
    <row r="653" spans="9:9" x14ac:dyDescent="0.3">
      <c r="I653" s="16"/>
    </row>
    <row r="654" spans="9:9" x14ac:dyDescent="0.3">
      <c r="I654" s="16"/>
    </row>
    <row r="655" spans="9:9" x14ac:dyDescent="0.3">
      <c r="I655" s="16"/>
    </row>
    <row r="656" spans="9:9" x14ac:dyDescent="0.3">
      <c r="I656" s="16"/>
    </row>
    <row r="657" spans="9:9" x14ac:dyDescent="0.3">
      <c r="I657" s="16"/>
    </row>
    <row r="658" spans="9:9" x14ac:dyDescent="0.3">
      <c r="I658" s="16"/>
    </row>
    <row r="659" spans="9:9" x14ac:dyDescent="0.3">
      <c r="I659" s="16"/>
    </row>
    <row r="660" spans="9:9" x14ac:dyDescent="0.3">
      <c r="I660" s="16"/>
    </row>
    <row r="661" spans="9:9" x14ac:dyDescent="0.3">
      <c r="I661" s="16"/>
    </row>
    <row r="662" spans="9:9" x14ac:dyDescent="0.3">
      <c r="I662" s="16"/>
    </row>
    <row r="663" spans="9:9" x14ac:dyDescent="0.3">
      <c r="I663" s="16"/>
    </row>
    <row r="664" spans="9:9" x14ac:dyDescent="0.3">
      <c r="I664" s="16"/>
    </row>
    <row r="665" spans="9:9" x14ac:dyDescent="0.3">
      <c r="I665" s="16"/>
    </row>
    <row r="666" spans="9:9" x14ac:dyDescent="0.3">
      <c r="I666" s="16"/>
    </row>
    <row r="667" spans="9:9" x14ac:dyDescent="0.3">
      <c r="I667" s="16"/>
    </row>
    <row r="668" spans="9:9" x14ac:dyDescent="0.3">
      <c r="I668" s="16"/>
    </row>
    <row r="669" spans="9:9" x14ac:dyDescent="0.3">
      <c r="I669" s="16"/>
    </row>
    <row r="670" spans="9:9" x14ac:dyDescent="0.3">
      <c r="I670" s="16"/>
    </row>
    <row r="671" spans="9:9" x14ac:dyDescent="0.3">
      <c r="I671" s="16"/>
    </row>
    <row r="672" spans="9:9" x14ac:dyDescent="0.3">
      <c r="I672" s="16"/>
    </row>
    <row r="673" spans="9:9" x14ac:dyDescent="0.3">
      <c r="I673" s="16"/>
    </row>
    <row r="674" spans="9:9" x14ac:dyDescent="0.3">
      <c r="I674" s="16"/>
    </row>
    <row r="675" spans="9:9" x14ac:dyDescent="0.3">
      <c r="I675" s="16"/>
    </row>
    <row r="676" spans="9:9" x14ac:dyDescent="0.3">
      <c r="I676" s="16"/>
    </row>
    <row r="677" spans="9:9" x14ac:dyDescent="0.3">
      <c r="I677" s="16"/>
    </row>
    <row r="678" spans="9:9" x14ac:dyDescent="0.3">
      <c r="I678" s="16"/>
    </row>
    <row r="679" spans="9:9" x14ac:dyDescent="0.3">
      <c r="I679" s="16"/>
    </row>
    <row r="680" spans="9:9" x14ac:dyDescent="0.3">
      <c r="I680" s="16"/>
    </row>
    <row r="681" spans="9:9" x14ac:dyDescent="0.3">
      <c r="I681" s="16"/>
    </row>
    <row r="682" spans="9:9" x14ac:dyDescent="0.3">
      <c r="I682" s="16"/>
    </row>
    <row r="683" spans="9:9" x14ac:dyDescent="0.3">
      <c r="I683" s="16"/>
    </row>
    <row r="684" spans="9:9" x14ac:dyDescent="0.3">
      <c r="I684" s="16"/>
    </row>
    <row r="685" spans="9:9" x14ac:dyDescent="0.3">
      <c r="I685" s="16"/>
    </row>
    <row r="686" spans="9:9" x14ac:dyDescent="0.3">
      <c r="I686" s="16"/>
    </row>
    <row r="687" spans="9:9" x14ac:dyDescent="0.3">
      <c r="I687" s="16"/>
    </row>
    <row r="688" spans="9:9" x14ac:dyDescent="0.3">
      <c r="I688" s="16"/>
    </row>
    <row r="689" spans="9:9" x14ac:dyDescent="0.3">
      <c r="I689" s="16"/>
    </row>
    <row r="690" spans="9:9" x14ac:dyDescent="0.3">
      <c r="I690" s="16"/>
    </row>
    <row r="691" spans="9:9" x14ac:dyDescent="0.3">
      <c r="I691" s="16"/>
    </row>
    <row r="692" spans="9:9" x14ac:dyDescent="0.3">
      <c r="I692" s="16"/>
    </row>
    <row r="693" spans="9:9" x14ac:dyDescent="0.3">
      <c r="I693" s="16"/>
    </row>
    <row r="694" spans="9:9" x14ac:dyDescent="0.3">
      <c r="I694" s="16"/>
    </row>
    <row r="695" spans="9:9" x14ac:dyDescent="0.3">
      <c r="I695" s="16"/>
    </row>
    <row r="696" spans="9:9" x14ac:dyDescent="0.3">
      <c r="I696" s="16"/>
    </row>
    <row r="697" spans="9:9" x14ac:dyDescent="0.3">
      <c r="I697" s="16"/>
    </row>
    <row r="698" spans="9:9" x14ac:dyDescent="0.3">
      <c r="I698" s="16"/>
    </row>
    <row r="699" spans="9:9" x14ac:dyDescent="0.3">
      <c r="I699" s="16"/>
    </row>
    <row r="700" spans="9:9" x14ac:dyDescent="0.3">
      <c r="I700" s="16"/>
    </row>
    <row r="701" spans="9:9" x14ac:dyDescent="0.3">
      <c r="I701" s="16"/>
    </row>
    <row r="702" spans="9:9" x14ac:dyDescent="0.3">
      <c r="I702" s="16"/>
    </row>
    <row r="703" spans="9:9" x14ac:dyDescent="0.3">
      <c r="I703" s="16"/>
    </row>
    <row r="704" spans="9:9" x14ac:dyDescent="0.3">
      <c r="I704" s="16"/>
    </row>
    <row r="705" spans="9:9" x14ac:dyDescent="0.3">
      <c r="I705" s="16"/>
    </row>
    <row r="706" spans="9:9" x14ac:dyDescent="0.3">
      <c r="I706" s="16"/>
    </row>
    <row r="707" spans="9:9" x14ac:dyDescent="0.3">
      <c r="I707" s="16"/>
    </row>
    <row r="708" spans="9:9" x14ac:dyDescent="0.3">
      <c r="I708" s="16"/>
    </row>
    <row r="709" spans="9:9" x14ac:dyDescent="0.3">
      <c r="I709" s="16"/>
    </row>
    <row r="710" spans="9:9" x14ac:dyDescent="0.3">
      <c r="I710" s="16"/>
    </row>
    <row r="711" spans="9:9" x14ac:dyDescent="0.3">
      <c r="I711" s="16"/>
    </row>
    <row r="712" spans="9:9" x14ac:dyDescent="0.3">
      <c r="I712" s="16"/>
    </row>
    <row r="713" spans="9:9" x14ac:dyDescent="0.3">
      <c r="I713" s="16"/>
    </row>
    <row r="714" spans="9:9" x14ac:dyDescent="0.3">
      <c r="I714" s="16"/>
    </row>
    <row r="715" spans="9:9" x14ac:dyDescent="0.3">
      <c r="I715" s="16"/>
    </row>
    <row r="716" spans="9:9" x14ac:dyDescent="0.3">
      <c r="I716" s="16"/>
    </row>
    <row r="717" spans="9:9" x14ac:dyDescent="0.3">
      <c r="I717" s="16"/>
    </row>
    <row r="718" spans="9:9" x14ac:dyDescent="0.3">
      <c r="I718" s="16"/>
    </row>
    <row r="719" spans="9:9" x14ac:dyDescent="0.3">
      <c r="I719" s="16"/>
    </row>
    <row r="720" spans="9:9" x14ac:dyDescent="0.3">
      <c r="I720" s="16"/>
    </row>
    <row r="721" spans="9:9" x14ac:dyDescent="0.3">
      <c r="I721" s="16"/>
    </row>
    <row r="722" spans="9:9" x14ac:dyDescent="0.3">
      <c r="I722" s="16"/>
    </row>
    <row r="723" spans="9:9" x14ac:dyDescent="0.3">
      <c r="I723" s="16"/>
    </row>
    <row r="724" spans="9:9" x14ac:dyDescent="0.3">
      <c r="I724" s="16"/>
    </row>
    <row r="725" spans="9:9" x14ac:dyDescent="0.3">
      <c r="I725" s="16"/>
    </row>
    <row r="726" spans="9:9" x14ac:dyDescent="0.3">
      <c r="I726" s="16"/>
    </row>
    <row r="727" spans="9:9" x14ac:dyDescent="0.3">
      <c r="I727" s="16"/>
    </row>
    <row r="728" spans="9:9" x14ac:dyDescent="0.3">
      <c r="I728" s="16"/>
    </row>
    <row r="729" spans="9:9" x14ac:dyDescent="0.3">
      <c r="I729" s="16"/>
    </row>
    <row r="730" spans="9:9" x14ac:dyDescent="0.3">
      <c r="I730" s="16"/>
    </row>
    <row r="731" spans="9:9" x14ac:dyDescent="0.3">
      <c r="I731" s="16"/>
    </row>
    <row r="732" spans="9:9" x14ac:dyDescent="0.3">
      <c r="I732" s="16"/>
    </row>
    <row r="733" spans="9:9" x14ac:dyDescent="0.3">
      <c r="I733" s="16"/>
    </row>
    <row r="734" spans="9:9" x14ac:dyDescent="0.3">
      <c r="I734" s="16"/>
    </row>
    <row r="735" spans="9:9" x14ac:dyDescent="0.3">
      <c r="I735" s="16"/>
    </row>
    <row r="736" spans="9:9" x14ac:dyDescent="0.3">
      <c r="I736" s="16"/>
    </row>
    <row r="737" spans="9:9" x14ac:dyDescent="0.3">
      <c r="I737" s="16"/>
    </row>
    <row r="738" spans="9:9" x14ac:dyDescent="0.3">
      <c r="I738" s="16"/>
    </row>
    <row r="739" spans="9:9" x14ac:dyDescent="0.3">
      <c r="I739" s="16"/>
    </row>
    <row r="740" spans="9:9" x14ac:dyDescent="0.3">
      <c r="I740" s="16"/>
    </row>
    <row r="741" spans="9:9" x14ac:dyDescent="0.3">
      <c r="I741" s="16"/>
    </row>
    <row r="742" spans="9:9" x14ac:dyDescent="0.3">
      <c r="I742" s="16"/>
    </row>
    <row r="743" spans="9:9" x14ac:dyDescent="0.3">
      <c r="I743" s="16"/>
    </row>
    <row r="744" spans="9:9" x14ac:dyDescent="0.3">
      <c r="I744" s="16"/>
    </row>
    <row r="745" spans="9:9" x14ac:dyDescent="0.3">
      <c r="I745" s="16"/>
    </row>
    <row r="746" spans="9:9" x14ac:dyDescent="0.3">
      <c r="I746" s="16"/>
    </row>
    <row r="747" spans="9:9" x14ac:dyDescent="0.3">
      <c r="I747" s="16"/>
    </row>
    <row r="748" spans="9:9" x14ac:dyDescent="0.3">
      <c r="I748" s="16"/>
    </row>
    <row r="749" spans="9:9" x14ac:dyDescent="0.3">
      <c r="I749" s="16"/>
    </row>
    <row r="750" spans="9:9" x14ac:dyDescent="0.3">
      <c r="I750" s="16"/>
    </row>
    <row r="751" spans="9:9" x14ac:dyDescent="0.3">
      <c r="I751" s="16"/>
    </row>
    <row r="752" spans="9:9" x14ac:dyDescent="0.3">
      <c r="I752" s="16"/>
    </row>
    <row r="753" spans="9:9" x14ac:dyDescent="0.3">
      <c r="I753" s="16"/>
    </row>
    <row r="754" spans="9:9" x14ac:dyDescent="0.3">
      <c r="I754" s="16"/>
    </row>
    <row r="755" spans="9:9" x14ac:dyDescent="0.3">
      <c r="I755" s="16"/>
    </row>
    <row r="756" spans="9:9" x14ac:dyDescent="0.3">
      <c r="I756" s="16"/>
    </row>
    <row r="757" spans="9:9" x14ac:dyDescent="0.3">
      <c r="I757" s="16"/>
    </row>
    <row r="758" spans="9:9" x14ac:dyDescent="0.3">
      <c r="I758" s="16"/>
    </row>
    <row r="759" spans="9:9" x14ac:dyDescent="0.3">
      <c r="I759" s="16"/>
    </row>
    <row r="760" spans="9:9" x14ac:dyDescent="0.3">
      <c r="I760" s="16"/>
    </row>
    <row r="761" spans="9:9" x14ac:dyDescent="0.3">
      <c r="I761" s="16"/>
    </row>
    <row r="762" spans="9:9" x14ac:dyDescent="0.3">
      <c r="I762" s="16"/>
    </row>
    <row r="763" spans="9:9" x14ac:dyDescent="0.3">
      <c r="I763" s="16"/>
    </row>
    <row r="764" spans="9:9" x14ac:dyDescent="0.3">
      <c r="I764" s="16"/>
    </row>
    <row r="765" spans="9:9" x14ac:dyDescent="0.3">
      <c r="I765" s="16"/>
    </row>
    <row r="766" spans="9:9" x14ac:dyDescent="0.3">
      <c r="I766" s="16"/>
    </row>
    <row r="767" spans="9:9" x14ac:dyDescent="0.3">
      <c r="I767" s="16"/>
    </row>
    <row r="768" spans="9:9" x14ac:dyDescent="0.3">
      <c r="I768" s="16"/>
    </row>
    <row r="769" spans="9:9" x14ac:dyDescent="0.3">
      <c r="I769" s="16"/>
    </row>
    <row r="770" spans="9:9" x14ac:dyDescent="0.3">
      <c r="I770" s="16"/>
    </row>
    <row r="771" spans="9:9" x14ac:dyDescent="0.3">
      <c r="I771" s="16"/>
    </row>
    <row r="772" spans="9:9" x14ac:dyDescent="0.3">
      <c r="I772" s="16"/>
    </row>
    <row r="773" spans="9:9" x14ac:dyDescent="0.3">
      <c r="I773" s="16"/>
    </row>
    <row r="774" spans="9:9" x14ac:dyDescent="0.3">
      <c r="I774" s="16"/>
    </row>
    <row r="775" spans="9:9" x14ac:dyDescent="0.3">
      <c r="I775" s="16"/>
    </row>
    <row r="776" spans="9:9" x14ac:dyDescent="0.3">
      <c r="I776" s="16"/>
    </row>
    <row r="777" spans="9:9" x14ac:dyDescent="0.3">
      <c r="I777" s="16"/>
    </row>
    <row r="778" spans="9:9" x14ac:dyDescent="0.3">
      <c r="I778" s="16"/>
    </row>
    <row r="779" spans="9:9" x14ac:dyDescent="0.3">
      <c r="I779" s="16"/>
    </row>
    <row r="780" spans="9:9" x14ac:dyDescent="0.3">
      <c r="I780" s="16"/>
    </row>
    <row r="781" spans="9:9" x14ac:dyDescent="0.3">
      <c r="I781" s="16"/>
    </row>
    <row r="782" spans="9:9" x14ac:dyDescent="0.3">
      <c r="I782" s="16"/>
    </row>
    <row r="783" spans="9:9" x14ac:dyDescent="0.3">
      <c r="I783" s="16"/>
    </row>
    <row r="784" spans="9:9" x14ac:dyDescent="0.3">
      <c r="I784" s="16"/>
    </row>
    <row r="785" spans="9:9" x14ac:dyDescent="0.3">
      <c r="I785" s="16"/>
    </row>
    <row r="786" spans="9:9" x14ac:dyDescent="0.3">
      <c r="I786" s="16"/>
    </row>
    <row r="787" spans="9:9" x14ac:dyDescent="0.3">
      <c r="I787" s="16"/>
    </row>
    <row r="788" spans="9:9" x14ac:dyDescent="0.3">
      <c r="I788" s="16"/>
    </row>
    <row r="789" spans="9:9" x14ac:dyDescent="0.3">
      <c r="I789" s="16"/>
    </row>
    <row r="790" spans="9:9" x14ac:dyDescent="0.3">
      <c r="I790" s="16"/>
    </row>
    <row r="791" spans="9:9" x14ac:dyDescent="0.3">
      <c r="I791" s="16"/>
    </row>
    <row r="792" spans="9:9" x14ac:dyDescent="0.3">
      <c r="I792" s="16"/>
    </row>
    <row r="793" spans="9:9" x14ac:dyDescent="0.3">
      <c r="I793" s="16"/>
    </row>
    <row r="794" spans="9:9" x14ac:dyDescent="0.3">
      <c r="I794" s="16"/>
    </row>
    <row r="795" spans="9:9" x14ac:dyDescent="0.3">
      <c r="I795" s="16"/>
    </row>
    <row r="796" spans="9:9" x14ac:dyDescent="0.3">
      <c r="I796" s="16"/>
    </row>
    <row r="797" spans="9:9" x14ac:dyDescent="0.3">
      <c r="I797" s="16"/>
    </row>
    <row r="798" spans="9:9" x14ac:dyDescent="0.3">
      <c r="I798" s="16"/>
    </row>
    <row r="799" spans="9:9" x14ac:dyDescent="0.3">
      <c r="I799" s="16"/>
    </row>
    <row r="800" spans="9:9" x14ac:dyDescent="0.3">
      <c r="I800" s="16"/>
    </row>
    <row r="801" spans="9:9" x14ac:dyDescent="0.3">
      <c r="I801" s="16"/>
    </row>
    <row r="802" spans="9:9" x14ac:dyDescent="0.3">
      <c r="I802" s="16"/>
    </row>
    <row r="803" spans="9:9" x14ac:dyDescent="0.3">
      <c r="I803" s="16"/>
    </row>
    <row r="804" spans="9:9" x14ac:dyDescent="0.3">
      <c r="I804" s="16"/>
    </row>
    <row r="805" spans="9:9" x14ac:dyDescent="0.3">
      <c r="I805" s="16"/>
    </row>
    <row r="806" spans="9:9" x14ac:dyDescent="0.3">
      <c r="I806" s="16"/>
    </row>
    <row r="807" spans="9:9" x14ac:dyDescent="0.3">
      <c r="I807" s="16"/>
    </row>
    <row r="808" spans="9:9" x14ac:dyDescent="0.3">
      <c r="I808" s="16"/>
    </row>
    <row r="809" spans="9:9" x14ac:dyDescent="0.3">
      <c r="I809" s="16"/>
    </row>
    <row r="810" spans="9:9" x14ac:dyDescent="0.3">
      <c r="I810" s="16"/>
    </row>
    <row r="811" spans="9:9" x14ac:dyDescent="0.3">
      <c r="I811" s="16"/>
    </row>
    <row r="812" spans="9:9" x14ac:dyDescent="0.3">
      <c r="I812" s="16"/>
    </row>
    <row r="813" spans="9:9" x14ac:dyDescent="0.3">
      <c r="I813" s="16"/>
    </row>
    <row r="814" spans="9:9" x14ac:dyDescent="0.3">
      <c r="I814" s="16"/>
    </row>
    <row r="815" spans="9:9" x14ac:dyDescent="0.3">
      <c r="I815" s="16"/>
    </row>
    <row r="816" spans="9:9" x14ac:dyDescent="0.3">
      <c r="I816" s="16"/>
    </row>
    <row r="817" spans="9:9" x14ac:dyDescent="0.3">
      <c r="I817" s="16"/>
    </row>
    <row r="818" spans="9:9" x14ac:dyDescent="0.3">
      <c r="I818" s="16"/>
    </row>
    <row r="819" spans="9:9" x14ac:dyDescent="0.3">
      <c r="I819" s="16"/>
    </row>
    <row r="820" spans="9:9" x14ac:dyDescent="0.3">
      <c r="I820" s="16"/>
    </row>
    <row r="821" spans="9:9" x14ac:dyDescent="0.3">
      <c r="I821" s="16"/>
    </row>
    <row r="822" spans="9:9" x14ac:dyDescent="0.3">
      <c r="I822" s="16"/>
    </row>
    <row r="823" spans="9:9" x14ac:dyDescent="0.3">
      <c r="I823" s="16"/>
    </row>
    <row r="824" spans="9:9" x14ac:dyDescent="0.3">
      <c r="I824" s="16"/>
    </row>
    <row r="825" spans="9:9" x14ac:dyDescent="0.3">
      <c r="I825" s="16"/>
    </row>
    <row r="826" spans="9:9" x14ac:dyDescent="0.3">
      <c r="I826" s="16"/>
    </row>
    <row r="827" spans="9:9" x14ac:dyDescent="0.3">
      <c r="I827" s="16"/>
    </row>
    <row r="828" spans="9:9" x14ac:dyDescent="0.3">
      <c r="I828" s="16"/>
    </row>
    <row r="829" spans="9:9" x14ac:dyDescent="0.3">
      <c r="I829" s="16"/>
    </row>
    <row r="830" spans="9:9" x14ac:dyDescent="0.3">
      <c r="I830" s="16"/>
    </row>
    <row r="831" spans="9:9" x14ac:dyDescent="0.3">
      <c r="I831" s="16"/>
    </row>
    <row r="832" spans="9:9" x14ac:dyDescent="0.3">
      <c r="I832" s="16"/>
    </row>
    <row r="833" spans="9:9" x14ac:dyDescent="0.3">
      <c r="I833" s="16"/>
    </row>
    <row r="834" spans="9:9" x14ac:dyDescent="0.3">
      <c r="I834" s="16"/>
    </row>
    <row r="835" spans="9:9" x14ac:dyDescent="0.3">
      <c r="I835" s="16"/>
    </row>
    <row r="836" spans="9:9" x14ac:dyDescent="0.3">
      <c r="I836" s="16"/>
    </row>
    <row r="837" spans="9:9" x14ac:dyDescent="0.3">
      <c r="I837" s="16"/>
    </row>
    <row r="838" spans="9:9" x14ac:dyDescent="0.3">
      <c r="I838" s="16"/>
    </row>
    <row r="839" spans="9:9" x14ac:dyDescent="0.3">
      <c r="I839" s="16"/>
    </row>
    <row r="840" spans="9:9" x14ac:dyDescent="0.3">
      <c r="I840" s="16"/>
    </row>
    <row r="841" spans="9:9" x14ac:dyDescent="0.3">
      <c r="I841" s="16"/>
    </row>
    <row r="842" spans="9:9" x14ac:dyDescent="0.3">
      <c r="I842" s="16"/>
    </row>
    <row r="843" spans="9:9" x14ac:dyDescent="0.3">
      <c r="I843" s="16"/>
    </row>
    <row r="844" spans="9:9" x14ac:dyDescent="0.3">
      <c r="I844" s="16"/>
    </row>
    <row r="845" spans="9:9" x14ac:dyDescent="0.3">
      <c r="I845" s="16"/>
    </row>
    <row r="846" spans="9:9" x14ac:dyDescent="0.3">
      <c r="I846" s="16"/>
    </row>
    <row r="847" spans="9:9" x14ac:dyDescent="0.3">
      <c r="I847" s="16"/>
    </row>
    <row r="848" spans="9:9" x14ac:dyDescent="0.3">
      <c r="I848" s="16"/>
    </row>
    <row r="849" spans="9:9" x14ac:dyDescent="0.3">
      <c r="I849" s="16"/>
    </row>
    <row r="850" spans="9:9" x14ac:dyDescent="0.3">
      <c r="I850" s="16"/>
    </row>
    <row r="851" spans="9:9" x14ac:dyDescent="0.3">
      <c r="I851" s="16"/>
    </row>
    <row r="852" spans="9:9" x14ac:dyDescent="0.3">
      <c r="I852" s="16"/>
    </row>
    <row r="853" spans="9:9" x14ac:dyDescent="0.3">
      <c r="I853" s="16"/>
    </row>
    <row r="854" spans="9:9" x14ac:dyDescent="0.3">
      <c r="I854" s="16"/>
    </row>
    <row r="855" spans="9:9" x14ac:dyDescent="0.3">
      <c r="I855" s="16"/>
    </row>
    <row r="856" spans="9:9" x14ac:dyDescent="0.3">
      <c r="I856" s="16"/>
    </row>
    <row r="857" spans="9:9" x14ac:dyDescent="0.3">
      <c r="I857" s="16"/>
    </row>
    <row r="858" spans="9:9" x14ac:dyDescent="0.3">
      <c r="I858" s="16"/>
    </row>
    <row r="859" spans="9:9" x14ac:dyDescent="0.3">
      <c r="I859" s="16"/>
    </row>
    <row r="860" spans="9:9" x14ac:dyDescent="0.3">
      <c r="I860" s="16"/>
    </row>
    <row r="861" spans="9:9" x14ac:dyDescent="0.3">
      <c r="I861" s="16"/>
    </row>
    <row r="862" spans="9:9" x14ac:dyDescent="0.3">
      <c r="I862" s="16"/>
    </row>
    <row r="863" spans="9:9" x14ac:dyDescent="0.3">
      <c r="I863" s="16"/>
    </row>
    <row r="864" spans="9:9" x14ac:dyDescent="0.3">
      <c r="I864" s="16"/>
    </row>
    <row r="865" spans="9:9" x14ac:dyDescent="0.3">
      <c r="I865" s="16"/>
    </row>
    <row r="866" spans="9:9" x14ac:dyDescent="0.3">
      <c r="I866" s="16"/>
    </row>
    <row r="867" spans="9:9" x14ac:dyDescent="0.3">
      <c r="I867" s="16"/>
    </row>
    <row r="868" spans="9:9" x14ac:dyDescent="0.3">
      <c r="I868" s="16"/>
    </row>
    <row r="869" spans="9:9" x14ac:dyDescent="0.3">
      <c r="I869" s="16"/>
    </row>
    <row r="870" spans="9:9" x14ac:dyDescent="0.3">
      <c r="I870" s="16"/>
    </row>
    <row r="871" spans="9:9" x14ac:dyDescent="0.3">
      <c r="I871" s="16"/>
    </row>
    <row r="872" spans="9:9" x14ac:dyDescent="0.3">
      <c r="I872" s="16"/>
    </row>
    <row r="873" spans="9:9" x14ac:dyDescent="0.3">
      <c r="I873" s="16"/>
    </row>
    <row r="874" spans="9:9" x14ac:dyDescent="0.3">
      <c r="I874" s="16"/>
    </row>
    <row r="875" spans="9:9" x14ac:dyDescent="0.3">
      <c r="I875" s="16"/>
    </row>
    <row r="876" spans="9:9" x14ac:dyDescent="0.3">
      <c r="I876" s="16"/>
    </row>
    <row r="877" spans="9:9" x14ac:dyDescent="0.3">
      <c r="I877" s="16"/>
    </row>
    <row r="878" spans="9:9" x14ac:dyDescent="0.3">
      <c r="I878" s="16"/>
    </row>
    <row r="879" spans="9:9" x14ac:dyDescent="0.3">
      <c r="I879" s="16"/>
    </row>
    <row r="880" spans="9:9" x14ac:dyDescent="0.3">
      <c r="I880" s="16"/>
    </row>
    <row r="881" spans="9:9" x14ac:dyDescent="0.3">
      <c r="I881" s="16"/>
    </row>
    <row r="882" spans="9:9" x14ac:dyDescent="0.3">
      <c r="I882" s="16"/>
    </row>
    <row r="883" spans="9:9" x14ac:dyDescent="0.3">
      <c r="I883" s="16"/>
    </row>
    <row r="884" spans="9:9" x14ac:dyDescent="0.3">
      <c r="I884" s="16"/>
    </row>
    <row r="885" spans="9:9" x14ac:dyDescent="0.3">
      <c r="I885" s="16"/>
    </row>
    <row r="886" spans="9:9" x14ac:dyDescent="0.3">
      <c r="I886" s="16"/>
    </row>
    <row r="887" spans="9:9" x14ac:dyDescent="0.3">
      <c r="I887" s="16"/>
    </row>
    <row r="888" spans="9:9" x14ac:dyDescent="0.3">
      <c r="I888" s="16"/>
    </row>
    <row r="889" spans="9:9" x14ac:dyDescent="0.3">
      <c r="I889" s="16"/>
    </row>
    <row r="890" spans="9:9" x14ac:dyDescent="0.3">
      <c r="I890" s="16"/>
    </row>
    <row r="891" spans="9:9" x14ac:dyDescent="0.3">
      <c r="I891" s="16"/>
    </row>
    <row r="892" spans="9:9" x14ac:dyDescent="0.3">
      <c r="I892" s="16"/>
    </row>
    <row r="893" spans="9:9" x14ac:dyDescent="0.3">
      <c r="I893" s="16"/>
    </row>
    <row r="894" spans="9:9" x14ac:dyDescent="0.3">
      <c r="I894" s="16"/>
    </row>
    <row r="895" spans="9:9" x14ac:dyDescent="0.3">
      <c r="I895" s="16"/>
    </row>
    <row r="896" spans="9:9" x14ac:dyDescent="0.3">
      <c r="I896" s="16"/>
    </row>
    <row r="897" spans="9:9" x14ac:dyDescent="0.3">
      <c r="I897" s="16"/>
    </row>
    <row r="898" spans="9:9" x14ac:dyDescent="0.3">
      <c r="I898" s="16"/>
    </row>
    <row r="899" spans="9:9" x14ac:dyDescent="0.3">
      <c r="I899" s="16"/>
    </row>
    <row r="900" spans="9:9" x14ac:dyDescent="0.3">
      <c r="I900" s="16"/>
    </row>
    <row r="901" spans="9:9" x14ac:dyDescent="0.3">
      <c r="I901" s="16"/>
    </row>
    <row r="902" spans="9:9" x14ac:dyDescent="0.3">
      <c r="I902" s="16"/>
    </row>
    <row r="903" spans="9:9" x14ac:dyDescent="0.3">
      <c r="I903" s="16"/>
    </row>
    <row r="904" spans="9:9" x14ac:dyDescent="0.3">
      <c r="I904" s="16"/>
    </row>
    <row r="905" spans="9:9" x14ac:dyDescent="0.3">
      <c r="I905" s="16"/>
    </row>
    <row r="906" spans="9:9" x14ac:dyDescent="0.3">
      <c r="I906" s="16"/>
    </row>
    <row r="907" spans="9:9" x14ac:dyDescent="0.3">
      <c r="I907" s="16"/>
    </row>
    <row r="908" spans="9:9" x14ac:dyDescent="0.3">
      <c r="I908" s="16"/>
    </row>
    <row r="909" spans="9:9" x14ac:dyDescent="0.3">
      <c r="I909" s="16"/>
    </row>
    <row r="910" spans="9:9" x14ac:dyDescent="0.3">
      <c r="I910" s="16"/>
    </row>
    <row r="911" spans="9:9" x14ac:dyDescent="0.3">
      <c r="I911" s="16"/>
    </row>
    <row r="912" spans="9:9" x14ac:dyDescent="0.3">
      <c r="I912" s="16"/>
    </row>
    <row r="913" spans="9:9" x14ac:dyDescent="0.3">
      <c r="I913" s="16"/>
    </row>
    <row r="914" spans="9:9" x14ac:dyDescent="0.3">
      <c r="I914" s="16"/>
    </row>
    <row r="915" spans="9:9" x14ac:dyDescent="0.3">
      <c r="I915" s="16"/>
    </row>
    <row r="916" spans="9:9" x14ac:dyDescent="0.3">
      <c r="I916" s="16"/>
    </row>
    <row r="917" spans="9:9" x14ac:dyDescent="0.3">
      <c r="I917" s="16"/>
    </row>
    <row r="918" spans="9:9" x14ac:dyDescent="0.3">
      <c r="I918" s="16"/>
    </row>
    <row r="919" spans="9:9" x14ac:dyDescent="0.3">
      <c r="I919" s="16"/>
    </row>
    <row r="920" spans="9:9" x14ac:dyDescent="0.3">
      <c r="I920" s="16"/>
    </row>
    <row r="921" spans="9:9" x14ac:dyDescent="0.3">
      <c r="I921" s="16"/>
    </row>
    <row r="922" spans="9:9" x14ac:dyDescent="0.3">
      <c r="I922" s="16"/>
    </row>
    <row r="923" spans="9:9" x14ac:dyDescent="0.3">
      <c r="I923" s="16"/>
    </row>
    <row r="924" spans="9:9" x14ac:dyDescent="0.3">
      <c r="I924" s="16"/>
    </row>
    <row r="925" spans="9:9" x14ac:dyDescent="0.3">
      <c r="I925" s="16"/>
    </row>
    <row r="926" spans="9:9" x14ac:dyDescent="0.3">
      <c r="I926" s="16"/>
    </row>
    <row r="927" spans="9:9" x14ac:dyDescent="0.3">
      <c r="I927" s="16"/>
    </row>
    <row r="928" spans="9:9" x14ac:dyDescent="0.3">
      <c r="I928" s="16"/>
    </row>
    <row r="929" spans="9:9" x14ac:dyDescent="0.3">
      <c r="I929" s="16"/>
    </row>
    <row r="930" spans="9:9" x14ac:dyDescent="0.3">
      <c r="I930" s="16"/>
    </row>
    <row r="931" spans="9:9" x14ac:dyDescent="0.3">
      <c r="I931" s="16"/>
    </row>
    <row r="932" spans="9:9" x14ac:dyDescent="0.3">
      <c r="I932" s="16"/>
    </row>
    <row r="933" spans="9:9" x14ac:dyDescent="0.3">
      <c r="I933" s="16"/>
    </row>
    <row r="934" spans="9:9" x14ac:dyDescent="0.3">
      <c r="I934" s="16"/>
    </row>
    <row r="935" spans="9:9" x14ac:dyDescent="0.3">
      <c r="I935" s="16"/>
    </row>
    <row r="936" spans="9:9" x14ac:dyDescent="0.3">
      <c r="I936" s="16"/>
    </row>
    <row r="937" spans="9:9" x14ac:dyDescent="0.3">
      <c r="I937" s="16"/>
    </row>
    <row r="938" spans="9:9" x14ac:dyDescent="0.3">
      <c r="I938" s="16"/>
    </row>
    <row r="939" spans="9:9" x14ac:dyDescent="0.3">
      <c r="I939" s="16"/>
    </row>
    <row r="940" spans="9:9" x14ac:dyDescent="0.3">
      <c r="I940" s="16"/>
    </row>
    <row r="941" spans="9:9" x14ac:dyDescent="0.3">
      <c r="I941" s="16"/>
    </row>
    <row r="942" spans="9:9" x14ac:dyDescent="0.3">
      <c r="I942" s="16"/>
    </row>
    <row r="943" spans="9:9" x14ac:dyDescent="0.3">
      <c r="I943" s="16"/>
    </row>
    <row r="944" spans="9:9" x14ac:dyDescent="0.3">
      <c r="I944" s="16"/>
    </row>
    <row r="945" spans="9:9" x14ac:dyDescent="0.3">
      <c r="I945" s="16"/>
    </row>
    <row r="946" spans="9:9" x14ac:dyDescent="0.3">
      <c r="I946" s="16"/>
    </row>
    <row r="947" spans="9:9" x14ac:dyDescent="0.3">
      <c r="I947" s="16"/>
    </row>
    <row r="948" spans="9:9" x14ac:dyDescent="0.3">
      <c r="I948" s="16"/>
    </row>
    <row r="949" spans="9:9" x14ac:dyDescent="0.3">
      <c r="I949" s="16"/>
    </row>
    <row r="950" spans="9:9" x14ac:dyDescent="0.3">
      <c r="I950" s="16"/>
    </row>
    <row r="951" spans="9:9" x14ac:dyDescent="0.3">
      <c r="I951" s="16"/>
    </row>
    <row r="952" spans="9:9" x14ac:dyDescent="0.3">
      <c r="I952" s="16"/>
    </row>
    <row r="953" spans="9:9" x14ac:dyDescent="0.3">
      <c r="I953" s="16"/>
    </row>
    <row r="954" spans="9:9" x14ac:dyDescent="0.3">
      <c r="I954" s="16"/>
    </row>
    <row r="955" spans="9:9" x14ac:dyDescent="0.3">
      <c r="I955" s="16"/>
    </row>
    <row r="956" spans="9:9" x14ac:dyDescent="0.3">
      <c r="I956" s="16"/>
    </row>
    <row r="957" spans="9:9" x14ac:dyDescent="0.3">
      <c r="I957" s="16"/>
    </row>
    <row r="958" spans="9:9" x14ac:dyDescent="0.3">
      <c r="I958" s="16"/>
    </row>
    <row r="959" spans="9:9" x14ac:dyDescent="0.3">
      <c r="I959" s="16"/>
    </row>
    <row r="960" spans="9:9" x14ac:dyDescent="0.3">
      <c r="I960" s="16"/>
    </row>
    <row r="961" spans="9:9" x14ac:dyDescent="0.3">
      <c r="I961" s="16"/>
    </row>
    <row r="962" spans="9:9" x14ac:dyDescent="0.3">
      <c r="I962" s="16"/>
    </row>
    <row r="963" spans="9:9" x14ac:dyDescent="0.3">
      <c r="I963" s="16"/>
    </row>
    <row r="964" spans="9:9" x14ac:dyDescent="0.3">
      <c r="I964" s="16"/>
    </row>
    <row r="965" spans="9:9" x14ac:dyDescent="0.3">
      <c r="I965" s="16"/>
    </row>
    <row r="966" spans="9:9" x14ac:dyDescent="0.3">
      <c r="I966" s="16"/>
    </row>
    <row r="967" spans="9:9" x14ac:dyDescent="0.3">
      <c r="I967" s="16"/>
    </row>
    <row r="968" spans="9:9" x14ac:dyDescent="0.3">
      <c r="I968" s="16"/>
    </row>
    <row r="969" spans="9:9" x14ac:dyDescent="0.3">
      <c r="I969" s="16"/>
    </row>
    <row r="970" spans="9:9" x14ac:dyDescent="0.3">
      <c r="I970" s="16"/>
    </row>
    <row r="971" spans="9:9" x14ac:dyDescent="0.3">
      <c r="I971" s="16"/>
    </row>
    <row r="972" spans="9:9" x14ac:dyDescent="0.3">
      <c r="I972" s="16"/>
    </row>
    <row r="973" spans="9:9" x14ac:dyDescent="0.3">
      <c r="I973" s="16"/>
    </row>
    <row r="974" spans="9:9" x14ac:dyDescent="0.3">
      <c r="I974" s="16"/>
    </row>
    <row r="975" spans="9:9" x14ac:dyDescent="0.3">
      <c r="I975" s="16"/>
    </row>
    <row r="976" spans="9:9" x14ac:dyDescent="0.3">
      <c r="I976" s="16"/>
    </row>
    <row r="977" spans="9:9" x14ac:dyDescent="0.3">
      <c r="I977" s="16"/>
    </row>
    <row r="978" spans="9:9" x14ac:dyDescent="0.3">
      <c r="I978" s="16"/>
    </row>
    <row r="979" spans="9:9" x14ac:dyDescent="0.3">
      <c r="I979" s="16"/>
    </row>
    <row r="980" spans="9:9" x14ac:dyDescent="0.3">
      <c r="I980" s="16"/>
    </row>
    <row r="981" spans="9:9" x14ac:dyDescent="0.3">
      <c r="I981" s="16"/>
    </row>
    <row r="982" spans="9:9" x14ac:dyDescent="0.3">
      <c r="I982" s="16"/>
    </row>
    <row r="983" spans="9:9" x14ac:dyDescent="0.3">
      <c r="I983" s="16"/>
    </row>
    <row r="984" spans="9:9" x14ac:dyDescent="0.3">
      <c r="I984" s="16"/>
    </row>
    <row r="985" spans="9:9" x14ac:dyDescent="0.3">
      <c r="I985" s="16"/>
    </row>
    <row r="986" spans="9:9" x14ac:dyDescent="0.3">
      <c r="I986" s="16"/>
    </row>
    <row r="987" spans="9:9" x14ac:dyDescent="0.3">
      <c r="I987" s="16"/>
    </row>
    <row r="988" spans="9:9" x14ac:dyDescent="0.3">
      <c r="I988" s="16"/>
    </row>
    <row r="989" spans="9:9" x14ac:dyDescent="0.3">
      <c r="I989" s="16"/>
    </row>
    <row r="990" spans="9:9" x14ac:dyDescent="0.3">
      <c r="I990" s="16"/>
    </row>
    <row r="991" spans="9:9" x14ac:dyDescent="0.3">
      <c r="I991" s="16"/>
    </row>
    <row r="992" spans="9:9" x14ac:dyDescent="0.3">
      <c r="I992" s="16"/>
    </row>
    <row r="993" spans="9:9" x14ac:dyDescent="0.3">
      <c r="I993" s="16"/>
    </row>
    <row r="994" spans="9:9" x14ac:dyDescent="0.3">
      <c r="I994" s="16"/>
    </row>
    <row r="995" spans="9:9" x14ac:dyDescent="0.3">
      <c r="I995" s="16"/>
    </row>
    <row r="996" spans="9:9" x14ac:dyDescent="0.3">
      <c r="I996" s="16"/>
    </row>
    <row r="997" spans="9:9" x14ac:dyDescent="0.3">
      <c r="I997" s="16"/>
    </row>
    <row r="998" spans="9:9" x14ac:dyDescent="0.3">
      <c r="I998" s="16"/>
    </row>
    <row r="999" spans="9:9" x14ac:dyDescent="0.3">
      <c r="I999" s="16"/>
    </row>
    <row r="1000" spans="9:9" x14ac:dyDescent="0.3">
      <c r="I1000" s="16"/>
    </row>
    <row r="1001" spans="9:9" x14ac:dyDescent="0.3">
      <c r="I1001" s="16"/>
    </row>
    <row r="1002" spans="9:9" x14ac:dyDescent="0.3">
      <c r="I1002" s="16"/>
    </row>
    <row r="1003" spans="9:9" x14ac:dyDescent="0.3">
      <c r="I1003" s="16"/>
    </row>
    <row r="1004" spans="9:9" x14ac:dyDescent="0.3">
      <c r="I1004" s="16"/>
    </row>
    <row r="1005" spans="9:9" x14ac:dyDescent="0.3">
      <c r="I1005" s="16"/>
    </row>
    <row r="1006" spans="9:9" x14ac:dyDescent="0.3">
      <c r="I1006" s="16"/>
    </row>
    <row r="1007" spans="9:9" x14ac:dyDescent="0.3">
      <c r="I1007" s="16"/>
    </row>
    <row r="1008" spans="9:9" x14ac:dyDescent="0.3">
      <c r="I1008" s="16"/>
    </row>
    <row r="1009" spans="9:9" x14ac:dyDescent="0.3">
      <c r="I1009" s="16"/>
    </row>
    <row r="1010" spans="9:9" x14ac:dyDescent="0.3">
      <c r="I1010" s="16"/>
    </row>
    <row r="1011" spans="9:9" x14ac:dyDescent="0.3">
      <c r="I1011" s="16"/>
    </row>
    <row r="1012" spans="9:9" x14ac:dyDescent="0.3">
      <c r="I1012" s="16"/>
    </row>
    <row r="1013" spans="9:9" x14ac:dyDescent="0.3">
      <c r="I1013" s="16"/>
    </row>
    <row r="1014" spans="9:9" x14ac:dyDescent="0.3">
      <c r="I1014" s="16"/>
    </row>
    <row r="1015" spans="9:9" x14ac:dyDescent="0.3">
      <c r="I1015" s="16"/>
    </row>
    <row r="1016" spans="9:9" x14ac:dyDescent="0.3">
      <c r="I1016" s="16"/>
    </row>
    <row r="1017" spans="9:9" x14ac:dyDescent="0.3">
      <c r="I1017" s="16"/>
    </row>
    <row r="1018" spans="9:9" x14ac:dyDescent="0.3">
      <c r="I1018" s="16"/>
    </row>
    <row r="1019" spans="9:9" x14ac:dyDescent="0.3">
      <c r="I1019" s="16"/>
    </row>
    <row r="1020" spans="9:9" x14ac:dyDescent="0.3">
      <c r="I1020" s="16"/>
    </row>
    <row r="1021" spans="9:9" x14ac:dyDescent="0.3">
      <c r="I1021" s="16"/>
    </row>
    <row r="1022" spans="9:9" x14ac:dyDescent="0.3">
      <c r="I1022" s="16"/>
    </row>
    <row r="1023" spans="9:9" x14ac:dyDescent="0.3">
      <c r="I1023" s="16"/>
    </row>
    <row r="1024" spans="9:9" x14ac:dyDescent="0.3">
      <c r="I1024" s="16"/>
    </row>
    <row r="1025" spans="9:9" x14ac:dyDescent="0.3">
      <c r="I1025" s="16"/>
    </row>
    <row r="1026" spans="9:9" x14ac:dyDescent="0.3">
      <c r="I1026" s="16"/>
    </row>
    <row r="1027" spans="9:9" x14ac:dyDescent="0.3">
      <c r="I1027" s="16"/>
    </row>
    <row r="1028" spans="9:9" x14ac:dyDescent="0.3">
      <c r="I1028" s="16"/>
    </row>
    <row r="1029" spans="9:9" x14ac:dyDescent="0.3">
      <c r="I1029" s="16"/>
    </row>
    <row r="1030" spans="9:9" x14ac:dyDescent="0.3">
      <c r="I1030" s="16"/>
    </row>
    <row r="1031" spans="9:9" x14ac:dyDescent="0.3">
      <c r="I1031" s="16"/>
    </row>
    <row r="1032" spans="9:9" x14ac:dyDescent="0.3">
      <c r="I1032" s="16"/>
    </row>
    <row r="1033" spans="9:9" x14ac:dyDescent="0.3">
      <c r="I1033" s="16"/>
    </row>
    <row r="1034" spans="9:9" x14ac:dyDescent="0.3">
      <c r="I1034" s="16"/>
    </row>
    <row r="1035" spans="9:9" x14ac:dyDescent="0.3">
      <c r="I1035" s="16"/>
    </row>
    <row r="1036" spans="9:9" x14ac:dyDescent="0.3">
      <c r="I1036" s="16"/>
    </row>
    <row r="1037" spans="9:9" x14ac:dyDescent="0.3">
      <c r="I1037" s="16"/>
    </row>
    <row r="1038" spans="9:9" x14ac:dyDescent="0.3">
      <c r="I1038" s="16"/>
    </row>
    <row r="1039" spans="9:9" x14ac:dyDescent="0.3">
      <c r="I1039" s="16"/>
    </row>
    <row r="1040" spans="9:9" x14ac:dyDescent="0.3">
      <c r="I1040" s="16"/>
    </row>
    <row r="1041" spans="9:9" x14ac:dyDescent="0.3">
      <c r="I1041" s="16"/>
    </row>
    <row r="1042" spans="9:9" x14ac:dyDescent="0.3">
      <c r="I1042" s="16"/>
    </row>
    <row r="1043" spans="9:9" x14ac:dyDescent="0.3">
      <c r="I1043" s="16"/>
    </row>
    <row r="1044" spans="9:9" x14ac:dyDescent="0.3">
      <c r="I1044" s="16"/>
    </row>
    <row r="1045" spans="9:9" x14ac:dyDescent="0.3">
      <c r="I1045" s="16"/>
    </row>
    <row r="1046" spans="9:9" x14ac:dyDescent="0.3">
      <c r="I1046" s="16"/>
    </row>
    <row r="1047" spans="9:9" x14ac:dyDescent="0.3">
      <c r="I1047" s="16"/>
    </row>
    <row r="1048" spans="9:9" x14ac:dyDescent="0.3">
      <c r="I1048" s="16"/>
    </row>
    <row r="1049" spans="9:9" x14ac:dyDescent="0.3">
      <c r="I1049" s="16"/>
    </row>
    <row r="1050" spans="9:9" x14ac:dyDescent="0.3">
      <c r="I1050" s="16"/>
    </row>
    <row r="1051" spans="9:9" x14ac:dyDescent="0.3">
      <c r="I1051" s="16"/>
    </row>
    <row r="1052" spans="9:9" x14ac:dyDescent="0.3">
      <c r="I1052" s="16"/>
    </row>
    <row r="1053" spans="9:9" x14ac:dyDescent="0.3">
      <c r="I1053" s="16"/>
    </row>
    <row r="1054" spans="9:9" x14ac:dyDescent="0.3">
      <c r="I1054" s="16"/>
    </row>
    <row r="1055" spans="9:9" x14ac:dyDescent="0.3">
      <c r="I1055" s="16"/>
    </row>
    <row r="1056" spans="9:9" x14ac:dyDescent="0.3">
      <c r="I1056" s="16"/>
    </row>
    <row r="1057" spans="9:9" x14ac:dyDescent="0.3">
      <c r="I1057" s="16"/>
    </row>
    <row r="1058" spans="9:9" x14ac:dyDescent="0.3">
      <c r="I1058" s="16"/>
    </row>
    <row r="1059" spans="9:9" x14ac:dyDescent="0.3">
      <c r="I1059" s="16"/>
    </row>
    <row r="1060" spans="9:9" x14ac:dyDescent="0.3">
      <c r="I1060" s="16"/>
    </row>
    <row r="1061" spans="9:9" x14ac:dyDescent="0.3">
      <c r="I1061" s="16"/>
    </row>
    <row r="1062" spans="9:9" x14ac:dyDescent="0.3">
      <c r="I1062" s="16"/>
    </row>
    <row r="1063" spans="9:9" x14ac:dyDescent="0.3">
      <c r="I1063" s="16"/>
    </row>
    <row r="1064" spans="9:9" x14ac:dyDescent="0.3">
      <c r="I1064" s="16"/>
    </row>
    <row r="1065" spans="9:9" x14ac:dyDescent="0.3">
      <c r="I1065" s="16"/>
    </row>
    <row r="1066" spans="9:9" x14ac:dyDescent="0.3">
      <c r="I1066" s="16"/>
    </row>
    <row r="1067" spans="9:9" x14ac:dyDescent="0.3">
      <c r="I1067" s="16"/>
    </row>
    <row r="1068" spans="9:9" x14ac:dyDescent="0.3">
      <c r="I1068" s="16"/>
    </row>
    <row r="1069" spans="9:9" x14ac:dyDescent="0.3">
      <c r="I1069" s="16"/>
    </row>
    <row r="1070" spans="9:9" x14ac:dyDescent="0.3">
      <c r="I1070" s="16"/>
    </row>
    <row r="1071" spans="9:9" x14ac:dyDescent="0.3">
      <c r="I1071" s="16"/>
    </row>
    <row r="1072" spans="9:9" x14ac:dyDescent="0.3">
      <c r="I1072" s="16"/>
    </row>
    <row r="1073" spans="9:9" x14ac:dyDescent="0.3">
      <c r="I1073" s="16"/>
    </row>
    <row r="1074" spans="9:9" x14ac:dyDescent="0.3">
      <c r="I1074" s="16"/>
    </row>
    <row r="1075" spans="9:9" x14ac:dyDescent="0.3">
      <c r="I1075" s="16"/>
    </row>
    <row r="1076" spans="9:9" x14ac:dyDescent="0.3">
      <c r="I1076" s="16"/>
    </row>
    <row r="1077" spans="9:9" x14ac:dyDescent="0.3">
      <c r="I1077" s="16"/>
    </row>
    <row r="1078" spans="9:9" x14ac:dyDescent="0.3">
      <c r="I1078" s="16"/>
    </row>
    <row r="1079" spans="9:9" x14ac:dyDescent="0.3">
      <c r="I1079" s="16"/>
    </row>
    <row r="1080" spans="9:9" x14ac:dyDescent="0.3">
      <c r="I1080" s="16"/>
    </row>
    <row r="1081" spans="9:9" x14ac:dyDescent="0.3">
      <c r="I1081" s="16"/>
    </row>
    <row r="1082" spans="9:9" x14ac:dyDescent="0.3">
      <c r="I1082" s="16"/>
    </row>
    <row r="1083" spans="9:9" x14ac:dyDescent="0.3">
      <c r="I1083" s="16"/>
    </row>
    <row r="1084" spans="9:9" x14ac:dyDescent="0.3">
      <c r="I1084" s="16"/>
    </row>
    <row r="1085" spans="9:9" x14ac:dyDescent="0.3">
      <c r="I1085" s="16"/>
    </row>
    <row r="1086" spans="9:9" x14ac:dyDescent="0.3">
      <c r="I1086" s="16"/>
    </row>
    <row r="1087" spans="9:9" x14ac:dyDescent="0.3">
      <c r="I1087" s="16"/>
    </row>
    <row r="1088" spans="9:9" x14ac:dyDescent="0.3">
      <c r="I1088" s="16"/>
    </row>
    <row r="1089" spans="9:9" x14ac:dyDescent="0.3">
      <c r="I1089" s="16"/>
    </row>
    <row r="1090" spans="9:9" x14ac:dyDescent="0.3">
      <c r="I1090" s="16"/>
    </row>
    <row r="1091" spans="9:9" x14ac:dyDescent="0.3">
      <c r="I1091" s="16"/>
    </row>
    <row r="1092" spans="9:9" x14ac:dyDescent="0.3">
      <c r="I1092" s="16"/>
    </row>
    <row r="1093" spans="9:9" x14ac:dyDescent="0.3">
      <c r="I1093" s="16"/>
    </row>
    <row r="1094" spans="9:9" x14ac:dyDescent="0.3">
      <c r="I1094" s="16"/>
    </row>
    <row r="1095" spans="9:9" x14ac:dyDescent="0.3">
      <c r="I1095" s="16"/>
    </row>
    <row r="1096" spans="9:9" x14ac:dyDescent="0.3">
      <c r="I1096" s="16"/>
    </row>
    <row r="1097" spans="9:9" x14ac:dyDescent="0.3">
      <c r="I1097" s="16"/>
    </row>
    <row r="1098" spans="9:9" x14ac:dyDescent="0.3">
      <c r="I1098" s="16"/>
    </row>
    <row r="1099" spans="9:9" x14ac:dyDescent="0.3">
      <c r="I1099" s="16"/>
    </row>
    <row r="1100" spans="9:9" x14ac:dyDescent="0.3">
      <c r="I1100" s="16"/>
    </row>
    <row r="1101" spans="9:9" x14ac:dyDescent="0.3">
      <c r="I1101" s="16"/>
    </row>
    <row r="1102" spans="9:9" x14ac:dyDescent="0.3">
      <c r="I1102" s="16"/>
    </row>
    <row r="1103" spans="9:9" x14ac:dyDescent="0.3">
      <c r="I1103" s="16"/>
    </row>
    <row r="1104" spans="9:9" x14ac:dyDescent="0.3">
      <c r="I1104" s="16"/>
    </row>
    <row r="1105" spans="9:9" x14ac:dyDescent="0.3">
      <c r="I1105" s="16"/>
    </row>
    <row r="1106" spans="9:9" x14ac:dyDescent="0.3">
      <c r="I1106" s="16"/>
    </row>
    <row r="1107" spans="9:9" x14ac:dyDescent="0.3">
      <c r="I1107" s="16"/>
    </row>
    <row r="1108" spans="9:9" x14ac:dyDescent="0.3">
      <c r="I1108" s="16"/>
    </row>
    <row r="1109" spans="9:9" x14ac:dyDescent="0.3">
      <c r="I1109" s="16"/>
    </row>
    <row r="1110" spans="9:9" x14ac:dyDescent="0.3">
      <c r="I1110" s="16"/>
    </row>
    <row r="1111" spans="9:9" x14ac:dyDescent="0.3">
      <c r="I1111" s="16"/>
    </row>
    <row r="1112" spans="9:9" x14ac:dyDescent="0.3">
      <c r="I1112" s="16"/>
    </row>
    <row r="1113" spans="9:9" x14ac:dyDescent="0.3">
      <c r="I1113" s="16"/>
    </row>
    <row r="1114" spans="9:9" x14ac:dyDescent="0.3">
      <c r="I1114" s="16"/>
    </row>
    <row r="1115" spans="9:9" x14ac:dyDescent="0.3">
      <c r="I1115" s="16"/>
    </row>
    <row r="1116" spans="9:9" x14ac:dyDescent="0.3">
      <c r="I1116" s="16"/>
    </row>
    <row r="1117" spans="9:9" x14ac:dyDescent="0.3">
      <c r="I1117" s="16"/>
    </row>
    <row r="1118" spans="9:9" x14ac:dyDescent="0.3">
      <c r="I1118" s="16"/>
    </row>
    <row r="1119" spans="9:9" x14ac:dyDescent="0.3">
      <c r="I1119" s="16"/>
    </row>
    <row r="1120" spans="9:9" x14ac:dyDescent="0.3">
      <c r="I1120" s="16"/>
    </row>
    <row r="1121" spans="9:9" x14ac:dyDescent="0.3">
      <c r="I1121" s="16"/>
    </row>
    <row r="1122" spans="9:9" x14ac:dyDescent="0.3">
      <c r="I1122" s="16"/>
    </row>
    <row r="1123" spans="9:9" x14ac:dyDescent="0.3">
      <c r="I1123" s="16"/>
    </row>
    <row r="1124" spans="9:9" x14ac:dyDescent="0.3">
      <c r="I1124" s="16"/>
    </row>
    <row r="1125" spans="9:9" x14ac:dyDescent="0.3">
      <c r="I1125" s="16"/>
    </row>
    <row r="1126" spans="9:9" x14ac:dyDescent="0.3">
      <c r="I1126" s="16"/>
    </row>
    <row r="1127" spans="9:9" x14ac:dyDescent="0.3">
      <c r="I1127" s="16"/>
    </row>
    <row r="1128" spans="9:9" x14ac:dyDescent="0.3">
      <c r="I1128" s="16"/>
    </row>
    <row r="1129" spans="9:9" x14ac:dyDescent="0.3">
      <c r="I1129" s="16"/>
    </row>
    <row r="1130" spans="9:9" x14ac:dyDescent="0.3">
      <c r="I1130" s="16"/>
    </row>
    <row r="1131" spans="9:9" x14ac:dyDescent="0.3">
      <c r="I1131" s="16"/>
    </row>
    <row r="1132" spans="9:9" x14ac:dyDescent="0.3">
      <c r="I1132" s="16"/>
    </row>
    <row r="1133" spans="9:9" x14ac:dyDescent="0.3">
      <c r="I1133" s="16"/>
    </row>
    <row r="1134" spans="9:9" x14ac:dyDescent="0.3">
      <c r="I1134" s="16"/>
    </row>
    <row r="1135" spans="9:9" x14ac:dyDescent="0.3">
      <c r="I1135" s="16"/>
    </row>
    <row r="1136" spans="9:9" x14ac:dyDescent="0.3">
      <c r="I1136" s="16"/>
    </row>
    <row r="1137" spans="9:9" x14ac:dyDescent="0.3">
      <c r="I1137" s="16"/>
    </row>
    <row r="1138" spans="9:9" x14ac:dyDescent="0.3">
      <c r="I1138" s="16"/>
    </row>
    <row r="1139" spans="9:9" x14ac:dyDescent="0.3">
      <c r="I1139" s="16"/>
    </row>
    <row r="1140" spans="9:9" x14ac:dyDescent="0.3">
      <c r="I1140" s="16"/>
    </row>
    <row r="1141" spans="9:9" x14ac:dyDescent="0.3">
      <c r="I1141" s="16"/>
    </row>
    <row r="1142" spans="9:9" x14ac:dyDescent="0.3">
      <c r="I1142" s="16"/>
    </row>
    <row r="1143" spans="9:9" x14ac:dyDescent="0.3">
      <c r="I1143" s="16"/>
    </row>
    <row r="1144" spans="9:9" x14ac:dyDescent="0.3">
      <c r="I1144" s="16"/>
    </row>
    <row r="1145" spans="9:9" x14ac:dyDescent="0.3">
      <c r="I1145" s="16"/>
    </row>
    <row r="1146" spans="9:9" x14ac:dyDescent="0.3">
      <c r="I1146" s="16"/>
    </row>
    <row r="1147" spans="9:9" x14ac:dyDescent="0.3">
      <c r="I1147" s="16"/>
    </row>
    <row r="1148" spans="9:9" x14ac:dyDescent="0.3">
      <c r="I1148" s="16"/>
    </row>
    <row r="1149" spans="9:9" x14ac:dyDescent="0.3">
      <c r="I1149" s="16"/>
    </row>
    <row r="1150" spans="9:9" x14ac:dyDescent="0.3">
      <c r="I1150" s="16"/>
    </row>
    <row r="1151" spans="9:9" x14ac:dyDescent="0.3">
      <c r="I1151" s="16"/>
    </row>
    <row r="1152" spans="9:9" x14ac:dyDescent="0.3">
      <c r="I1152" s="16"/>
    </row>
    <row r="1153" spans="9:9" x14ac:dyDescent="0.3">
      <c r="I1153" s="16"/>
    </row>
    <row r="1154" spans="9:9" x14ac:dyDescent="0.3">
      <c r="I1154" s="16"/>
    </row>
    <row r="1155" spans="9:9" x14ac:dyDescent="0.3">
      <c r="I1155" s="16"/>
    </row>
    <row r="1156" spans="9:9" x14ac:dyDescent="0.3">
      <c r="I1156" s="16"/>
    </row>
    <row r="1157" spans="9:9" x14ac:dyDescent="0.3">
      <c r="I1157" s="16"/>
    </row>
    <row r="1158" spans="9:9" x14ac:dyDescent="0.3">
      <c r="I1158" s="16"/>
    </row>
    <row r="1159" spans="9:9" x14ac:dyDescent="0.3">
      <c r="I1159" s="16"/>
    </row>
    <row r="1160" spans="9:9" x14ac:dyDescent="0.3">
      <c r="I1160" s="16"/>
    </row>
    <row r="1161" spans="9:9" x14ac:dyDescent="0.3">
      <c r="I1161" s="16"/>
    </row>
    <row r="1162" spans="9:9" x14ac:dyDescent="0.3">
      <c r="I1162" s="16"/>
    </row>
    <row r="1163" spans="9:9" x14ac:dyDescent="0.3">
      <c r="I1163" s="16"/>
    </row>
    <row r="1164" spans="9:9" x14ac:dyDescent="0.3">
      <c r="I1164" s="16"/>
    </row>
    <row r="1165" spans="9:9" x14ac:dyDescent="0.3">
      <c r="I1165" s="16"/>
    </row>
    <row r="1166" spans="9:9" x14ac:dyDescent="0.3">
      <c r="I1166" s="16"/>
    </row>
    <row r="1167" spans="9:9" x14ac:dyDescent="0.3">
      <c r="I1167" s="16"/>
    </row>
    <row r="1168" spans="9:9" x14ac:dyDescent="0.3">
      <c r="I1168" s="16"/>
    </row>
    <row r="1169" spans="9:9" x14ac:dyDescent="0.3">
      <c r="I1169" s="16"/>
    </row>
    <row r="1170" spans="9:9" x14ac:dyDescent="0.3">
      <c r="I1170" s="16"/>
    </row>
    <row r="1171" spans="9:9" x14ac:dyDescent="0.3">
      <c r="I1171" s="16"/>
    </row>
    <row r="1172" spans="9:9" x14ac:dyDescent="0.3">
      <c r="I1172" s="16"/>
    </row>
    <row r="1173" spans="9:9" x14ac:dyDescent="0.3">
      <c r="I1173" s="16"/>
    </row>
    <row r="1174" spans="9:9" x14ac:dyDescent="0.3">
      <c r="I1174" s="16"/>
    </row>
    <row r="1175" spans="9:9" x14ac:dyDescent="0.3">
      <c r="I1175" s="16"/>
    </row>
    <row r="1176" spans="9:9" x14ac:dyDescent="0.3">
      <c r="I1176" s="16"/>
    </row>
    <row r="1177" spans="9:9" x14ac:dyDescent="0.3">
      <c r="I1177" s="16"/>
    </row>
    <row r="1178" spans="9:9" x14ac:dyDescent="0.3">
      <c r="I1178" s="16"/>
    </row>
    <row r="1179" spans="9:9" x14ac:dyDescent="0.3">
      <c r="I1179" s="16"/>
    </row>
    <row r="1180" spans="9:9" x14ac:dyDescent="0.3">
      <c r="I1180" s="16"/>
    </row>
    <row r="1181" spans="9:9" x14ac:dyDescent="0.3">
      <c r="I1181" s="16"/>
    </row>
    <row r="1182" spans="9:9" x14ac:dyDescent="0.3">
      <c r="I1182" s="16"/>
    </row>
    <row r="1183" spans="9:9" x14ac:dyDescent="0.3">
      <c r="I1183" s="16"/>
    </row>
    <row r="1184" spans="9:9" x14ac:dyDescent="0.3">
      <c r="I1184" s="16"/>
    </row>
    <row r="1185" spans="9:9" x14ac:dyDescent="0.3">
      <c r="I1185" s="16"/>
    </row>
    <row r="1186" spans="9:9" x14ac:dyDescent="0.3">
      <c r="I1186" s="16"/>
    </row>
    <row r="1187" spans="9:9" x14ac:dyDescent="0.3">
      <c r="I1187" s="16"/>
    </row>
    <row r="1188" spans="9:9" x14ac:dyDescent="0.3">
      <c r="I1188" s="16"/>
    </row>
    <row r="1189" spans="9:9" x14ac:dyDescent="0.3">
      <c r="I1189" s="16"/>
    </row>
    <row r="1190" spans="9:9" x14ac:dyDescent="0.3">
      <c r="I1190" s="16"/>
    </row>
    <row r="1191" spans="9:9" x14ac:dyDescent="0.3">
      <c r="I1191" s="16"/>
    </row>
    <row r="1192" spans="9:9" x14ac:dyDescent="0.3">
      <c r="I1192" s="16"/>
    </row>
    <row r="1193" spans="9:9" x14ac:dyDescent="0.3">
      <c r="I1193" s="16"/>
    </row>
    <row r="1194" spans="9:9" x14ac:dyDescent="0.3">
      <c r="I1194" s="16"/>
    </row>
    <row r="1195" spans="9:9" x14ac:dyDescent="0.3">
      <c r="I1195" s="16"/>
    </row>
    <row r="1196" spans="9:9" x14ac:dyDescent="0.3">
      <c r="I1196" s="16"/>
    </row>
    <row r="1197" spans="9:9" x14ac:dyDescent="0.3">
      <c r="I1197" s="16"/>
    </row>
    <row r="1198" spans="9:9" x14ac:dyDescent="0.3">
      <c r="I1198" s="16"/>
    </row>
    <row r="1199" spans="9:9" x14ac:dyDescent="0.3">
      <c r="I1199" s="16"/>
    </row>
    <row r="1200" spans="9:9" x14ac:dyDescent="0.3">
      <c r="I1200" s="16"/>
    </row>
    <row r="1201" spans="9:9" x14ac:dyDescent="0.3">
      <c r="I1201" s="16"/>
    </row>
    <row r="1202" spans="9:9" x14ac:dyDescent="0.3">
      <c r="I1202" s="16"/>
    </row>
    <row r="1203" spans="9:9" x14ac:dyDescent="0.3">
      <c r="I1203" s="16"/>
    </row>
    <row r="1204" spans="9:9" x14ac:dyDescent="0.3">
      <c r="I1204" s="16"/>
    </row>
    <row r="1205" spans="9:9" x14ac:dyDescent="0.3">
      <c r="I1205" s="16"/>
    </row>
    <row r="1206" spans="9:9" x14ac:dyDescent="0.3">
      <c r="I1206" s="16"/>
    </row>
    <row r="1207" spans="9:9" x14ac:dyDescent="0.3">
      <c r="I1207" s="16"/>
    </row>
    <row r="1208" spans="9:9" x14ac:dyDescent="0.3">
      <c r="I1208" s="16"/>
    </row>
    <row r="1209" spans="9:9" x14ac:dyDescent="0.3">
      <c r="I1209" s="16"/>
    </row>
    <row r="1210" spans="9:9" x14ac:dyDescent="0.3">
      <c r="I1210" s="16"/>
    </row>
    <row r="1211" spans="9:9" x14ac:dyDescent="0.3">
      <c r="I1211" s="16"/>
    </row>
    <row r="1212" spans="9:9" x14ac:dyDescent="0.3">
      <c r="I1212" s="16"/>
    </row>
    <row r="1213" spans="9:9" x14ac:dyDescent="0.3">
      <c r="I1213" s="16"/>
    </row>
    <row r="1214" spans="9:9" x14ac:dyDescent="0.3">
      <c r="I1214" s="16"/>
    </row>
    <row r="1215" spans="9:9" x14ac:dyDescent="0.3">
      <c r="I1215" s="16"/>
    </row>
    <row r="1216" spans="9:9" x14ac:dyDescent="0.3">
      <c r="I1216" s="16"/>
    </row>
    <row r="1217" spans="9:9" x14ac:dyDescent="0.3">
      <c r="I1217" s="16"/>
    </row>
    <row r="1218" spans="9:9" x14ac:dyDescent="0.3">
      <c r="I1218" s="16"/>
    </row>
    <row r="1219" spans="9:9" x14ac:dyDescent="0.3">
      <c r="I1219" s="16"/>
    </row>
    <row r="1220" spans="9:9" x14ac:dyDescent="0.3">
      <c r="I1220" s="16"/>
    </row>
    <row r="1221" spans="9:9" x14ac:dyDescent="0.3">
      <c r="I1221" s="16"/>
    </row>
    <row r="1222" spans="9:9" x14ac:dyDescent="0.3">
      <c r="I1222" s="16"/>
    </row>
    <row r="1223" spans="9:9" x14ac:dyDescent="0.3">
      <c r="I1223" s="16"/>
    </row>
    <row r="1224" spans="9:9" x14ac:dyDescent="0.3">
      <c r="I1224" s="16"/>
    </row>
    <row r="1225" spans="9:9" x14ac:dyDescent="0.3">
      <c r="I1225" s="16"/>
    </row>
    <row r="1226" spans="9:9" x14ac:dyDescent="0.3">
      <c r="I1226" s="16"/>
    </row>
    <row r="1227" spans="9:9" x14ac:dyDescent="0.3">
      <c r="I1227" s="16"/>
    </row>
    <row r="1228" spans="9:9" x14ac:dyDescent="0.3">
      <c r="I1228" s="16"/>
    </row>
    <row r="1229" spans="9:9" x14ac:dyDescent="0.3">
      <c r="I1229" s="16"/>
    </row>
    <row r="1230" spans="9:9" x14ac:dyDescent="0.3">
      <c r="I1230" s="16"/>
    </row>
    <row r="1231" spans="9:9" x14ac:dyDescent="0.3">
      <c r="I1231" s="16"/>
    </row>
    <row r="1232" spans="9:9" x14ac:dyDescent="0.3">
      <c r="I1232" s="16"/>
    </row>
    <row r="1233" spans="9:9" x14ac:dyDescent="0.3">
      <c r="I1233" s="16"/>
    </row>
    <row r="1234" spans="9:9" x14ac:dyDescent="0.3">
      <c r="I1234" s="16"/>
    </row>
    <row r="1235" spans="9:9" x14ac:dyDescent="0.3">
      <c r="I1235" s="16"/>
    </row>
    <row r="1236" spans="9:9" x14ac:dyDescent="0.3">
      <c r="I1236" s="16"/>
    </row>
    <row r="1237" spans="9:9" x14ac:dyDescent="0.3">
      <c r="I1237" s="16"/>
    </row>
    <row r="1238" spans="9:9" x14ac:dyDescent="0.3">
      <c r="I1238" s="16"/>
    </row>
    <row r="1239" spans="9:9" x14ac:dyDescent="0.3">
      <c r="I1239" s="16"/>
    </row>
    <row r="1240" spans="9:9" x14ac:dyDescent="0.3">
      <c r="I1240" s="16"/>
    </row>
    <row r="1241" spans="9:9" x14ac:dyDescent="0.3">
      <c r="I1241" s="16"/>
    </row>
    <row r="1242" spans="9:9" x14ac:dyDescent="0.3">
      <c r="I1242" s="16"/>
    </row>
    <row r="1243" spans="9:9" x14ac:dyDescent="0.3">
      <c r="I1243" s="16"/>
    </row>
    <row r="1244" spans="9:9" x14ac:dyDescent="0.3">
      <c r="I1244" s="16"/>
    </row>
    <row r="1245" spans="9:9" x14ac:dyDescent="0.3">
      <c r="I1245" s="16"/>
    </row>
    <row r="1246" spans="9:9" x14ac:dyDescent="0.3">
      <c r="I1246" s="16"/>
    </row>
    <row r="1247" spans="9:9" x14ac:dyDescent="0.3">
      <c r="I1247" s="16"/>
    </row>
    <row r="1248" spans="9:9" x14ac:dyDescent="0.3">
      <c r="I1248" s="16"/>
    </row>
    <row r="1249" spans="9:9" x14ac:dyDescent="0.3">
      <c r="I1249" s="16"/>
    </row>
    <row r="1250" spans="9:9" x14ac:dyDescent="0.3">
      <c r="I1250" s="16"/>
    </row>
    <row r="1251" spans="9:9" x14ac:dyDescent="0.3">
      <c r="I1251" s="16"/>
    </row>
    <row r="1252" spans="9:9" x14ac:dyDescent="0.3">
      <c r="I1252" s="16"/>
    </row>
    <row r="1253" spans="9:9" x14ac:dyDescent="0.3">
      <c r="I1253" s="16"/>
    </row>
    <row r="1254" spans="9:9" x14ac:dyDescent="0.3">
      <c r="I1254" s="16"/>
    </row>
    <row r="1255" spans="9:9" x14ac:dyDescent="0.3">
      <c r="I1255" s="16"/>
    </row>
    <row r="1256" spans="9:9" x14ac:dyDescent="0.3">
      <c r="I1256" s="16"/>
    </row>
    <row r="1257" spans="9:9" x14ac:dyDescent="0.3">
      <c r="I1257" s="16"/>
    </row>
    <row r="1258" spans="9:9" x14ac:dyDescent="0.3">
      <c r="I1258" s="16"/>
    </row>
    <row r="1259" spans="9:9" x14ac:dyDescent="0.3">
      <c r="I1259" s="16"/>
    </row>
    <row r="1260" spans="9:9" x14ac:dyDescent="0.3">
      <c r="I1260" s="16"/>
    </row>
    <row r="1261" spans="9:9" x14ac:dyDescent="0.3">
      <c r="I1261" s="16"/>
    </row>
    <row r="1262" spans="9:9" x14ac:dyDescent="0.3">
      <c r="I1262" s="16"/>
    </row>
    <row r="1263" spans="9:9" x14ac:dyDescent="0.3">
      <c r="I1263" s="16"/>
    </row>
    <row r="1264" spans="9:9" x14ac:dyDescent="0.3">
      <c r="I1264" s="16"/>
    </row>
    <row r="1265" spans="9:9" x14ac:dyDescent="0.3">
      <c r="I1265" s="16"/>
    </row>
  </sheetData>
  <mergeCells count="14">
    <mergeCell ref="R5:S5"/>
    <mergeCell ref="U5:V5"/>
    <mergeCell ref="B2:V3"/>
    <mergeCell ref="F270:G270"/>
    <mergeCell ref="I270:J270"/>
    <mergeCell ref="L270:M270"/>
    <mergeCell ref="O270:P270"/>
    <mergeCell ref="R270:S270"/>
    <mergeCell ref="U270:V270"/>
    <mergeCell ref="B5:D5"/>
    <mergeCell ref="F5:G5"/>
    <mergeCell ref="I5:J5"/>
    <mergeCell ref="L5:M5"/>
    <mergeCell ref="O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FE2E-36CD-4482-9CF6-4F13422B1122}">
  <dimension ref="B2:T31"/>
  <sheetViews>
    <sheetView showGridLines="0" workbookViewId="0">
      <selection activeCell="G9" sqref="G9"/>
    </sheetView>
  </sheetViews>
  <sheetFormatPr defaultRowHeight="14.4" x14ac:dyDescent="0.3"/>
  <cols>
    <col min="1" max="1" width="1.88671875" customWidth="1"/>
    <col min="6" max="6" width="17.6640625" bestFit="1" customWidth="1"/>
  </cols>
  <sheetData>
    <row r="2" spans="2:20" x14ac:dyDescent="0.3">
      <c r="B2" s="165" t="s">
        <v>412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</row>
    <row r="3" spans="2:20" x14ac:dyDescent="0.3"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</row>
    <row r="5" spans="2:20" x14ac:dyDescent="0.3">
      <c r="B5" s="106" t="s">
        <v>413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</row>
    <row r="7" spans="2:20" x14ac:dyDescent="0.3">
      <c r="B7" s="110" t="s">
        <v>323</v>
      </c>
      <c r="C7" s="110" t="s">
        <v>415</v>
      </c>
      <c r="S7" s="41"/>
    </row>
    <row r="8" spans="2:20" x14ac:dyDescent="0.3">
      <c r="B8" s="163">
        <v>2000</v>
      </c>
      <c r="C8" s="96">
        <v>2.87E-2</v>
      </c>
      <c r="F8" t="s">
        <v>416</v>
      </c>
      <c r="G8" s="41">
        <f>AVERAGE(C8:C31)</f>
        <v>4.8587499999999985E-2</v>
      </c>
      <c r="S8" s="41"/>
      <c r="T8" s="41"/>
    </row>
    <row r="9" spans="2:20" x14ac:dyDescent="0.3">
      <c r="B9" s="163">
        <v>2001</v>
      </c>
      <c r="C9" s="96">
        <v>3.6200000000000003E-2</v>
      </c>
      <c r="F9" t="s">
        <v>414</v>
      </c>
      <c r="G9" s="96">
        <v>1.47E-2</v>
      </c>
      <c r="S9" s="41"/>
      <c r="T9" s="41"/>
    </row>
    <row r="10" spans="2:20" x14ac:dyDescent="0.3">
      <c r="B10" s="163">
        <v>2002</v>
      </c>
      <c r="C10" s="96">
        <v>4.1000000000000002E-2</v>
      </c>
      <c r="F10" s="95" t="s">
        <v>417</v>
      </c>
      <c r="G10" s="107">
        <f>SUM(G8:G9)</f>
        <v>6.3287499999999983E-2</v>
      </c>
      <c r="S10" s="41"/>
      <c r="T10" s="41"/>
    </row>
    <row r="11" spans="2:20" x14ac:dyDescent="0.3">
      <c r="B11" s="163">
        <v>2003</v>
      </c>
      <c r="C11" s="96">
        <v>3.6900000000000002E-2</v>
      </c>
      <c r="S11" s="41"/>
      <c r="T11" s="41"/>
    </row>
    <row r="12" spans="2:20" x14ac:dyDescent="0.3">
      <c r="B12" s="163">
        <v>2004</v>
      </c>
      <c r="C12" s="96">
        <v>3.6499999999999998E-2</v>
      </c>
      <c r="S12" s="41"/>
      <c r="T12" s="41"/>
    </row>
    <row r="13" spans="2:20" x14ac:dyDescent="0.3">
      <c r="B13" s="163">
        <v>2005</v>
      </c>
      <c r="C13" s="96">
        <v>4.0800000000000003E-2</v>
      </c>
      <c r="S13" s="41"/>
      <c r="T13" s="41"/>
    </row>
    <row r="14" spans="2:20" x14ac:dyDescent="0.3">
      <c r="B14" s="163">
        <v>2006</v>
      </c>
      <c r="C14" s="96">
        <v>4.1599999999999998E-2</v>
      </c>
      <c r="S14" s="41"/>
      <c r="T14" s="41"/>
    </row>
    <row r="15" spans="2:20" x14ac:dyDescent="0.3">
      <c r="B15" s="163">
        <v>2007</v>
      </c>
      <c r="C15" s="96">
        <v>4.3700000000000003E-2</v>
      </c>
      <c r="S15" s="41"/>
      <c r="T15" s="41"/>
    </row>
    <row r="16" spans="2:20" x14ac:dyDescent="0.3">
      <c r="B16" s="163">
        <v>2008</v>
      </c>
      <c r="C16" s="96">
        <v>6.4299999999999996E-2</v>
      </c>
      <c r="S16" s="41"/>
      <c r="T16" s="41"/>
    </row>
    <row r="17" spans="2:20" x14ac:dyDescent="0.3">
      <c r="B17" s="163">
        <v>2009</v>
      </c>
      <c r="C17" s="96">
        <v>4.36E-2</v>
      </c>
      <c r="S17" s="41"/>
      <c r="T17" s="41"/>
    </row>
    <row r="18" spans="2:20" x14ac:dyDescent="0.3">
      <c r="B18" s="163">
        <v>2010</v>
      </c>
      <c r="C18" s="96">
        <v>5.1999999999999998E-2</v>
      </c>
      <c r="S18" s="41"/>
      <c r="T18" s="41"/>
    </row>
    <row r="19" spans="2:20" x14ac:dyDescent="0.3">
      <c r="B19" s="163">
        <v>2011</v>
      </c>
      <c r="C19" s="96">
        <v>6.0100000000000001E-2</v>
      </c>
      <c r="S19" s="41"/>
      <c r="T19" s="41"/>
    </row>
    <row r="20" spans="2:20" x14ac:dyDescent="0.3">
      <c r="B20" s="163">
        <v>2012</v>
      </c>
      <c r="C20" s="96">
        <v>5.7799999999999997E-2</v>
      </c>
      <c r="S20" s="41"/>
      <c r="T20" s="41"/>
    </row>
    <row r="21" spans="2:20" x14ac:dyDescent="0.3">
      <c r="B21" s="163">
        <v>2013</v>
      </c>
      <c r="C21" s="96">
        <v>4.9599999999999998E-2</v>
      </c>
      <c r="S21" s="41"/>
      <c r="T21" s="41"/>
    </row>
    <row r="22" spans="2:20" x14ac:dyDescent="0.3">
      <c r="B22" s="163">
        <v>2014</v>
      </c>
      <c r="C22" s="96">
        <v>5.7799999999999997E-2</v>
      </c>
      <c r="S22" s="41"/>
      <c r="T22" s="41"/>
    </row>
    <row r="23" spans="2:20" x14ac:dyDescent="0.3">
      <c r="B23" s="163">
        <v>2015</v>
      </c>
      <c r="C23" s="96">
        <v>6.1199999999999997E-2</v>
      </c>
      <c r="S23" s="41"/>
      <c r="T23" s="41"/>
    </row>
    <row r="24" spans="2:20" x14ac:dyDescent="0.3">
      <c r="B24" s="163">
        <v>2016</v>
      </c>
      <c r="C24" s="96">
        <v>5.6899999999999999E-2</v>
      </c>
      <c r="S24" s="41"/>
      <c r="T24" s="41"/>
    </row>
    <row r="25" spans="2:20" x14ac:dyDescent="0.3">
      <c r="B25" s="163">
        <v>2017</v>
      </c>
      <c r="C25" s="96">
        <v>5.0799999999999998E-2</v>
      </c>
      <c r="S25" s="41"/>
      <c r="T25" s="41"/>
    </row>
    <row r="26" spans="2:20" x14ac:dyDescent="0.3">
      <c r="B26" s="163">
        <v>2018</v>
      </c>
      <c r="C26" s="96">
        <v>5.96E-2</v>
      </c>
      <c r="S26" s="41"/>
      <c r="T26" s="41"/>
    </row>
    <row r="27" spans="2:20" x14ac:dyDescent="0.3">
      <c r="B27" s="163">
        <v>2019</v>
      </c>
      <c r="C27" s="96">
        <v>5.1999999999999998E-2</v>
      </c>
      <c r="S27" s="41"/>
      <c r="T27" s="41"/>
    </row>
    <row r="28" spans="2:20" x14ac:dyDescent="0.3">
      <c r="B28" s="163">
        <v>2020</v>
      </c>
      <c r="C28" s="96">
        <v>4.7199999999999999E-2</v>
      </c>
      <c r="S28" s="41"/>
      <c r="T28" s="41"/>
    </row>
    <row r="29" spans="2:20" x14ac:dyDescent="0.3">
      <c r="B29" s="163">
        <v>2021</v>
      </c>
      <c r="C29" s="96">
        <v>4.24E-2</v>
      </c>
      <c r="S29" s="41"/>
      <c r="T29" s="41"/>
    </row>
    <row r="30" spans="2:20" x14ac:dyDescent="0.3">
      <c r="B30" s="163">
        <v>2022</v>
      </c>
      <c r="C30" s="96">
        <v>5.9400000000000001E-2</v>
      </c>
      <c r="S30" s="41"/>
      <c r="T30" s="41"/>
    </row>
    <row r="31" spans="2:20" x14ac:dyDescent="0.3">
      <c r="B31" s="163">
        <v>2023</v>
      </c>
      <c r="C31" s="96">
        <v>4.5999999999999999E-2</v>
      </c>
    </row>
  </sheetData>
  <mergeCells count="1">
    <mergeCell ref="B2:O3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28D5-4715-4649-8EA2-389F66D0BA44}">
  <dimension ref="B2:M53"/>
  <sheetViews>
    <sheetView showGridLines="0" topLeftCell="A38" zoomScaleNormal="100" workbookViewId="0">
      <selection activeCell="J50" sqref="J50"/>
    </sheetView>
  </sheetViews>
  <sheetFormatPr defaultRowHeight="14.4" x14ac:dyDescent="0.3"/>
  <cols>
    <col min="1" max="1" width="1.88671875" customWidth="1"/>
    <col min="2" max="2" width="19.44140625" bestFit="1" customWidth="1"/>
    <col min="3" max="3" width="31.33203125" bestFit="1" customWidth="1"/>
    <col min="4" max="4" width="21.33203125" bestFit="1" customWidth="1"/>
    <col min="5" max="5" width="20.21875" bestFit="1" customWidth="1"/>
    <col min="6" max="6" width="18.6640625" bestFit="1" customWidth="1"/>
    <col min="9" max="9" width="9.109375" customWidth="1"/>
    <col min="13" max="13" width="17.6640625" bestFit="1" customWidth="1"/>
  </cols>
  <sheetData>
    <row r="2" spans="2:13" x14ac:dyDescent="0.3">
      <c r="B2" s="166" t="str">
        <f>'Data Sheet'!$B$2</f>
        <v>Walmart Inc.</v>
      </c>
      <c r="C2" s="166"/>
      <c r="D2" s="166"/>
      <c r="E2" s="166"/>
      <c r="F2" s="166"/>
      <c r="G2" s="166"/>
      <c r="H2" s="166"/>
      <c r="I2" s="166"/>
      <c r="J2" s="166"/>
    </row>
    <row r="4" spans="2:13" x14ac:dyDescent="0.3">
      <c r="B4" s="15" t="s">
        <v>350</v>
      </c>
      <c r="C4" s="15"/>
      <c r="D4" s="15"/>
      <c r="E4" s="15"/>
      <c r="F4" s="15"/>
      <c r="G4" s="15"/>
      <c r="H4" s="15"/>
      <c r="I4" s="15"/>
      <c r="J4" s="15"/>
    </row>
    <row r="7" spans="2:13" x14ac:dyDescent="0.3">
      <c r="B7" s="108"/>
      <c r="C7" s="108"/>
      <c r="D7" s="108"/>
      <c r="E7" s="108"/>
      <c r="F7" s="108"/>
      <c r="G7" s="108" t="s">
        <v>356</v>
      </c>
    </row>
    <row r="8" spans="2:13" x14ac:dyDescent="0.3">
      <c r="B8" s="109" t="s">
        <v>352</v>
      </c>
      <c r="C8" s="109" t="s">
        <v>353</v>
      </c>
      <c r="D8" s="109" t="s">
        <v>369</v>
      </c>
      <c r="E8" s="109" t="s">
        <v>361</v>
      </c>
      <c r="F8" s="109" t="s">
        <v>362</v>
      </c>
      <c r="G8" s="109" t="s">
        <v>357</v>
      </c>
    </row>
    <row r="9" spans="2:13" x14ac:dyDescent="0.3">
      <c r="B9" s="68" t="s">
        <v>363</v>
      </c>
      <c r="C9" s="68" t="s">
        <v>364</v>
      </c>
      <c r="D9" s="69">
        <v>142.41999999999999</v>
      </c>
      <c r="E9" s="69">
        <v>61990000000</v>
      </c>
      <c r="F9" s="69">
        <v>19650000000</v>
      </c>
      <c r="G9" s="68">
        <f>19.65/13.43</f>
        <v>1.4631422189128815</v>
      </c>
      <c r="I9" s="16"/>
    </row>
    <row r="10" spans="2:13" x14ac:dyDescent="0.3">
      <c r="B10" s="68" t="s">
        <v>365</v>
      </c>
      <c r="C10" s="68" t="s">
        <v>364</v>
      </c>
      <c r="D10" s="69">
        <v>660.08</v>
      </c>
      <c r="E10" s="69">
        <v>437690000000</v>
      </c>
      <c r="F10" s="69">
        <v>8270000000</v>
      </c>
      <c r="G10" s="68">
        <f>8.27/23.62</f>
        <v>0.35012701100762061</v>
      </c>
    </row>
    <row r="11" spans="2:13" x14ac:dyDescent="0.3">
      <c r="B11" s="68" t="s">
        <v>366</v>
      </c>
      <c r="C11" s="68" t="s">
        <v>364</v>
      </c>
      <c r="D11" s="69">
        <v>45.71</v>
      </c>
      <c r="E11" s="69">
        <v>41830000000</v>
      </c>
      <c r="F11" s="69">
        <v>19250000000</v>
      </c>
      <c r="G11" s="68">
        <f>19.25/11.6</f>
        <v>1.6594827586206897</v>
      </c>
    </row>
    <row r="12" spans="2:13" x14ac:dyDescent="0.3">
      <c r="B12" s="68" t="s">
        <v>367</v>
      </c>
      <c r="C12" s="68" t="s">
        <v>364</v>
      </c>
      <c r="D12" s="69">
        <v>142.05000000000001</v>
      </c>
      <c r="E12" s="69">
        <v>15400000000</v>
      </c>
      <c r="F12" s="69">
        <v>10386900000</v>
      </c>
      <c r="G12" s="68">
        <f>10386.9/7313.1</f>
        <v>1.4203142306272305</v>
      </c>
      <c r="M12" s="16"/>
    </row>
    <row r="13" spans="2:13" x14ac:dyDescent="0.3">
      <c r="B13" s="161" t="s">
        <v>368</v>
      </c>
      <c r="C13" s="161" t="s">
        <v>364</v>
      </c>
      <c r="D13" s="162">
        <v>3.61</v>
      </c>
      <c r="E13" s="162">
        <v>30720000000</v>
      </c>
      <c r="F13" s="162">
        <v>14840000000</v>
      </c>
      <c r="G13" s="161">
        <f>14.84/11.67</f>
        <v>1.2716366752356469</v>
      </c>
      <c r="J13" s="46"/>
    </row>
    <row r="14" spans="2:13" x14ac:dyDescent="0.3">
      <c r="D14" s="16"/>
      <c r="E14" s="16"/>
      <c r="F14" s="16"/>
    </row>
    <row r="16" spans="2:13" x14ac:dyDescent="0.3">
      <c r="E16" s="16"/>
    </row>
    <row r="17" spans="2:10" x14ac:dyDescent="0.3">
      <c r="B17" s="10" t="s">
        <v>351</v>
      </c>
    </row>
    <row r="18" spans="2:10" ht="1.2" customHeight="1" x14ac:dyDescent="0.3"/>
    <row r="19" spans="2:10" x14ac:dyDescent="0.3">
      <c r="B19" s="108"/>
      <c r="C19" s="108"/>
      <c r="D19" s="108"/>
      <c r="E19" s="108"/>
      <c r="F19" s="108"/>
      <c r="G19" s="108" t="s">
        <v>356</v>
      </c>
      <c r="H19" s="108" t="s">
        <v>356</v>
      </c>
      <c r="I19" s="108" t="s">
        <v>359</v>
      </c>
      <c r="J19" s="108" t="s">
        <v>360</v>
      </c>
    </row>
    <row r="20" spans="2:10" ht="16.2" x14ac:dyDescent="0.3">
      <c r="B20" s="109" t="s">
        <v>352</v>
      </c>
      <c r="C20" s="109" t="s">
        <v>353</v>
      </c>
      <c r="D20" s="109" t="s">
        <v>354</v>
      </c>
      <c r="E20" s="109" t="s">
        <v>117</v>
      </c>
      <c r="F20" s="109" t="s">
        <v>404</v>
      </c>
      <c r="G20" s="109" t="s">
        <v>357</v>
      </c>
      <c r="H20" s="109" t="s">
        <v>358</v>
      </c>
      <c r="I20" s="109" t="s">
        <v>405</v>
      </c>
      <c r="J20" s="109" t="s">
        <v>406</v>
      </c>
    </row>
    <row r="21" spans="2:10" x14ac:dyDescent="0.3">
      <c r="B21" t="str">
        <f>B9</f>
        <v>Target</v>
      </c>
      <c r="C21" t="str">
        <f t="shared" ref="C21:C25" si="0">C9</f>
        <v>USA</v>
      </c>
      <c r="D21" s="16">
        <f>F9</f>
        <v>19650000000</v>
      </c>
      <c r="E21" s="16">
        <f>E9</f>
        <v>61990000000</v>
      </c>
      <c r="F21" s="71">
        <v>0.26</v>
      </c>
      <c r="G21" s="70">
        <f>D21/E21</f>
        <v>0.31698661074366835</v>
      </c>
      <c r="H21" s="70">
        <f>D21/(D21+E21)</f>
        <v>0.2406908378245958</v>
      </c>
      <c r="I21" s="66">
        <f>'Beta-Regression'!M278</f>
        <v>0.81087554469886047</v>
      </c>
      <c r="J21" s="66">
        <f>I21/(1+(1-F21)*G21)</f>
        <v>0.65680802571353247</v>
      </c>
    </row>
    <row r="22" spans="2:10" x14ac:dyDescent="0.3">
      <c r="B22" t="str">
        <f t="shared" ref="B22" si="1">B10</f>
        <v xml:space="preserve">Costco </v>
      </c>
      <c r="C22" t="str">
        <f t="shared" si="0"/>
        <v>USA</v>
      </c>
      <c r="D22" s="16">
        <f t="shared" ref="D22:D25" si="2">F10</f>
        <v>8270000000</v>
      </c>
      <c r="E22" s="16">
        <f t="shared" ref="E22:E25" si="3">E10</f>
        <v>437690000000</v>
      </c>
      <c r="F22" s="71">
        <v>0.26</v>
      </c>
      <c r="G22" s="70">
        <f t="shared" ref="G22:G25" si="4">D22/E22</f>
        <v>1.8894651465649205E-2</v>
      </c>
      <c r="H22" s="70">
        <f t="shared" ref="H22:H25" si="5">D22/(D22+E22)</f>
        <v>1.8544264059556909E-2</v>
      </c>
      <c r="I22" s="66">
        <f>'Beta-Regression'!J278</f>
        <v>0.68918940270849749</v>
      </c>
      <c r="J22" s="66">
        <f t="shared" ref="J22:J25" si="6">I22/(1+(1-F22)*G22)</f>
        <v>0.67968600439080495</v>
      </c>
    </row>
    <row r="23" spans="2:10" x14ac:dyDescent="0.3">
      <c r="B23" t="str">
        <f t="shared" ref="B23" si="7">B11</f>
        <v>Kroger</v>
      </c>
      <c r="C23" t="str">
        <f t="shared" si="0"/>
        <v>USA</v>
      </c>
      <c r="D23" s="16">
        <f t="shared" si="2"/>
        <v>19250000000</v>
      </c>
      <c r="E23" s="16">
        <f t="shared" si="3"/>
        <v>41830000000</v>
      </c>
      <c r="F23" s="71">
        <v>0.26</v>
      </c>
      <c r="G23" s="70">
        <f t="shared" si="4"/>
        <v>0.46019603155629929</v>
      </c>
      <c r="H23" s="70">
        <f t="shared" si="5"/>
        <v>0.31516044531761622</v>
      </c>
      <c r="I23" s="66">
        <f>'Beta-Regression'!P278</f>
        <v>0.40717366831860191</v>
      </c>
      <c r="J23" s="66">
        <f t="shared" si="6"/>
        <v>0.3037373971603588</v>
      </c>
    </row>
    <row r="24" spans="2:10" x14ac:dyDescent="0.3">
      <c r="B24" t="str">
        <f t="shared" ref="B24" si="8">B12</f>
        <v>Dollar Tree</v>
      </c>
      <c r="C24" t="str">
        <f t="shared" si="0"/>
        <v>USA</v>
      </c>
      <c r="D24" s="16">
        <f t="shared" si="2"/>
        <v>10386900000</v>
      </c>
      <c r="E24" s="16">
        <f t="shared" si="3"/>
        <v>15400000000</v>
      </c>
      <c r="F24" s="71">
        <v>0.26</v>
      </c>
      <c r="G24" s="70">
        <f t="shared" si="4"/>
        <v>0.67447402597402595</v>
      </c>
      <c r="H24" s="70">
        <f t="shared" si="5"/>
        <v>0.40279754448964394</v>
      </c>
      <c r="I24" s="66">
        <f>'Beta-Regression'!S278</f>
        <v>0.77405106629313591</v>
      </c>
      <c r="J24" s="66">
        <f t="shared" si="6"/>
        <v>0.51634013778186483</v>
      </c>
    </row>
    <row r="25" spans="2:10" x14ac:dyDescent="0.3">
      <c r="B25" t="str">
        <f t="shared" ref="B25" si="9">B13</f>
        <v>Tesco</v>
      </c>
      <c r="C25" t="str">
        <f t="shared" si="0"/>
        <v>USA</v>
      </c>
      <c r="D25" s="16">
        <f t="shared" si="2"/>
        <v>14840000000</v>
      </c>
      <c r="E25" s="16">
        <f t="shared" si="3"/>
        <v>30720000000</v>
      </c>
      <c r="F25" s="71">
        <v>0.26</v>
      </c>
      <c r="G25" s="70">
        <f t="shared" si="4"/>
        <v>0.48307291666666669</v>
      </c>
      <c r="H25" s="70">
        <f t="shared" si="5"/>
        <v>0.32572431957857773</v>
      </c>
      <c r="I25" s="66">
        <f>'Beta-Regression'!V278</f>
        <v>0.75784678624876523</v>
      </c>
      <c r="J25" s="66">
        <f t="shared" si="6"/>
        <v>0.55827721894512605</v>
      </c>
    </row>
    <row r="26" spans="2:10" ht="2.1" customHeight="1" x14ac:dyDescent="0.3"/>
    <row r="27" spans="2:10" x14ac:dyDescent="0.3">
      <c r="E27" s="90" t="s">
        <v>384</v>
      </c>
      <c r="F27" s="84">
        <f>AVERAGE(F21:F25)</f>
        <v>0.26</v>
      </c>
      <c r="G27" s="85">
        <f t="shared" ref="G27:J27" si="10">AVERAGE(G21:G25)</f>
        <v>0.39072484728126189</v>
      </c>
      <c r="H27" s="85">
        <f t="shared" si="10"/>
        <v>0.26058348225399813</v>
      </c>
      <c r="I27" s="86">
        <f t="shared" si="10"/>
        <v>0.68782729365357231</v>
      </c>
      <c r="J27" s="86">
        <f t="shared" si="10"/>
        <v>0.54296975679833737</v>
      </c>
    </row>
    <row r="28" spans="2:10" x14ac:dyDescent="0.3">
      <c r="E28" s="74" t="s">
        <v>292</v>
      </c>
      <c r="F28" s="87">
        <f>MEDIAN(F21:F25)</f>
        <v>0.26</v>
      </c>
      <c r="G28" s="88">
        <f t="shared" ref="G28:J28" si="11">MEDIAN(G21:G25)</f>
        <v>0.46019603155629929</v>
      </c>
      <c r="H28" s="88">
        <f t="shared" si="11"/>
        <v>0.31516044531761622</v>
      </c>
      <c r="I28" s="89">
        <f t="shared" si="11"/>
        <v>0.75784678624876523</v>
      </c>
      <c r="J28" s="91">
        <f t="shared" si="11"/>
        <v>0.55827721894512605</v>
      </c>
    </row>
    <row r="31" spans="2:10" x14ac:dyDescent="0.3">
      <c r="B31" s="74" t="s">
        <v>385</v>
      </c>
      <c r="C31" s="74"/>
      <c r="D31" s="74"/>
      <c r="E31" s="74"/>
      <c r="G31" s="74" t="s">
        <v>386</v>
      </c>
      <c r="H31" s="74"/>
      <c r="I31" s="74"/>
      <c r="J31" s="74"/>
    </row>
    <row r="33" spans="2:10" x14ac:dyDescent="0.3">
      <c r="B33" t="s">
        <v>387</v>
      </c>
      <c r="E33" s="11">
        <f>'Historical FS'!G21/('Historical FS'!G72+'Historical FS'!G63)</f>
        <v>3.4849399063942209E-2</v>
      </c>
      <c r="G33" t="s">
        <v>390</v>
      </c>
      <c r="J33" s="96">
        <v>4.2500000000000003E-2</v>
      </c>
    </row>
    <row r="34" spans="2:10" x14ac:dyDescent="0.3">
      <c r="B34" t="s">
        <v>388</v>
      </c>
      <c r="E34" s="80">
        <f>F28</f>
        <v>0.26</v>
      </c>
      <c r="G34" t="s">
        <v>391</v>
      </c>
      <c r="J34" s="41">
        <f>'Equity Risk Premium'!G10</f>
        <v>6.3287499999999983E-2</v>
      </c>
    </row>
    <row r="35" spans="2:10" ht="16.2" x14ac:dyDescent="0.3">
      <c r="B35" s="92" t="s">
        <v>389</v>
      </c>
      <c r="C35" s="92"/>
      <c r="D35" s="92"/>
      <c r="E35" s="97">
        <f>E33*(1-E34)</f>
        <v>2.5788555307317235E-2</v>
      </c>
      <c r="G35" t="s">
        <v>407</v>
      </c>
      <c r="J35" s="66">
        <f>I28</f>
        <v>0.75784678624876523</v>
      </c>
    </row>
    <row r="36" spans="2:10" x14ac:dyDescent="0.3">
      <c r="G36" s="92" t="s">
        <v>386</v>
      </c>
      <c r="H36" s="92"/>
      <c r="I36" s="92"/>
      <c r="J36" s="97">
        <f>J33+(J34*J35)</f>
        <v>9.0462228484718715E-2</v>
      </c>
    </row>
    <row r="38" spans="2:10" x14ac:dyDescent="0.3">
      <c r="B38" s="74" t="s">
        <v>393</v>
      </c>
      <c r="C38" s="74"/>
      <c r="D38" s="74"/>
      <c r="E38" s="74"/>
      <c r="G38" s="74" t="s">
        <v>392</v>
      </c>
      <c r="H38" s="74"/>
      <c r="I38" s="74"/>
      <c r="J38" s="74"/>
    </row>
    <row r="40" spans="2:10" x14ac:dyDescent="0.3">
      <c r="D40" s="74" t="s">
        <v>396</v>
      </c>
      <c r="E40" s="74" t="s">
        <v>363</v>
      </c>
      <c r="G40" t="s">
        <v>397</v>
      </c>
      <c r="J40" s="66">
        <f>J28</f>
        <v>0.55827721894512605</v>
      </c>
    </row>
    <row r="41" spans="2:10" x14ac:dyDescent="0.3">
      <c r="B41" t="s">
        <v>354</v>
      </c>
      <c r="C41" s="16">
        <f>'Historical FS'!G63+'Historical FS'!G72</f>
        <v>61321000000</v>
      </c>
      <c r="D41" s="11">
        <f>C41/C43</f>
        <v>4.6019897449873209E-3</v>
      </c>
      <c r="E41" s="11">
        <f>G27</f>
        <v>0.39072484728126189</v>
      </c>
      <c r="G41" t="s">
        <v>398</v>
      </c>
      <c r="J41" s="41">
        <f>E45</f>
        <v>0.64129457033944337</v>
      </c>
    </row>
    <row r="42" spans="2:10" x14ac:dyDescent="0.3">
      <c r="B42" t="s">
        <v>394</v>
      </c>
      <c r="C42" s="16">
        <f>'Historical FS'!G59*52.55</f>
        <v>13263567450000</v>
      </c>
      <c r="D42" s="11">
        <f>C42/C43</f>
        <v>0.99539801025501273</v>
      </c>
      <c r="E42" s="11">
        <f>E43-E41</f>
        <v>0.60927515271873811</v>
      </c>
      <c r="G42" t="s">
        <v>355</v>
      </c>
      <c r="J42" s="80">
        <f>F28</f>
        <v>0.26</v>
      </c>
    </row>
    <row r="43" spans="2:10" x14ac:dyDescent="0.3">
      <c r="B43" s="92" t="s">
        <v>395</v>
      </c>
      <c r="C43" s="99">
        <f>SUM(C41:C42)</f>
        <v>13324888450000</v>
      </c>
      <c r="D43" s="100">
        <f>C43/C43</f>
        <v>1</v>
      </c>
      <c r="E43" s="101">
        <f>D43</f>
        <v>1</v>
      </c>
      <c r="G43" s="92" t="s">
        <v>392</v>
      </c>
      <c r="H43" s="92"/>
      <c r="I43" s="92"/>
      <c r="J43" s="102">
        <f>J40*(1+(1-J42)*J41)</f>
        <v>0.82321212939287436</v>
      </c>
    </row>
    <row r="45" spans="2:10" x14ac:dyDescent="0.3">
      <c r="B45" t="s">
        <v>403</v>
      </c>
      <c r="D45" s="98">
        <f>D41/D42</f>
        <v>4.6232659675583734E-3</v>
      </c>
      <c r="E45" s="98">
        <f t="shared" ref="E45" si="12">E41/E42</f>
        <v>0.64129457033944337</v>
      </c>
      <c r="G45" s="74" t="s">
        <v>350</v>
      </c>
      <c r="H45" s="93"/>
      <c r="I45" s="93"/>
      <c r="J45" s="93"/>
    </row>
    <row r="47" spans="2:10" x14ac:dyDescent="0.3">
      <c r="B47" s="104" t="s">
        <v>408</v>
      </c>
      <c r="G47" t="s">
        <v>386</v>
      </c>
      <c r="J47" s="41">
        <f>J36</f>
        <v>9.0462228484718715E-2</v>
      </c>
    </row>
    <row r="48" spans="2:10" x14ac:dyDescent="0.3">
      <c r="B48" s="104" t="s">
        <v>409</v>
      </c>
      <c r="G48" t="s">
        <v>399</v>
      </c>
      <c r="J48" s="11">
        <f>E42</f>
        <v>0.60927515271873811</v>
      </c>
    </row>
    <row r="49" spans="2:10" x14ac:dyDescent="0.3">
      <c r="B49" s="104" t="s">
        <v>410</v>
      </c>
    </row>
    <row r="50" spans="2:10" x14ac:dyDescent="0.3">
      <c r="B50" s="104" t="s">
        <v>411</v>
      </c>
      <c r="G50" t="s">
        <v>385</v>
      </c>
      <c r="J50" s="41">
        <f>E35</f>
        <v>2.5788555307317235E-2</v>
      </c>
    </row>
    <row r="51" spans="2:10" x14ac:dyDescent="0.3">
      <c r="G51" t="s">
        <v>400</v>
      </c>
      <c r="J51" s="11">
        <f>E41</f>
        <v>0.39072484728126189</v>
      </c>
    </row>
    <row r="53" spans="2:10" x14ac:dyDescent="0.3">
      <c r="G53" s="95" t="s">
        <v>401</v>
      </c>
      <c r="H53" s="95"/>
      <c r="I53" s="95"/>
      <c r="J53" s="103">
        <f>(J47*J48)+(J50*J51)</f>
        <v>6.5192617409360276E-2</v>
      </c>
    </row>
  </sheetData>
  <mergeCells count="1">
    <mergeCell ref="B2:J2"/>
  </mergeCells>
  <pageMargins left="0.7" right="0.7" top="0.75" bottom="0.75" header="0.3" footer="0.3"/>
  <ignoredErrors>
    <ignoredError sqref="D21:D25" formula="1"/>
  </ignoredErrors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1635-E040-4A99-B325-837D1DDCCDAC}">
  <sheetPr>
    <tabColor rgb="FFFFC000"/>
  </sheetPr>
  <dimension ref="A1"/>
  <sheetViews>
    <sheetView showGridLines="0"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715F-B461-4C9C-9B81-4DB6C3E6C83F}">
  <dimension ref="B2:P61"/>
  <sheetViews>
    <sheetView showGridLines="0" topLeftCell="A42" workbookViewId="0">
      <selection activeCell="B34" sqref="B34:O34"/>
    </sheetView>
  </sheetViews>
  <sheetFormatPr defaultRowHeight="14.4" x14ac:dyDescent="0.3"/>
  <cols>
    <col min="1" max="1" width="1.88671875" customWidth="1"/>
    <col min="11" max="11" width="19.109375" bestFit="1" customWidth="1"/>
    <col min="12" max="12" width="21.33203125" bestFit="1" customWidth="1"/>
    <col min="13" max="14" width="20.21875" bestFit="1" customWidth="1"/>
    <col min="15" max="15" width="21.33203125" bestFit="1" customWidth="1"/>
    <col min="16" max="16" width="17.6640625" bestFit="1" customWidth="1"/>
  </cols>
  <sheetData>
    <row r="2" spans="2:15" x14ac:dyDescent="0.3">
      <c r="B2" s="165" t="s">
        <v>418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</row>
    <row r="3" spans="2:15" x14ac:dyDescent="0.3"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</row>
    <row r="5" spans="2:15" x14ac:dyDescent="0.3">
      <c r="B5" s="2" t="s">
        <v>419</v>
      </c>
      <c r="C5" s="1"/>
      <c r="D5" s="1"/>
      <c r="E5" s="1"/>
      <c r="F5" s="1"/>
      <c r="G5" s="1"/>
      <c r="H5" s="1"/>
      <c r="I5" s="1"/>
      <c r="J5" s="1"/>
      <c r="K5" s="153">
        <f>'Data Sheet'!C9</f>
        <v>43861</v>
      </c>
      <c r="L5" s="153">
        <f>'Data Sheet'!D9</f>
        <v>44227</v>
      </c>
      <c r="M5" s="153">
        <f>'Data Sheet'!E9</f>
        <v>44592</v>
      </c>
      <c r="N5" s="153">
        <f>'Data Sheet'!F9</f>
        <v>44957</v>
      </c>
      <c r="O5" s="153">
        <f>'Data Sheet'!G9</f>
        <v>45322</v>
      </c>
    </row>
    <row r="7" spans="2:15" x14ac:dyDescent="0.3">
      <c r="B7" s="10" t="s">
        <v>420</v>
      </c>
    </row>
    <row r="8" spans="2:15" x14ac:dyDescent="0.3">
      <c r="B8" s="114" t="str">
        <f>'Historical FS'!B47</f>
        <v>Cash and Cash Equivalents</v>
      </c>
      <c r="C8" s="114"/>
      <c r="D8" s="114"/>
      <c r="E8" s="114"/>
      <c r="F8" s="114"/>
      <c r="G8" s="114"/>
      <c r="H8" s="114"/>
      <c r="I8" s="114"/>
      <c r="J8" s="114"/>
      <c r="K8" s="115">
        <f>'Historical FS'!C47</f>
        <v>9465000000</v>
      </c>
      <c r="L8" s="115">
        <f>'Historical FS'!D47</f>
        <v>17741000000</v>
      </c>
      <c r="M8" s="115">
        <f>'Historical FS'!E47</f>
        <v>14760000000</v>
      </c>
      <c r="N8" s="115">
        <f>'Historical FS'!F47</f>
        <v>8625000000</v>
      </c>
      <c r="O8" s="115">
        <f>'Historical FS'!G47</f>
        <v>9867000000</v>
      </c>
    </row>
    <row r="9" spans="2:15" x14ac:dyDescent="0.3">
      <c r="B9" s="114" t="str">
        <f>'Historical FS'!B48</f>
        <v>Inventories</v>
      </c>
      <c r="C9" s="114"/>
      <c r="D9" s="114"/>
      <c r="E9" s="114"/>
      <c r="F9" s="114"/>
      <c r="G9" s="114"/>
      <c r="H9" s="114"/>
      <c r="I9" s="114"/>
      <c r="J9" s="114"/>
      <c r="K9" s="115">
        <f>'Historical FS'!C48</f>
        <v>44435000000</v>
      </c>
      <c r="L9" s="115">
        <f>'Historical FS'!D48</f>
        <v>44949000000</v>
      </c>
      <c r="M9" s="115">
        <f>'Historical FS'!E48</f>
        <v>56511000000</v>
      </c>
      <c r="N9" s="115">
        <f>'Historical FS'!F48</f>
        <v>56576000000</v>
      </c>
      <c r="O9" s="115">
        <f>'Historical FS'!G48</f>
        <v>54892000000</v>
      </c>
    </row>
    <row r="10" spans="2:15" x14ac:dyDescent="0.3">
      <c r="B10" s="114" t="str">
        <f>'Historical FS'!B49</f>
        <v>Trade/Accounts Receivable, Current</v>
      </c>
      <c r="C10" s="114"/>
      <c r="D10" s="114"/>
      <c r="E10" s="114"/>
      <c r="F10" s="114"/>
      <c r="G10" s="114"/>
      <c r="H10" s="114"/>
      <c r="I10" s="114"/>
      <c r="J10" s="114"/>
      <c r="K10" s="115">
        <f>'Historical FS'!C49</f>
        <v>6284000000</v>
      </c>
      <c r="L10" s="115">
        <f>'Historical FS'!D49</f>
        <v>6516000000</v>
      </c>
      <c r="M10" s="115">
        <f>'Historical FS'!E49</f>
        <v>8280000000</v>
      </c>
      <c r="N10" s="115">
        <f>'Historical FS'!F49</f>
        <v>7933000000</v>
      </c>
      <c r="O10" s="115">
        <f>'Historical FS'!G49</f>
        <v>8796000000</v>
      </c>
    </row>
    <row r="11" spans="2:15" x14ac:dyDescent="0.3">
      <c r="B11" s="114" t="str">
        <f>'Historical FS'!B50</f>
        <v>Other Current Assets</v>
      </c>
      <c r="C11" s="114"/>
      <c r="D11" s="114"/>
      <c r="E11" s="114"/>
      <c r="F11" s="114"/>
      <c r="G11" s="114"/>
      <c r="H11" s="114"/>
      <c r="I11" s="114"/>
      <c r="J11" s="114"/>
      <c r="K11" s="115">
        <f>'Historical FS'!C50</f>
        <v>1622000000</v>
      </c>
      <c r="L11" s="115">
        <f>'Historical FS'!D50</f>
        <v>20861000000</v>
      </c>
      <c r="M11" s="115">
        <f>'Historical FS'!E50</f>
        <v>1519000000</v>
      </c>
      <c r="N11" s="115">
        <f>'Historical FS'!F50</f>
        <v>2521000000</v>
      </c>
      <c r="O11" s="115">
        <f>'Historical FS'!G50</f>
        <v>3322000000</v>
      </c>
    </row>
    <row r="12" spans="2:15" x14ac:dyDescent="0.3">
      <c r="B12" s="90" t="str">
        <f>'Historical FS'!B51</f>
        <v>Total Current Assets</v>
      </c>
      <c r="C12" s="90"/>
      <c r="D12" s="90"/>
      <c r="E12" s="90"/>
      <c r="F12" s="90"/>
      <c r="G12" s="90"/>
      <c r="H12" s="90"/>
      <c r="I12" s="90"/>
      <c r="J12" s="90"/>
      <c r="K12" s="116">
        <f>SUM(K8:K11)</f>
        <v>61806000000</v>
      </c>
      <c r="L12" s="116">
        <f t="shared" ref="L12:O12" si="0">SUM(L8:L11)</f>
        <v>90067000000</v>
      </c>
      <c r="M12" s="116">
        <f t="shared" si="0"/>
        <v>81070000000</v>
      </c>
      <c r="N12" s="116">
        <f t="shared" si="0"/>
        <v>75655000000</v>
      </c>
      <c r="O12" s="116">
        <f t="shared" si="0"/>
        <v>76877000000</v>
      </c>
    </row>
    <row r="14" spans="2:15" x14ac:dyDescent="0.3">
      <c r="B14" s="10" t="s">
        <v>421</v>
      </c>
    </row>
    <row r="15" spans="2:15" x14ac:dyDescent="0.3">
      <c r="B15" s="114" t="str">
        <f>'Historical FS'!B61</f>
        <v>Trade and Other Payables, Current</v>
      </c>
      <c r="C15" s="114"/>
      <c r="D15" s="114"/>
      <c r="E15" s="114"/>
      <c r="F15" s="114"/>
      <c r="G15" s="114"/>
      <c r="H15" s="114"/>
      <c r="I15" s="114"/>
      <c r="J15" s="114"/>
      <c r="K15" s="115">
        <f>'Historical FS'!C61</f>
        <v>50292000000</v>
      </c>
      <c r="L15" s="115">
        <f>'Historical FS'!D61</f>
        <v>52711000000</v>
      </c>
      <c r="M15" s="115">
        <f>'Historical FS'!E61</f>
        <v>59359000000</v>
      </c>
      <c r="N15" s="115">
        <f>'Historical FS'!F61</f>
        <v>57894000000</v>
      </c>
      <c r="O15" s="115">
        <f>'Historical FS'!G61</f>
        <v>60578000000</v>
      </c>
    </row>
    <row r="16" spans="2:15" x14ac:dyDescent="0.3">
      <c r="B16" s="114" t="str">
        <f>'Historical FS'!B62</f>
        <v>Accrued Expenses, Current</v>
      </c>
      <c r="C16" s="114"/>
      <c r="D16" s="114"/>
      <c r="E16" s="114"/>
      <c r="F16" s="114"/>
      <c r="G16" s="114"/>
      <c r="H16" s="114"/>
      <c r="I16" s="114"/>
      <c r="J16" s="114"/>
      <c r="K16" s="115">
        <f>'Historical FS'!C62</f>
        <v>17267000000</v>
      </c>
      <c r="L16" s="115">
        <f>'Historical FS'!D62</f>
        <v>19594000000</v>
      </c>
      <c r="M16" s="115">
        <f>'Historical FS'!E62</f>
        <v>20233000000</v>
      </c>
      <c r="N16" s="115">
        <f>'Historical FS'!F62</f>
        <v>25213000000</v>
      </c>
      <c r="O16" s="115">
        <f>'Historical FS'!G62</f>
        <v>22636000000</v>
      </c>
    </row>
    <row r="17" spans="2:16" x14ac:dyDescent="0.3">
      <c r="B17" s="114" t="str">
        <f>'Historical FS'!B63</f>
        <v>Current Debt and Capital Lease Obligation</v>
      </c>
      <c r="C17" s="114"/>
      <c r="D17" s="114"/>
      <c r="E17" s="114"/>
      <c r="F17" s="114"/>
      <c r="G17" s="114"/>
      <c r="H17" s="114"/>
      <c r="I17" s="114"/>
      <c r="J17" s="114"/>
      <c r="K17" s="115">
        <f>'Historical FS'!C63</f>
        <v>8241000000</v>
      </c>
      <c r="L17" s="115">
        <f>'Historical FS'!D63</f>
        <v>5296000000</v>
      </c>
      <c r="M17" s="115">
        <f>'Historical FS'!E63</f>
        <v>5207000000</v>
      </c>
      <c r="N17" s="115">
        <f>'Historical FS'!F63</f>
        <v>6603000000</v>
      </c>
      <c r="O17" s="115">
        <f>'Historical FS'!G63</f>
        <v>6537000000</v>
      </c>
    </row>
    <row r="18" spans="2:16" x14ac:dyDescent="0.3">
      <c r="B18" s="114" t="str">
        <f>'Historical FS'!B64</f>
        <v>Deferred Liabilities, Current</v>
      </c>
      <c r="C18" s="114"/>
      <c r="D18" s="114"/>
      <c r="E18" s="114"/>
      <c r="F18" s="114"/>
      <c r="G18" s="114"/>
      <c r="H18" s="114"/>
      <c r="I18" s="114"/>
      <c r="J18" s="114"/>
      <c r="K18" s="115">
        <f>'Historical FS'!C64</f>
        <v>1990000000</v>
      </c>
      <c r="L18" s="115">
        <f>'Historical FS'!D64</f>
        <v>2310000000</v>
      </c>
      <c r="M18" s="115">
        <f>'Historical FS'!E64</f>
        <v>2559000000</v>
      </c>
      <c r="N18" s="115">
        <f>'Historical FS'!F64</f>
        <v>2488000000</v>
      </c>
      <c r="O18" s="115">
        <f>'Historical FS'!G64</f>
        <v>2664000000</v>
      </c>
    </row>
    <row r="19" spans="2:16" x14ac:dyDescent="0.3">
      <c r="B19" s="114" t="str">
        <f>'Historical FS'!B65</f>
        <v>Discontinued Operations Liabilities, Current</v>
      </c>
      <c r="C19" s="114"/>
      <c r="D19" s="114"/>
      <c r="E19" s="114"/>
      <c r="F19" s="114"/>
      <c r="G19" s="114"/>
      <c r="H19" s="114"/>
      <c r="I19" s="114"/>
      <c r="J19" s="114"/>
      <c r="K19" s="115">
        <f>'Historical FS'!C65</f>
        <v>0</v>
      </c>
      <c r="L19" s="115">
        <f>'Historical FS'!D65</f>
        <v>12734000000</v>
      </c>
      <c r="M19" s="115">
        <f>'Historical FS'!E65</f>
        <v>21000000</v>
      </c>
      <c r="N19" s="115">
        <f>'Historical FS'!F65</f>
        <v>0</v>
      </c>
      <c r="O19" s="115">
        <f>'Historical FS'!G65</f>
        <v>0</v>
      </c>
    </row>
    <row r="20" spans="2:16" x14ac:dyDescent="0.3">
      <c r="B20" s="90" t="str">
        <f>'Historical FS'!B66</f>
        <v>Total Current Liabilities</v>
      </c>
      <c r="C20" s="90"/>
      <c r="D20" s="90"/>
      <c r="E20" s="90"/>
      <c r="F20" s="90"/>
      <c r="G20" s="90"/>
      <c r="H20" s="90"/>
      <c r="I20" s="90"/>
      <c r="J20" s="90"/>
      <c r="K20" s="116">
        <f>SUM(K15:K19)</f>
        <v>77790000000</v>
      </c>
      <c r="L20" s="116">
        <f t="shared" ref="L20:O20" si="1">SUM(L15:L19)</f>
        <v>92645000000</v>
      </c>
      <c r="M20" s="116">
        <f t="shared" si="1"/>
        <v>87379000000</v>
      </c>
      <c r="N20" s="116">
        <f t="shared" si="1"/>
        <v>92198000000</v>
      </c>
      <c r="O20" s="116">
        <f t="shared" si="1"/>
        <v>92415000000</v>
      </c>
    </row>
    <row r="22" spans="2:16" ht="15" thickBot="1" x14ac:dyDescent="0.35">
      <c r="B22" s="111" t="s">
        <v>422</v>
      </c>
      <c r="C22" s="111"/>
      <c r="D22" s="111"/>
      <c r="E22" s="111"/>
      <c r="F22" s="111"/>
      <c r="G22" s="111"/>
      <c r="H22" s="111"/>
      <c r="I22" s="111"/>
      <c r="J22" s="111"/>
      <c r="K22" s="112">
        <f>K12-K20</f>
        <v>-15984000000</v>
      </c>
      <c r="L22" s="112">
        <f t="shared" ref="L22:O22" si="2">L12-L20</f>
        <v>-2578000000</v>
      </c>
      <c r="M22" s="112">
        <f t="shared" si="2"/>
        <v>-6309000000</v>
      </c>
      <c r="N22" s="112">
        <f t="shared" si="2"/>
        <v>-16543000000</v>
      </c>
      <c r="O22" s="112">
        <f t="shared" si="2"/>
        <v>-15538000000</v>
      </c>
    </row>
    <row r="24" spans="2:16" x14ac:dyDescent="0.3">
      <c r="B24" s="10" t="s">
        <v>423</v>
      </c>
    </row>
    <row r="25" spans="2:16" x14ac:dyDescent="0.3">
      <c r="B25" s="114" t="str">
        <f>'Historical FS'!B53</f>
        <v>Gross Property, Plant and Equipment</v>
      </c>
      <c r="C25" s="114"/>
      <c r="D25" s="114"/>
      <c r="E25" s="114"/>
      <c r="F25" s="114"/>
      <c r="G25" s="114"/>
      <c r="H25" s="114"/>
      <c r="I25" s="114"/>
      <c r="J25" s="114"/>
      <c r="K25" s="115">
        <f>'Historical FS'!C53</f>
        <v>216869000000</v>
      </c>
      <c r="L25" s="115">
        <f>'Historical FS'!D53</f>
        <v>198218000000</v>
      </c>
      <c r="M25" s="115">
        <f>'Historical FS'!E53</f>
        <v>207433000000</v>
      </c>
      <c r="N25" s="115">
        <f>'Historical FS'!F53</f>
        <v>220844000000</v>
      </c>
      <c r="O25" s="115">
        <f>'Historical FS'!G53</f>
        <v>239387000000</v>
      </c>
    </row>
    <row r="26" spans="2:16" x14ac:dyDescent="0.3">
      <c r="B26" s="114" t="str">
        <f>'Historical FS'!B54</f>
        <v>Accumulated Depreciation and Impairment</v>
      </c>
      <c r="C26" s="114"/>
      <c r="D26" s="114"/>
      <c r="E26" s="114"/>
      <c r="F26" s="114"/>
      <c r="G26" s="114"/>
      <c r="H26" s="114"/>
      <c r="I26" s="114"/>
      <c r="J26" s="114"/>
      <c r="K26" s="115">
        <f>'Historical FS'!C54</f>
        <v>-89820000000</v>
      </c>
      <c r="L26" s="115">
        <f>'Historical FS'!D54</f>
        <v>-88370000000</v>
      </c>
      <c r="M26" s="115">
        <f>'Historical FS'!E54</f>
        <v>-94809000000</v>
      </c>
      <c r="N26" s="115">
        <f>'Historical FS'!F54</f>
        <v>-101610000000</v>
      </c>
      <c r="O26" s="115">
        <f>'Historical FS'!G54</f>
        <v>-109049000000</v>
      </c>
    </row>
    <row r="27" spans="2:16" x14ac:dyDescent="0.3">
      <c r="B27" s="114" t="str">
        <f>'Historical FS'!B55</f>
        <v>Net Intangible Assets</v>
      </c>
      <c r="C27" s="114"/>
      <c r="D27" s="114"/>
      <c r="E27" s="114"/>
      <c r="F27" s="114"/>
      <c r="G27" s="114"/>
      <c r="H27" s="114"/>
      <c r="I27" s="114"/>
      <c r="J27" s="114"/>
      <c r="K27" s="115">
        <f>'Historical FS'!C55</f>
        <v>31073000000</v>
      </c>
      <c r="L27" s="115">
        <f>'Historical FS'!D55</f>
        <v>28983000000</v>
      </c>
      <c r="M27" s="115">
        <f>'Historical FS'!E55</f>
        <v>29014000000</v>
      </c>
      <c r="N27" s="115">
        <f>'Historical FS'!F55</f>
        <v>28174000000</v>
      </c>
      <c r="O27" s="115">
        <f>'Historical FS'!G55</f>
        <v>28113000000</v>
      </c>
    </row>
    <row r="28" spans="2:16" x14ac:dyDescent="0.3">
      <c r="B28" s="117" t="str">
        <f>'Historical FS'!B56</f>
        <v>Other Non-Current Assets</v>
      </c>
      <c r="C28" s="117"/>
      <c r="D28" s="117"/>
      <c r="E28" s="117"/>
      <c r="F28" s="117"/>
      <c r="G28" s="117"/>
      <c r="H28" s="117"/>
      <c r="I28" s="117"/>
      <c r="J28" s="117"/>
      <c r="K28" s="118">
        <f>'Historical FS'!C56</f>
        <v>16567000000</v>
      </c>
      <c r="L28" s="118">
        <f>'Historical FS'!D56</f>
        <v>23598000000</v>
      </c>
      <c r="M28" s="118">
        <f>'Historical FS'!E56</f>
        <v>22152000000</v>
      </c>
      <c r="N28" s="118">
        <f>'Historical FS'!F56</f>
        <v>20134000000</v>
      </c>
      <c r="O28" s="118">
        <f>'Historical FS'!G56</f>
        <v>17071000000</v>
      </c>
    </row>
    <row r="29" spans="2:16" ht="15" thickBot="1" x14ac:dyDescent="0.35">
      <c r="B29" s="111" t="str">
        <f>'Historical FS'!B57</f>
        <v>Total Non-Current Assets</v>
      </c>
      <c r="C29" s="111"/>
      <c r="D29" s="111"/>
      <c r="E29" s="111"/>
      <c r="F29" s="111"/>
      <c r="G29" s="111"/>
      <c r="H29" s="111"/>
      <c r="I29" s="111"/>
      <c r="J29" s="111"/>
      <c r="K29" s="112">
        <f>SUM(K25:K28)</f>
        <v>174689000000</v>
      </c>
      <c r="L29" s="112">
        <f t="shared" ref="L29:O29" si="3">SUM(L25:L28)</f>
        <v>162429000000</v>
      </c>
      <c r="M29" s="112">
        <f t="shared" si="3"/>
        <v>163790000000</v>
      </c>
      <c r="N29" s="112">
        <f t="shared" si="3"/>
        <v>167542000000</v>
      </c>
      <c r="O29" s="112">
        <f t="shared" si="3"/>
        <v>175522000000</v>
      </c>
    </row>
    <row r="31" spans="2:16" x14ac:dyDescent="0.3">
      <c r="B31" s="10" t="s">
        <v>424</v>
      </c>
      <c r="C31" s="10"/>
      <c r="D31" s="10"/>
      <c r="E31" s="10"/>
      <c r="F31" s="10"/>
      <c r="G31" s="10"/>
      <c r="H31" s="10"/>
      <c r="I31" s="10"/>
      <c r="J31" s="10"/>
      <c r="K31" s="24">
        <f>K29+K22</f>
        <v>158705000000</v>
      </c>
      <c r="L31" s="24">
        <f t="shared" ref="L31:O31" si="4">L29+L22</f>
        <v>159851000000</v>
      </c>
      <c r="M31" s="24">
        <f t="shared" si="4"/>
        <v>157481000000</v>
      </c>
      <c r="N31" s="24">
        <f t="shared" si="4"/>
        <v>150999000000</v>
      </c>
      <c r="O31" s="24">
        <f t="shared" si="4"/>
        <v>159984000000</v>
      </c>
    </row>
    <row r="32" spans="2:16" x14ac:dyDescent="0.3">
      <c r="B32" s="10" t="s">
        <v>425</v>
      </c>
      <c r="C32" s="10"/>
      <c r="D32" s="10"/>
      <c r="E32" s="10"/>
      <c r="F32" s="10"/>
      <c r="G32" s="10"/>
      <c r="H32" s="10"/>
      <c r="I32" s="10"/>
      <c r="J32" s="10"/>
      <c r="K32" s="24">
        <f>'Historical FS'!C27+'Historical FS'!C21</f>
        <v>9568000000</v>
      </c>
      <c r="L32" s="24">
        <f>'Historical FS'!D27+'Historical FS'!D21</f>
        <v>11348000000</v>
      </c>
      <c r="M32" s="24">
        <f>'Historical FS'!E27+'Historical FS'!E21</f>
        <v>15242000000</v>
      </c>
      <c r="N32" s="24">
        <f>'Historical FS'!F27+'Historical FS'!F21</f>
        <v>20428000000</v>
      </c>
      <c r="O32" s="24">
        <f>'Historical FS'!G27+'Historical FS'!G21</f>
        <v>15112000000</v>
      </c>
      <c r="P32" s="16"/>
    </row>
    <row r="34" spans="2:16" ht="15" thickBot="1" x14ac:dyDescent="0.35">
      <c r="B34" s="111" t="s">
        <v>426</v>
      </c>
      <c r="C34" s="111"/>
      <c r="D34" s="111"/>
      <c r="E34" s="111"/>
      <c r="F34" s="111"/>
      <c r="G34" s="111"/>
      <c r="H34" s="111"/>
      <c r="I34" s="111"/>
      <c r="J34" s="111"/>
      <c r="K34" s="113">
        <f>K32/K31</f>
        <v>6.0287955640969094E-2</v>
      </c>
      <c r="L34" s="113">
        <f t="shared" ref="L34:O34" si="5">L32/L31</f>
        <v>7.0991110471626706E-2</v>
      </c>
      <c r="M34" s="113">
        <f t="shared" si="5"/>
        <v>9.6786278979686433E-2</v>
      </c>
      <c r="N34" s="113">
        <f t="shared" si="5"/>
        <v>0.13528566414347115</v>
      </c>
      <c r="O34" s="113">
        <f t="shared" si="5"/>
        <v>9.4459445944594461E-2</v>
      </c>
      <c r="P34" s="121"/>
    </row>
    <row r="37" spans="2:16" x14ac:dyDescent="0.3">
      <c r="B37" s="2" t="s">
        <v>427</v>
      </c>
      <c r="C37" s="2"/>
      <c r="D37" s="2"/>
      <c r="E37" s="2"/>
      <c r="F37" s="2"/>
      <c r="G37" s="2"/>
      <c r="H37" s="2"/>
      <c r="I37" s="2"/>
      <c r="J37" s="2"/>
      <c r="K37" s="153">
        <f>'Data Sheet'!C9</f>
        <v>43861</v>
      </c>
      <c r="L37" s="153">
        <f>'Data Sheet'!D9</f>
        <v>44227</v>
      </c>
      <c r="M37" s="153">
        <f>'Data Sheet'!E9</f>
        <v>44592</v>
      </c>
      <c r="N37" s="153">
        <f>'Data Sheet'!F9</f>
        <v>44957</v>
      </c>
      <c r="O37" s="153">
        <f>'Data Sheet'!G9</f>
        <v>45322</v>
      </c>
    </row>
    <row r="39" spans="2:16" x14ac:dyDescent="0.3">
      <c r="B39" s="93" t="s">
        <v>428</v>
      </c>
      <c r="C39" s="93"/>
      <c r="D39" s="93"/>
      <c r="E39" s="93"/>
      <c r="F39" s="93"/>
      <c r="G39" s="93"/>
      <c r="H39" s="93"/>
      <c r="I39" s="93"/>
      <c r="J39" s="93"/>
      <c r="K39" s="119">
        <f>-'Data Sheet'!C204</f>
        <v>10384000000</v>
      </c>
      <c r="L39" s="119">
        <f>-'Data Sheet'!D204</f>
        <v>10049000000</v>
      </c>
      <c r="M39" s="119">
        <f>-'Data Sheet'!E204</f>
        <v>12712000000</v>
      </c>
      <c r="N39" s="119">
        <f>-'Data Sheet'!F204</f>
        <v>16687000000</v>
      </c>
      <c r="O39" s="119">
        <f>-'Data Sheet'!G204</f>
        <v>20356000000</v>
      </c>
    </row>
    <row r="40" spans="2:16" x14ac:dyDescent="0.3">
      <c r="B40" s="117" t="s">
        <v>429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8">
        <f>L22-K22</f>
        <v>13406000000</v>
      </c>
      <c r="M40" s="118">
        <f t="shared" ref="M40:O40" si="6">M22-L22</f>
        <v>-3731000000</v>
      </c>
      <c r="N40" s="118">
        <f t="shared" si="6"/>
        <v>-10234000000</v>
      </c>
      <c r="O40" s="118">
        <f t="shared" si="6"/>
        <v>1005000000</v>
      </c>
    </row>
    <row r="43" spans="2:16" x14ac:dyDescent="0.3">
      <c r="B43" s="93" t="s">
        <v>425</v>
      </c>
      <c r="C43" s="93"/>
      <c r="D43" s="93"/>
      <c r="E43" s="93"/>
      <c r="F43" s="93"/>
      <c r="G43" s="93"/>
      <c r="H43" s="93"/>
      <c r="I43" s="93"/>
      <c r="J43" s="93"/>
      <c r="K43" s="119">
        <f>K32</f>
        <v>9568000000</v>
      </c>
      <c r="L43" s="119">
        <f t="shared" ref="L43:O43" si="7">L32</f>
        <v>11348000000</v>
      </c>
      <c r="M43" s="119">
        <f t="shared" si="7"/>
        <v>15242000000</v>
      </c>
      <c r="N43" s="119">
        <f t="shared" si="7"/>
        <v>20428000000</v>
      </c>
      <c r="O43" s="119">
        <f t="shared" si="7"/>
        <v>15112000000</v>
      </c>
    </row>
    <row r="44" spans="2:16" x14ac:dyDescent="0.3">
      <c r="B44" s="117" t="s">
        <v>430</v>
      </c>
      <c r="C44" s="117"/>
      <c r="D44" s="117"/>
      <c r="E44" s="117"/>
      <c r="F44" s="117"/>
      <c r="G44" s="117"/>
      <c r="H44" s="117"/>
      <c r="I44" s="117"/>
      <c r="J44" s="117"/>
      <c r="K44" s="120">
        <f>WACC!$J$42</f>
        <v>0.26</v>
      </c>
      <c r="L44" s="120">
        <f>WACC!$J$42</f>
        <v>0.26</v>
      </c>
      <c r="M44" s="120">
        <f>WACC!$J$42</f>
        <v>0.26</v>
      </c>
      <c r="N44" s="120">
        <f>WACC!$J$42</f>
        <v>0.26</v>
      </c>
      <c r="O44" s="120">
        <f>WACC!$J$42</f>
        <v>0.26</v>
      </c>
    </row>
    <row r="45" spans="2:16" x14ac:dyDescent="0.3">
      <c r="B45" s="117" t="s">
        <v>431</v>
      </c>
      <c r="C45" s="117"/>
      <c r="D45" s="117"/>
      <c r="E45" s="117"/>
      <c r="F45" s="117"/>
      <c r="G45" s="117"/>
      <c r="H45" s="117"/>
      <c r="I45" s="117"/>
      <c r="J45" s="117"/>
      <c r="K45" s="118">
        <f>K43*(1-K44)</f>
        <v>7080320000</v>
      </c>
      <c r="L45" s="118">
        <f t="shared" ref="L45:O45" si="8">L43*(1-L44)</f>
        <v>8397520000</v>
      </c>
      <c r="M45" s="118">
        <f t="shared" si="8"/>
        <v>11279080000</v>
      </c>
      <c r="N45" s="118">
        <f t="shared" si="8"/>
        <v>15116720000</v>
      </c>
      <c r="O45" s="118">
        <f t="shared" si="8"/>
        <v>11182880000</v>
      </c>
    </row>
    <row r="47" spans="2:16" x14ac:dyDescent="0.3">
      <c r="B47" t="s">
        <v>432</v>
      </c>
      <c r="L47" s="16">
        <f>SUM(L39:L40)</f>
        <v>23455000000</v>
      </c>
      <c r="M47" s="16">
        <f t="shared" ref="M47:O47" si="9">SUM(M39:M40)</f>
        <v>8981000000</v>
      </c>
      <c r="N47" s="16">
        <f t="shared" si="9"/>
        <v>6453000000</v>
      </c>
      <c r="O47" s="16">
        <f t="shared" si="9"/>
        <v>21361000000</v>
      </c>
    </row>
    <row r="48" spans="2:16" ht="15" thickBot="1" x14ac:dyDescent="0.35">
      <c r="B48" s="111" t="s">
        <v>433</v>
      </c>
      <c r="C48" s="111"/>
      <c r="D48" s="111"/>
      <c r="E48" s="111"/>
      <c r="F48" s="111"/>
      <c r="G48" s="111"/>
      <c r="H48" s="111"/>
      <c r="I48" s="111"/>
      <c r="J48" s="111"/>
      <c r="K48" s="111"/>
      <c r="L48" s="113">
        <f>L47/L45</f>
        <v>2.7930865303089485</v>
      </c>
      <c r="M48" s="113">
        <f t="shared" ref="M48:O48" si="10">M47/M45</f>
        <v>0.7962528858736706</v>
      </c>
      <c r="N48" s="113">
        <f t="shared" si="10"/>
        <v>0.42687831751861516</v>
      </c>
      <c r="O48" s="113">
        <f t="shared" si="10"/>
        <v>1.9101519465468646</v>
      </c>
    </row>
    <row r="50" spans="2:15" x14ac:dyDescent="0.3">
      <c r="N50" s="95" t="s">
        <v>434</v>
      </c>
      <c r="O50" s="107">
        <f>AVERAGE(L48:O48)</f>
        <v>1.4815924200620247</v>
      </c>
    </row>
    <row r="51" spans="2:15" x14ac:dyDescent="0.3">
      <c r="N51" s="95" t="s">
        <v>435</v>
      </c>
      <c r="O51" s="107">
        <f>MEDIAN(L48:O48)</f>
        <v>1.3532024162102676</v>
      </c>
    </row>
    <row r="53" spans="2:15" x14ac:dyDescent="0.3">
      <c r="B53" s="2" t="s">
        <v>436</v>
      </c>
      <c r="C53" s="2"/>
      <c r="D53" s="2"/>
      <c r="E53" s="2"/>
      <c r="F53" s="2"/>
      <c r="G53" s="2"/>
      <c r="H53" s="2"/>
      <c r="I53" s="2"/>
      <c r="J53" s="2"/>
      <c r="K53" s="153">
        <f>'Data Sheet'!C9</f>
        <v>43861</v>
      </c>
      <c r="L53" s="153">
        <f>'Data Sheet'!D9</f>
        <v>44227</v>
      </c>
      <c r="M53" s="153">
        <f>'Data Sheet'!E9</f>
        <v>44592</v>
      </c>
      <c r="N53" s="153">
        <f>'Data Sheet'!F9</f>
        <v>44957</v>
      </c>
      <c r="O53" s="153">
        <f>'Data Sheet'!G9</f>
        <v>45322</v>
      </c>
    </row>
    <row r="55" spans="2:15" x14ac:dyDescent="0.3">
      <c r="B55" t="s">
        <v>433</v>
      </c>
      <c r="L55" s="11">
        <f>L48</f>
        <v>2.7930865303089485</v>
      </c>
      <c r="M55" s="11">
        <f t="shared" ref="M55:O55" si="11">M48</f>
        <v>0.7962528858736706</v>
      </c>
      <c r="N55" s="11">
        <f t="shared" si="11"/>
        <v>0.42687831751861516</v>
      </c>
      <c r="O55" s="11">
        <f t="shared" si="11"/>
        <v>1.9101519465468646</v>
      </c>
    </row>
    <row r="56" spans="2:15" x14ac:dyDescent="0.3">
      <c r="B56" s="117" t="s">
        <v>426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23">
        <f>L34</f>
        <v>7.0991110471626706E-2</v>
      </c>
      <c r="M56" s="123">
        <f t="shared" ref="M56:O56" si="12">M34</f>
        <v>9.6786278979686433E-2</v>
      </c>
      <c r="N56" s="123">
        <f t="shared" si="12"/>
        <v>0.13528566414347115</v>
      </c>
      <c r="O56" s="123">
        <f t="shared" si="12"/>
        <v>9.4459445944594461E-2</v>
      </c>
    </row>
    <row r="58" spans="2:15" ht="15" thickBot="1" x14ac:dyDescent="0.35">
      <c r="B58" s="111" t="s">
        <v>418</v>
      </c>
      <c r="C58" s="111"/>
      <c r="D58" s="111"/>
      <c r="E58" s="111"/>
      <c r="F58" s="111"/>
      <c r="G58" s="111"/>
      <c r="H58" s="111"/>
      <c r="I58" s="111"/>
      <c r="J58" s="111"/>
      <c r="K58" s="111"/>
      <c r="L58" s="122">
        <f>L55*L56</f>
        <v>0.1982843144299751</v>
      </c>
      <c r="M58" s="122">
        <f t="shared" ref="M58:O58" si="13">M55*M56</f>
        <v>7.7066353950549504E-2</v>
      </c>
      <c r="N58" s="122">
        <f t="shared" si="13"/>
        <v>5.775051669395341E-2</v>
      </c>
      <c r="O58" s="122">
        <f t="shared" si="13"/>
        <v>0.18043189454080544</v>
      </c>
    </row>
    <row r="60" spans="2:15" x14ac:dyDescent="0.3">
      <c r="N60" s="95" t="s">
        <v>434</v>
      </c>
      <c r="O60" s="107">
        <f>AVERAGE(L58:O58)</f>
        <v>0.12838326990382087</v>
      </c>
    </row>
    <row r="61" spans="2:15" x14ac:dyDescent="0.3">
      <c r="N61" s="95" t="s">
        <v>435</v>
      </c>
      <c r="O61" s="107">
        <f>MEDIAN(L58:O58)</f>
        <v>0.12874912424567747</v>
      </c>
    </row>
  </sheetData>
  <mergeCells count="1">
    <mergeCell ref="B2:O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B233-EEA1-4069-AC28-B2AA7A3C6A38}">
  <dimension ref="B2:O46"/>
  <sheetViews>
    <sheetView showGridLines="0" workbookViewId="0">
      <selection activeCell="K43" sqref="K43"/>
    </sheetView>
  </sheetViews>
  <sheetFormatPr defaultRowHeight="14.4" x14ac:dyDescent="0.3"/>
  <cols>
    <col min="1" max="1" width="1.88671875" customWidth="1"/>
    <col min="10" max="10" width="19.109375" bestFit="1" customWidth="1"/>
    <col min="11" max="11" width="18.21875" bestFit="1" customWidth="1"/>
    <col min="12" max="15" width="18.109375" bestFit="1" customWidth="1"/>
  </cols>
  <sheetData>
    <row r="2" spans="2:15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2:15" x14ac:dyDescent="0.3">
      <c r="B5" s="2" t="s">
        <v>437</v>
      </c>
      <c r="C5" s="2"/>
      <c r="D5" s="2"/>
      <c r="E5" s="2"/>
      <c r="F5" s="2"/>
      <c r="G5" s="2"/>
      <c r="H5" s="2"/>
      <c r="I5" s="2"/>
      <c r="J5" s="164">
        <f>YEAR('Historical FS'!G3)</f>
        <v>2024</v>
      </c>
      <c r="K5" s="124">
        <f>J5+1</f>
        <v>2025</v>
      </c>
      <c r="L5" s="124">
        <f t="shared" ref="L5:O5" si="0">K5+1</f>
        <v>2026</v>
      </c>
      <c r="M5" s="124">
        <f t="shared" si="0"/>
        <v>2027</v>
      </c>
      <c r="N5" s="124">
        <f t="shared" si="0"/>
        <v>2028</v>
      </c>
      <c r="O5" s="124">
        <f t="shared" si="0"/>
        <v>2029</v>
      </c>
    </row>
    <row r="7" spans="2:15" x14ac:dyDescent="0.3">
      <c r="B7" t="s">
        <v>425</v>
      </c>
      <c r="J7" s="126">
        <f>'Intrinsic Growth'!O43</f>
        <v>15112000000</v>
      </c>
      <c r="K7" s="16">
        <f>J7*(1+$J$23)</f>
        <v>15520023999.999998</v>
      </c>
      <c r="L7" s="16">
        <f t="shared" ref="L7:O7" si="1">K7*(1+$J$23)</f>
        <v>15939064647.999996</v>
      </c>
      <c r="M7" s="16">
        <f t="shared" si="1"/>
        <v>16369419393.495995</v>
      </c>
      <c r="N7" s="16">
        <f t="shared" si="1"/>
        <v>16811393717.120384</v>
      </c>
      <c r="O7" s="16">
        <f t="shared" si="1"/>
        <v>17265301347.482632</v>
      </c>
    </row>
    <row r="8" spans="2:15" x14ac:dyDescent="0.3">
      <c r="J8" s="94"/>
    </row>
    <row r="9" spans="2:15" x14ac:dyDescent="0.3">
      <c r="B9" t="s">
        <v>246</v>
      </c>
      <c r="J9" s="127">
        <f>'Intrinsic Growth'!O44</f>
        <v>0.26</v>
      </c>
      <c r="K9" s="46">
        <f>J9</f>
        <v>0.26</v>
      </c>
      <c r="L9" s="46">
        <f t="shared" ref="L9:O9" si="2">K9</f>
        <v>0.26</v>
      </c>
      <c r="M9" s="46">
        <f t="shared" si="2"/>
        <v>0.26</v>
      </c>
      <c r="N9" s="46">
        <f t="shared" si="2"/>
        <v>0.26</v>
      </c>
      <c r="O9" s="46">
        <f t="shared" si="2"/>
        <v>0.26</v>
      </c>
    </row>
    <row r="10" spans="2:15" x14ac:dyDescent="0.3">
      <c r="J10" s="94"/>
    </row>
    <row r="11" spans="2:15" x14ac:dyDescent="0.3">
      <c r="B11" t="s">
        <v>438</v>
      </c>
      <c r="J11" s="126">
        <f>J7*(1-J9)</f>
        <v>11182880000</v>
      </c>
      <c r="K11" s="16">
        <f t="shared" ref="K11:O11" si="3">K7*(1-K9)</f>
        <v>11484817759.999998</v>
      </c>
      <c r="L11" s="16">
        <f t="shared" si="3"/>
        <v>11794907839.519997</v>
      </c>
      <c r="M11" s="16">
        <f t="shared" si="3"/>
        <v>12113370351.187037</v>
      </c>
      <c r="N11" s="16">
        <f t="shared" si="3"/>
        <v>12440431350.669085</v>
      </c>
      <c r="O11" s="16">
        <f t="shared" si="3"/>
        <v>12776322997.137148</v>
      </c>
    </row>
    <row r="12" spans="2:15" x14ac:dyDescent="0.3">
      <c r="J12" s="94"/>
    </row>
    <row r="13" spans="2:15" x14ac:dyDescent="0.3">
      <c r="B13" t="s">
        <v>439</v>
      </c>
      <c r="J13" s="98">
        <f>'Intrinsic Growth'!O48</f>
        <v>1.9101519465468646</v>
      </c>
      <c r="K13" s="46">
        <f>J13+(($J$13-$N$13)/4)</f>
        <v>2.1019899331835807</v>
      </c>
      <c r="L13" s="46">
        <f t="shared" ref="L13:M13" si="4">K13+(($J$13-$N$13)/4)</f>
        <v>2.2938279198202967</v>
      </c>
      <c r="M13" s="46">
        <f t="shared" si="4"/>
        <v>2.4856659064570126</v>
      </c>
      <c r="N13" s="96">
        <v>1.1428</v>
      </c>
      <c r="O13" s="41">
        <f>N13</f>
        <v>1.1428</v>
      </c>
    </row>
    <row r="14" spans="2:15" x14ac:dyDescent="0.3">
      <c r="J14" s="94"/>
    </row>
    <row r="15" spans="2:15" x14ac:dyDescent="0.3">
      <c r="B15" t="s">
        <v>440</v>
      </c>
      <c r="J15" s="126">
        <f>J11*J13</f>
        <v>21361000000</v>
      </c>
      <c r="K15" s="16">
        <f t="shared" ref="K15:O15" si="5">K11*K13</f>
        <v>24140971315.967999</v>
      </c>
      <c r="L15" s="16">
        <f t="shared" si="5"/>
        <v>27055488913.998264</v>
      </c>
      <c r="M15" s="16">
        <f t="shared" si="5"/>
        <v>30109791694.232826</v>
      </c>
      <c r="N15" s="16">
        <f t="shared" si="5"/>
        <v>14216924947.54463</v>
      </c>
      <c r="O15" s="16">
        <f t="shared" si="5"/>
        <v>14600781921.128334</v>
      </c>
    </row>
    <row r="16" spans="2:15" x14ac:dyDescent="0.3">
      <c r="J16" s="94"/>
    </row>
    <row r="17" spans="2:15" x14ac:dyDescent="0.3">
      <c r="B17" t="s">
        <v>458</v>
      </c>
      <c r="J17" s="94"/>
      <c r="K17" s="66">
        <v>1</v>
      </c>
      <c r="L17" s="66">
        <f>K17+1</f>
        <v>2</v>
      </c>
      <c r="M17" s="66">
        <f t="shared" ref="M17:O17" si="6">L17+1</f>
        <v>3</v>
      </c>
      <c r="N17" s="66">
        <f t="shared" si="6"/>
        <v>4</v>
      </c>
      <c r="O17" s="66">
        <f t="shared" si="6"/>
        <v>5</v>
      </c>
    </row>
    <row r="18" spans="2:15" x14ac:dyDescent="0.3">
      <c r="B18" t="s">
        <v>441</v>
      </c>
      <c r="J18" s="94"/>
      <c r="K18" s="78">
        <f>1/(1+$J$24)^K17</f>
        <v>0.93879734393211034</v>
      </c>
      <c r="L18" s="78">
        <f t="shared" ref="L18:O18" si="7">1/(1+$J$24)^L17</f>
        <v>0.88134045297398511</v>
      </c>
      <c r="M18" s="78">
        <f t="shared" si="7"/>
        <v>0.82740007635190027</v>
      </c>
      <c r="N18" s="78">
        <f t="shared" si="7"/>
        <v>0.77676099404838927</v>
      </c>
      <c r="O18" s="78">
        <f t="shared" si="7"/>
        <v>0.72922115808269361</v>
      </c>
    </row>
    <row r="19" spans="2:15" ht="1.2" customHeight="1" x14ac:dyDescent="0.3">
      <c r="J19" s="94"/>
    </row>
    <row r="20" spans="2:15" ht="15" thickBot="1" x14ac:dyDescent="0.35">
      <c r="B20" s="111" t="s">
        <v>442</v>
      </c>
      <c r="C20" s="111"/>
      <c r="D20" s="111"/>
      <c r="E20" s="111"/>
      <c r="F20" s="111"/>
      <c r="G20" s="111"/>
      <c r="H20" s="111"/>
      <c r="I20" s="111"/>
      <c r="J20" s="125"/>
      <c r="K20" s="112">
        <f>K18*K15</f>
        <v>22663479751.372021</v>
      </c>
      <c r="L20" s="112">
        <f t="shared" ref="L20:O20" si="8">L18*L15</f>
        <v>23845096854.895863</v>
      </c>
      <c r="M20" s="112">
        <f t="shared" si="8"/>
        <v>24912843946.748055</v>
      </c>
      <c r="N20" s="112">
        <f t="shared" si="8"/>
        <v>11043152754.566111</v>
      </c>
      <c r="O20" s="112">
        <f t="shared" si="8"/>
        <v>10647199101.438059</v>
      </c>
    </row>
    <row r="22" spans="2:15" x14ac:dyDescent="0.3">
      <c r="B22" s="94" t="s">
        <v>443</v>
      </c>
      <c r="C22" s="94"/>
      <c r="D22" s="94"/>
      <c r="E22" s="94"/>
      <c r="F22" s="94"/>
      <c r="G22" s="94"/>
      <c r="H22" s="94"/>
      <c r="I22" s="94"/>
      <c r="J22" s="98">
        <f>'Intrinsic Growth'!O60</f>
        <v>0.12838326990382087</v>
      </c>
    </row>
    <row r="23" spans="2:15" x14ac:dyDescent="0.3">
      <c r="B23" s="94" t="s">
        <v>444</v>
      </c>
      <c r="C23" s="94"/>
      <c r="D23" s="94"/>
      <c r="E23" s="94"/>
      <c r="F23" s="94"/>
      <c r="G23" s="94"/>
      <c r="H23" s="94"/>
      <c r="I23" s="94"/>
      <c r="J23" s="154">
        <v>2.7E-2</v>
      </c>
    </row>
    <row r="24" spans="2:15" x14ac:dyDescent="0.3">
      <c r="B24" s="94" t="s">
        <v>401</v>
      </c>
      <c r="C24" s="94"/>
      <c r="D24" s="94"/>
      <c r="E24" s="94"/>
      <c r="F24" s="94"/>
      <c r="G24" s="94"/>
      <c r="H24" s="94"/>
      <c r="I24" s="94"/>
      <c r="J24" s="98">
        <f>WACC!J53</f>
        <v>6.5192617409360276E-2</v>
      </c>
    </row>
    <row r="26" spans="2:15" x14ac:dyDescent="0.3">
      <c r="B26" s="2" t="s">
        <v>445</v>
      </c>
      <c r="C26" s="2"/>
      <c r="D26" s="2"/>
      <c r="E26" s="2"/>
      <c r="F26" s="2"/>
      <c r="G26" s="2"/>
      <c r="H26" s="2"/>
      <c r="I26" s="2"/>
      <c r="J26" s="2"/>
    </row>
    <row r="28" spans="2:15" x14ac:dyDescent="0.3">
      <c r="B28" t="s">
        <v>446</v>
      </c>
      <c r="J28" s="16">
        <f>O15*(1+J22)</f>
        <v>16475278047.315382</v>
      </c>
    </row>
    <row r="29" spans="2:15" x14ac:dyDescent="0.3">
      <c r="B29" t="s">
        <v>401</v>
      </c>
      <c r="J29" s="41">
        <f>J24</f>
        <v>6.5192617409360276E-2</v>
      </c>
    </row>
    <row r="30" spans="2:15" x14ac:dyDescent="0.3">
      <c r="B30" t="s">
        <v>444</v>
      </c>
      <c r="J30" s="128">
        <f>J23</f>
        <v>2.7E-2</v>
      </c>
    </row>
    <row r="31" spans="2:15" ht="15" thickBot="1" x14ac:dyDescent="0.35">
      <c r="B31" s="111" t="s">
        <v>447</v>
      </c>
      <c r="C31" s="111"/>
      <c r="D31" s="111"/>
      <c r="E31" s="111"/>
      <c r="F31" s="111"/>
      <c r="G31" s="111"/>
      <c r="H31" s="111"/>
      <c r="I31" s="111"/>
      <c r="J31" s="112">
        <f>J28/J29-J30</f>
        <v>252716928726.16772</v>
      </c>
    </row>
    <row r="33" spans="2:11" x14ac:dyDescent="0.3">
      <c r="B33" s="27" t="s">
        <v>448</v>
      </c>
      <c r="C33" s="1"/>
      <c r="D33" s="1"/>
      <c r="E33" s="1"/>
      <c r="F33" s="1"/>
      <c r="G33" s="1"/>
      <c r="H33" s="1"/>
      <c r="I33" s="1"/>
      <c r="J33" s="1"/>
    </row>
    <row r="35" spans="2:11" x14ac:dyDescent="0.3">
      <c r="B35" t="s">
        <v>442</v>
      </c>
      <c r="J35" s="16">
        <f>SUM(K20:O20)</f>
        <v>93111772409.020111</v>
      </c>
    </row>
    <row r="36" spans="2:11" x14ac:dyDescent="0.3">
      <c r="B36" t="s">
        <v>449</v>
      </c>
      <c r="J36" s="16">
        <f>J31*O18</f>
        <v>184286531432.79758</v>
      </c>
    </row>
    <row r="37" spans="2:11" ht="15" thickBot="1" x14ac:dyDescent="0.35">
      <c r="B37" s="111" t="s">
        <v>450</v>
      </c>
      <c r="C37" s="111"/>
      <c r="D37" s="111"/>
      <c r="E37" s="111"/>
      <c r="F37" s="111"/>
      <c r="G37" s="111"/>
      <c r="H37" s="111"/>
      <c r="I37" s="111"/>
      <c r="J37" s="112">
        <f>SUM(J36)</f>
        <v>184286531432.79758</v>
      </c>
    </row>
    <row r="39" spans="2:11" x14ac:dyDescent="0.3">
      <c r="B39" t="s">
        <v>451</v>
      </c>
      <c r="J39" s="16">
        <f>'Historical FS'!G47</f>
        <v>9867000000</v>
      </c>
    </row>
    <row r="40" spans="2:11" x14ac:dyDescent="0.3">
      <c r="B40" t="s">
        <v>452</v>
      </c>
      <c r="J40" s="16">
        <f>'Historical FS'!G63+'Historical FS'!G72</f>
        <v>61321000000</v>
      </c>
    </row>
    <row r="41" spans="2:11" x14ac:dyDescent="0.3">
      <c r="B41" s="10" t="s">
        <v>453</v>
      </c>
      <c r="C41" s="10"/>
      <c r="D41" s="10"/>
      <c r="E41" s="10"/>
      <c r="F41" s="10"/>
      <c r="G41" s="10"/>
      <c r="H41" s="10"/>
      <c r="I41" s="10"/>
      <c r="J41" s="24">
        <f>J37+J39-J40</f>
        <v>132832531432.79758</v>
      </c>
    </row>
    <row r="42" spans="2:11" x14ac:dyDescent="0.3">
      <c r="B42" t="s">
        <v>454</v>
      </c>
      <c r="J42" s="23">
        <f>'Historical FS'!C36</f>
        <v>8550000000</v>
      </c>
    </row>
    <row r="43" spans="2:11" ht="15" thickBot="1" x14ac:dyDescent="0.35">
      <c r="B43" s="111" t="s">
        <v>455</v>
      </c>
      <c r="C43" s="111"/>
      <c r="D43" s="111"/>
      <c r="E43" s="111"/>
      <c r="F43" s="111"/>
      <c r="G43" s="111"/>
      <c r="H43" s="111"/>
      <c r="I43" s="111"/>
      <c r="J43" s="112">
        <f>J41/J42</f>
        <v>15.535968588631295</v>
      </c>
      <c r="K43" s="129" t="str">
        <f>IF(J45&gt;J43,"Overvalued/Sell","Undervalued/Buy")</f>
        <v>Overvalued/Sell</v>
      </c>
    </row>
    <row r="45" spans="2:11" x14ac:dyDescent="0.3">
      <c r="B45" t="s">
        <v>456</v>
      </c>
      <c r="J45" s="69">
        <v>52.55</v>
      </c>
    </row>
    <row r="46" spans="2:11" x14ac:dyDescent="0.3">
      <c r="B46" t="s">
        <v>457</v>
      </c>
      <c r="J46" s="155">
        <f>J45/J43-1</f>
        <v>2.3824733681847388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3108-CA82-4BC5-A2DA-69E04FA7981B}">
  <dimension ref="B2:O38"/>
  <sheetViews>
    <sheetView showGridLines="0" tabSelected="1" topLeftCell="A2" workbookViewId="0">
      <pane xSplit="2" ySplit="8" topLeftCell="C10" activePane="bottomRight" state="frozen"/>
      <selection activeCell="A2" sqref="A2"/>
      <selection pane="topRight" activeCell="C2" sqref="C2"/>
      <selection pane="bottomLeft" activeCell="A10" sqref="A10"/>
      <selection pane="bottomRight" activeCell="C10" sqref="C10"/>
    </sheetView>
  </sheetViews>
  <sheetFormatPr defaultRowHeight="14.4" x14ac:dyDescent="0.3"/>
  <cols>
    <col min="1" max="1" width="1.88671875" customWidth="1"/>
    <col min="2" max="2" width="10.109375" customWidth="1"/>
    <col min="3" max="3" width="8.109375" bestFit="1" customWidth="1"/>
    <col min="4" max="4" width="11.44140625" customWidth="1"/>
    <col min="5" max="5" width="18.6640625" bestFit="1" customWidth="1"/>
    <col min="6" max="6" width="17.6640625" bestFit="1" customWidth="1"/>
    <col min="7" max="7" width="17.77734375" bestFit="1" customWidth="1"/>
    <col min="8" max="8" width="18.6640625" bestFit="1" customWidth="1"/>
    <col min="9" max="10" width="16.5546875" bestFit="1" customWidth="1"/>
    <col min="11" max="11" width="11.5546875" customWidth="1"/>
    <col min="12" max="12" width="10.21875" customWidth="1"/>
    <col min="13" max="13" width="10.21875" bestFit="1" customWidth="1"/>
    <col min="15" max="15" width="11" bestFit="1" customWidth="1"/>
  </cols>
  <sheetData>
    <row r="2" spans="2:15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2:15" x14ac:dyDescent="0.3">
      <c r="B5" s="2" t="s">
        <v>470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7" spans="2:15" x14ac:dyDescent="0.3">
      <c r="B7" s="2"/>
      <c r="C7" s="173" t="s">
        <v>467</v>
      </c>
      <c r="D7" s="173"/>
      <c r="E7" s="173"/>
      <c r="F7" s="173"/>
      <c r="G7" s="173"/>
      <c r="H7" s="173" t="s">
        <v>468</v>
      </c>
      <c r="I7" s="173"/>
      <c r="J7" s="173"/>
      <c r="K7" s="173" t="s">
        <v>469</v>
      </c>
      <c r="L7" s="173"/>
      <c r="M7" s="173"/>
    </row>
    <row r="8" spans="2:15" ht="40.799999999999997" customHeight="1" x14ac:dyDescent="0.3">
      <c r="B8" s="2" t="s">
        <v>459</v>
      </c>
      <c r="C8" s="130" t="s">
        <v>456</v>
      </c>
      <c r="D8" s="130" t="s">
        <v>471</v>
      </c>
      <c r="E8" s="130" t="s">
        <v>460</v>
      </c>
      <c r="F8" s="130" t="s">
        <v>461</v>
      </c>
      <c r="G8" s="130" t="s">
        <v>450</v>
      </c>
      <c r="H8" s="130" t="s">
        <v>462</v>
      </c>
      <c r="I8" s="130" t="s">
        <v>242</v>
      </c>
      <c r="J8" s="130" t="s">
        <v>463</v>
      </c>
      <c r="K8" s="130" t="s">
        <v>464</v>
      </c>
      <c r="L8" s="130" t="s">
        <v>465</v>
      </c>
      <c r="M8" s="130" t="s">
        <v>466</v>
      </c>
    </row>
    <row r="9" spans="2:15" ht="1.95" customHeight="1" x14ac:dyDescent="0.3"/>
    <row r="10" spans="2:15" x14ac:dyDescent="0.3">
      <c r="B10" s="132" t="str">
        <f>WACC!B9</f>
        <v>Target</v>
      </c>
      <c r="C10" s="135">
        <f>WACC!D9</f>
        <v>142.41999999999999</v>
      </c>
      <c r="D10" s="158">
        <v>461.5</v>
      </c>
      <c r="E10" s="156">
        <v>61.99</v>
      </c>
      <c r="F10" s="156">
        <v>19.649999999999999</v>
      </c>
      <c r="G10" s="156">
        <v>77.959999999999994</v>
      </c>
      <c r="H10" s="156">
        <v>107.41</v>
      </c>
      <c r="I10" s="156">
        <v>8.6</v>
      </c>
      <c r="J10" s="156">
        <v>4.1399999999999997</v>
      </c>
      <c r="K10" s="136">
        <f>G10/H10</f>
        <v>0.72581696303882315</v>
      </c>
      <c r="L10" s="136">
        <f t="shared" ref="L10:L15" si="0">G10/I10</f>
        <v>9.0651162790697679</v>
      </c>
      <c r="M10" s="136">
        <f>G10/J10</f>
        <v>18.830917874396135</v>
      </c>
      <c r="O10" s="16"/>
    </row>
    <row r="11" spans="2:15" x14ac:dyDescent="0.3">
      <c r="B11" s="132" t="str">
        <f>WACC!B10</f>
        <v xml:space="preserve">Costco </v>
      </c>
      <c r="C11" s="135">
        <f>WACC!D10</f>
        <v>660.08</v>
      </c>
      <c r="D11" s="158">
        <v>443.91</v>
      </c>
      <c r="E11" s="156">
        <v>437.69</v>
      </c>
      <c r="F11" s="156">
        <v>8.27</v>
      </c>
      <c r="G11" s="156">
        <v>284.38</v>
      </c>
      <c r="H11" s="156">
        <v>254.45</v>
      </c>
      <c r="I11" s="156">
        <v>12.15</v>
      </c>
      <c r="J11" s="156">
        <v>7.37</v>
      </c>
      <c r="K11" s="136">
        <f t="shared" ref="K11:K19" si="1">G11/H11</f>
        <v>1.1176262527019061</v>
      </c>
      <c r="L11" s="136">
        <f t="shared" si="0"/>
        <v>23.405761316872425</v>
      </c>
      <c r="M11" s="136">
        <f t="shared" ref="M11:M19" si="2">G11/J11</f>
        <v>38.586160108548164</v>
      </c>
    </row>
    <row r="12" spans="2:15" x14ac:dyDescent="0.3">
      <c r="B12" s="132" t="str">
        <f>WACC!B11</f>
        <v>Kroger</v>
      </c>
      <c r="C12" s="135">
        <f>WACC!D11</f>
        <v>45.71</v>
      </c>
      <c r="D12" s="158">
        <v>718</v>
      </c>
      <c r="E12" s="156">
        <v>41.83</v>
      </c>
      <c r="F12" s="156">
        <v>19.25</v>
      </c>
      <c r="G12" s="156">
        <v>57.16</v>
      </c>
      <c r="H12" s="156">
        <v>150.04</v>
      </c>
      <c r="I12" s="156">
        <v>7.03</v>
      </c>
      <c r="J12" s="156">
        <v>2.15</v>
      </c>
      <c r="K12" s="136">
        <f t="shared" si="1"/>
        <v>0.38096507597973872</v>
      </c>
      <c r="L12" s="136">
        <f t="shared" si="0"/>
        <v>8.1308677098150781</v>
      </c>
      <c r="M12" s="136">
        <f t="shared" si="2"/>
        <v>26.586046511627906</v>
      </c>
    </row>
    <row r="13" spans="2:15" x14ac:dyDescent="0.3">
      <c r="B13" s="132" t="str">
        <f>WACC!B12</f>
        <v>Dollar Tree</v>
      </c>
      <c r="C13" s="135">
        <f>WACC!D12</f>
        <v>142.05000000000001</v>
      </c>
      <c r="D13" s="158">
        <v>219.5</v>
      </c>
      <c r="E13" s="156">
        <v>15.4</v>
      </c>
      <c r="F13" s="156">
        <v>10.386900000000001</v>
      </c>
      <c r="G13" s="156">
        <v>25.25</v>
      </c>
      <c r="H13" s="156">
        <v>30.603000000000002</v>
      </c>
      <c r="I13" s="156">
        <v>-0.04</v>
      </c>
      <c r="J13" s="156">
        <v>-0.998</v>
      </c>
      <c r="K13" s="136">
        <f t="shared" si="1"/>
        <v>0.82508250825082508</v>
      </c>
      <c r="L13" s="136">
        <f t="shared" si="0"/>
        <v>-631.25</v>
      </c>
      <c r="M13" s="136">
        <f t="shared" si="2"/>
        <v>-25.30060120240481</v>
      </c>
    </row>
    <row r="14" spans="2:15" x14ac:dyDescent="0.3">
      <c r="B14" s="132" t="str">
        <f>WACC!B13</f>
        <v>Tesco</v>
      </c>
      <c r="C14" s="135">
        <f>WACC!D13</f>
        <v>3.61</v>
      </c>
      <c r="D14" s="158">
        <v>7097</v>
      </c>
      <c r="E14" s="156">
        <v>30.72</v>
      </c>
      <c r="F14" s="156">
        <v>14.84</v>
      </c>
      <c r="G14" s="156">
        <v>43.37</v>
      </c>
      <c r="H14" s="156">
        <v>68.19</v>
      </c>
      <c r="I14" s="156">
        <v>4.83</v>
      </c>
      <c r="J14" s="156">
        <v>1.19</v>
      </c>
      <c r="K14" s="136">
        <f t="shared" si="1"/>
        <v>0.6360170112919783</v>
      </c>
      <c r="L14" s="136">
        <f t="shared" si="0"/>
        <v>8.9792960662525871</v>
      </c>
      <c r="M14" s="136">
        <f t="shared" si="2"/>
        <v>36.445378151260506</v>
      </c>
    </row>
    <row r="15" spans="2:15" x14ac:dyDescent="0.3">
      <c r="B15" s="132" t="s">
        <v>472</v>
      </c>
      <c r="C15" s="156">
        <v>74.819999999999993</v>
      </c>
      <c r="D15" s="158">
        <v>217.7</v>
      </c>
      <c r="E15" s="156">
        <v>18.62</v>
      </c>
      <c r="F15" s="156">
        <v>1.1519999999999999</v>
      </c>
      <c r="G15" s="156">
        <v>21.96</v>
      </c>
      <c r="H15" s="156">
        <v>43.45</v>
      </c>
      <c r="I15" s="156">
        <v>2.6</v>
      </c>
      <c r="J15" s="156">
        <v>1.24</v>
      </c>
      <c r="K15" s="136">
        <f t="shared" si="1"/>
        <v>0.5054085155350978</v>
      </c>
      <c r="L15" s="136">
        <f t="shared" si="0"/>
        <v>8.4461538461538463</v>
      </c>
      <c r="M15" s="136">
        <f t="shared" si="2"/>
        <v>17.70967741935484</v>
      </c>
    </row>
    <row r="16" spans="2:15" x14ac:dyDescent="0.3">
      <c r="B16" s="132" t="s">
        <v>473</v>
      </c>
      <c r="C16" s="156">
        <v>159.12</v>
      </c>
      <c r="D16" s="158">
        <v>10304</v>
      </c>
      <c r="E16" s="156">
        <v>2420</v>
      </c>
      <c r="F16" s="156">
        <v>58.314</v>
      </c>
      <c r="G16" s="156">
        <v>2412.94</v>
      </c>
      <c r="H16" s="156">
        <v>574.79</v>
      </c>
      <c r="I16" s="156">
        <v>107.67246764837127</v>
      </c>
      <c r="J16" s="156">
        <v>30.43</v>
      </c>
      <c r="K16" s="136">
        <f t="shared" si="1"/>
        <v>4.197950555855182</v>
      </c>
      <c r="L16" s="136">
        <f>G16/I16</f>
        <v>22.41</v>
      </c>
      <c r="M16" s="136">
        <f>G16/J16</f>
        <v>79.294774893197498</v>
      </c>
      <c r="O16" s="16"/>
    </row>
    <row r="17" spans="2:13" x14ac:dyDescent="0.3">
      <c r="B17" s="132" t="s">
        <v>474</v>
      </c>
      <c r="C17" s="156">
        <v>355.3</v>
      </c>
      <c r="D17" s="158">
        <v>999</v>
      </c>
      <c r="E17" s="156">
        <v>418.58</v>
      </c>
      <c r="F17" s="156">
        <v>52.24</v>
      </c>
      <c r="G17" s="156">
        <v>481.63</v>
      </c>
      <c r="H17" s="156">
        <v>152.66999999999999</v>
      </c>
      <c r="I17" s="156">
        <v>25.11</v>
      </c>
      <c r="J17" s="156">
        <v>15.14</v>
      </c>
      <c r="K17" s="136">
        <f t="shared" si="1"/>
        <v>3.1547127791969611</v>
      </c>
      <c r="L17" s="136">
        <f t="shared" ref="L17:L19" si="3">G17/I17</f>
        <v>19.180804460374354</v>
      </c>
      <c r="M17" s="136">
        <f t="shared" si="2"/>
        <v>31.811756935270804</v>
      </c>
    </row>
    <row r="18" spans="2:13" x14ac:dyDescent="0.3">
      <c r="B18" s="132" t="s">
        <v>484</v>
      </c>
      <c r="C18" s="156">
        <v>42.69</v>
      </c>
      <c r="D18" s="158">
        <v>530</v>
      </c>
      <c r="E18" s="156">
        <v>30.26</v>
      </c>
      <c r="F18" s="156">
        <v>8.23</v>
      </c>
      <c r="G18" s="156">
        <v>22.14</v>
      </c>
      <c r="H18" s="156">
        <v>10.11</v>
      </c>
      <c r="I18" s="156">
        <v>4.37</v>
      </c>
      <c r="J18" s="156">
        <v>2.77</v>
      </c>
      <c r="K18" s="136">
        <f t="shared" si="1"/>
        <v>2.189910979228487</v>
      </c>
      <c r="L18" s="136">
        <f t="shared" si="3"/>
        <v>5.0663615560640736</v>
      </c>
      <c r="M18" s="136">
        <f t="shared" si="2"/>
        <v>7.9927797833935017</v>
      </c>
    </row>
    <row r="19" spans="2:13" x14ac:dyDescent="0.3">
      <c r="B19" s="137" t="s">
        <v>475</v>
      </c>
      <c r="C19" s="157">
        <v>54.76</v>
      </c>
      <c r="D19" s="159">
        <v>8077</v>
      </c>
      <c r="E19" s="157">
        <v>762.85</v>
      </c>
      <c r="F19" s="157">
        <v>61.32</v>
      </c>
      <c r="G19" s="157">
        <v>817.61</v>
      </c>
      <c r="H19" s="157">
        <v>648.13</v>
      </c>
      <c r="I19" s="157">
        <v>36.380000000000003</v>
      </c>
      <c r="J19" s="157">
        <v>15.51</v>
      </c>
      <c r="K19" s="138">
        <f t="shared" si="1"/>
        <v>1.2614907503124373</v>
      </c>
      <c r="L19" s="138">
        <f t="shared" si="3"/>
        <v>22.47416162726773</v>
      </c>
      <c r="M19" s="138">
        <f t="shared" si="2"/>
        <v>52.715022566086397</v>
      </c>
    </row>
    <row r="21" spans="2:13" ht="2.1" customHeight="1" x14ac:dyDescent="0.3"/>
    <row r="22" spans="2:13" x14ac:dyDescent="0.3">
      <c r="B22" s="94" t="s">
        <v>476</v>
      </c>
      <c r="C22" s="94"/>
      <c r="D22" s="94"/>
      <c r="E22" s="94"/>
      <c r="F22" s="94"/>
      <c r="G22" s="94"/>
      <c r="H22" s="94"/>
      <c r="I22" s="94"/>
      <c r="J22" s="94"/>
      <c r="K22" s="139">
        <f>MAX(K10:K19)</f>
        <v>4.197950555855182</v>
      </c>
      <c r="L22" s="139">
        <f t="shared" ref="L22:M22" si="4">MAX(L10:L19)</f>
        <v>23.405761316872425</v>
      </c>
      <c r="M22" s="139">
        <f t="shared" si="4"/>
        <v>79.294774893197498</v>
      </c>
    </row>
    <row r="23" spans="2:13" x14ac:dyDescent="0.3">
      <c r="B23" s="94" t="s">
        <v>477</v>
      </c>
      <c r="C23" s="94"/>
      <c r="D23" s="94"/>
      <c r="E23" s="94"/>
      <c r="F23" s="94"/>
      <c r="G23" s="94"/>
      <c r="H23" s="94"/>
      <c r="I23" s="94"/>
      <c r="J23" s="94"/>
      <c r="K23" s="139">
        <f>QUARTILE(K10:K19,3)</f>
        <v>1.9578059219994746</v>
      </c>
      <c r="L23" s="139">
        <f t="shared" ref="L23:M23" si="5">QUARTILE(L10:L19,3)</f>
        <v>21.602701115093588</v>
      </c>
      <c r="M23" s="139">
        <f t="shared" si="5"/>
        <v>38.050964619226249</v>
      </c>
    </row>
    <row r="24" spans="2:13" x14ac:dyDescent="0.3">
      <c r="B24" s="95" t="s">
        <v>384</v>
      </c>
      <c r="C24" s="95"/>
      <c r="D24" s="95"/>
      <c r="E24" s="95"/>
      <c r="F24" s="95"/>
      <c r="G24" s="95"/>
      <c r="H24" s="95"/>
      <c r="I24" s="95"/>
      <c r="J24" s="95"/>
      <c r="K24" s="142">
        <f>AVERAGE(K10:K19)</f>
        <v>1.4994981391391438</v>
      </c>
      <c r="L24" s="142">
        <f t="shared" ref="L24:M24" si="6">AVERAGE(L10:L19)</f>
        <v>-50.40914771381302</v>
      </c>
      <c r="M24" s="142">
        <f t="shared" si="6"/>
        <v>28.467191304073094</v>
      </c>
    </row>
    <row r="25" spans="2:13" x14ac:dyDescent="0.3">
      <c r="B25" s="95" t="s">
        <v>292</v>
      </c>
      <c r="C25" s="95"/>
      <c r="D25" s="95"/>
      <c r="E25" s="95"/>
      <c r="F25" s="95"/>
      <c r="G25" s="95"/>
      <c r="H25" s="95"/>
      <c r="I25" s="95"/>
      <c r="J25" s="95"/>
      <c r="K25" s="142">
        <f>MEDIAN(K10:K19)</f>
        <v>0.97135438047636558</v>
      </c>
      <c r="L25" s="142">
        <f t="shared" ref="L25:M25" si="7">MEDIAN(L10:L19)</f>
        <v>9.0222061726611784</v>
      </c>
      <c r="M25" s="142">
        <f t="shared" si="7"/>
        <v>29.198901723449353</v>
      </c>
    </row>
    <row r="26" spans="2:13" x14ac:dyDescent="0.3">
      <c r="B26" s="94" t="s">
        <v>478</v>
      </c>
      <c r="C26" s="94"/>
      <c r="D26" s="94"/>
      <c r="E26" s="94"/>
      <c r="F26" s="94"/>
      <c r="G26" s="94"/>
      <c r="H26" s="94"/>
      <c r="I26" s="94"/>
      <c r="J26" s="94"/>
      <c r="K26" s="139">
        <f>QUARTILE(K10:K19,1)</f>
        <v>0.65846699922868956</v>
      </c>
      <c r="L26" s="139">
        <f t="shared" ref="L26:M26" si="8">QUARTILE(L10:L19,1)</f>
        <v>8.2096892438997706</v>
      </c>
      <c r="M26" s="139">
        <f t="shared" si="8"/>
        <v>17.989987533115162</v>
      </c>
    </row>
    <row r="27" spans="2:13" x14ac:dyDescent="0.3">
      <c r="B27" s="94" t="s">
        <v>479</v>
      </c>
      <c r="C27" s="94"/>
      <c r="D27" s="94"/>
      <c r="E27" s="94"/>
      <c r="F27" s="94"/>
      <c r="G27" s="94"/>
      <c r="H27" s="94"/>
      <c r="I27" s="94"/>
      <c r="J27" s="94"/>
      <c r="K27" s="139">
        <f>MIN(K10:K19)</f>
        <v>0.38096507597973872</v>
      </c>
      <c r="L27" s="139">
        <f t="shared" ref="L27:M27" si="9">MIN(L10:L19)</f>
        <v>-631.25</v>
      </c>
      <c r="M27" s="139">
        <f t="shared" si="9"/>
        <v>-25.30060120240481</v>
      </c>
    </row>
    <row r="29" spans="2:13" x14ac:dyDescent="0.3">
      <c r="B29" s="2" t="str">
        <f>Cover!B10&amp;" "&amp;"Comparable Valuations"</f>
        <v>Walmart Inc. Comparable Valuations</v>
      </c>
      <c r="C29" s="1"/>
      <c r="D29" s="1"/>
      <c r="E29" s="1"/>
      <c r="F29" s="1"/>
      <c r="G29" s="1"/>
      <c r="H29" s="1"/>
      <c r="I29" s="1"/>
      <c r="J29" s="1"/>
      <c r="K29" s="2" t="s">
        <v>464</v>
      </c>
      <c r="L29" s="2" t="s">
        <v>465</v>
      </c>
      <c r="M29" s="2" t="s">
        <v>466</v>
      </c>
    </row>
    <row r="30" spans="2:13" ht="2.1" customHeight="1" x14ac:dyDescent="0.3"/>
    <row r="31" spans="2:13" x14ac:dyDescent="0.3">
      <c r="B31" s="132" t="s">
        <v>480</v>
      </c>
      <c r="C31" s="132"/>
      <c r="D31" s="132"/>
      <c r="E31" s="132"/>
      <c r="F31" s="132"/>
      <c r="G31" s="132"/>
      <c r="H31" s="132"/>
      <c r="I31" s="132"/>
      <c r="J31" s="132"/>
      <c r="K31" s="134">
        <f>K25*H19</f>
        <v>629.56391461814678</v>
      </c>
      <c r="L31" s="134">
        <f>L25*I19</f>
        <v>328.22786056141371</v>
      </c>
      <c r="M31" s="134">
        <f>M32+M33</f>
        <v>514.19496573069944</v>
      </c>
    </row>
    <row r="32" spans="2:13" x14ac:dyDescent="0.3">
      <c r="B32" s="133" t="s">
        <v>461</v>
      </c>
      <c r="C32" s="133"/>
      <c r="D32" s="133"/>
      <c r="E32" s="133"/>
      <c r="F32" s="133"/>
      <c r="G32" s="133"/>
      <c r="H32" s="133"/>
      <c r="I32" s="133"/>
      <c r="J32" s="133"/>
      <c r="K32" s="140">
        <f>$F$19</f>
        <v>61.32</v>
      </c>
      <c r="L32" s="133">
        <f t="shared" ref="L32:M32" si="10">$F$19</f>
        <v>61.32</v>
      </c>
      <c r="M32" s="133">
        <f t="shared" si="10"/>
        <v>61.32</v>
      </c>
    </row>
    <row r="33" spans="2:13" x14ac:dyDescent="0.3">
      <c r="B33" s="132" t="s">
        <v>481</v>
      </c>
      <c r="C33" s="132"/>
      <c r="D33" s="132"/>
      <c r="E33" s="132"/>
      <c r="F33" s="132"/>
      <c r="G33" s="132"/>
      <c r="H33" s="132"/>
      <c r="I33" s="132"/>
      <c r="J33" s="132"/>
      <c r="K33" s="134">
        <f>K31-K32</f>
        <v>568.24391461814673</v>
      </c>
      <c r="L33" s="134">
        <f t="shared" ref="L33" si="11">L31-L32</f>
        <v>266.90786056141371</v>
      </c>
      <c r="M33" s="134">
        <f>M25*J19</f>
        <v>452.87496573069944</v>
      </c>
    </row>
    <row r="34" spans="2:13" x14ac:dyDescent="0.3">
      <c r="B34" s="133" t="s">
        <v>482</v>
      </c>
      <c r="C34" s="133"/>
      <c r="D34" s="133"/>
      <c r="E34" s="133"/>
      <c r="F34" s="133"/>
      <c r="G34" s="133"/>
      <c r="H34" s="133"/>
      <c r="I34" s="133"/>
      <c r="J34" s="133"/>
      <c r="K34" s="160">
        <f>$D$19</f>
        <v>8077</v>
      </c>
      <c r="L34" s="160">
        <f t="shared" ref="L34:M34" si="12">$D$19</f>
        <v>8077</v>
      </c>
      <c r="M34" s="160">
        <f t="shared" si="12"/>
        <v>8077</v>
      </c>
    </row>
    <row r="35" spans="2:13" ht="2.1" customHeight="1" x14ac:dyDescent="0.3"/>
    <row r="36" spans="2:13" x14ac:dyDescent="0.3">
      <c r="B36" s="131" t="s">
        <v>483</v>
      </c>
      <c r="C36" s="131"/>
      <c r="D36" s="131"/>
      <c r="E36" s="131"/>
      <c r="F36" s="131"/>
      <c r="G36" s="131"/>
      <c r="H36" s="131"/>
      <c r="I36" s="131"/>
      <c r="J36" s="131"/>
      <c r="K36" s="141">
        <f>K33/K34</f>
        <v>7.0353338444737734E-2</v>
      </c>
      <c r="L36" s="141">
        <f t="shared" ref="L36:M36" si="13">L33/L34</f>
        <v>3.3045420398837899E-2</v>
      </c>
      <c r="M36" s="141">
        <f t="shared" si="13"/>
        <v>5.6069699855230831E-2</v>
      </c>
    </row>
    <row r="38" spans="2:13" x14ac:dyDescent="0.3">
      <c r="K38" t="str">
        <f>IF(K36&gt;$C$19,"Undervalued","Overvalued")</f>
        <v>Overvalued</v>
      </c>
      <c r="L38" t="str">
        <f t="shared" ref="L38:M38" si="14">IF(L36&gt;$C$19,"Undervalued","Overvalued")</f>
        <v>Overvalued</v>
      </c>
      <c r="M38" t="str">
        <f t="shared" si="14"/>
        <v>Overvalued</v>
      </c>
    </row>
  </sheetData>
  <mergeCells count="3">
    <mergeCell ref="C7:G7"/>
    <mergeCell ref="H7:J7"/>
    <mergeCell ref="K7:M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8C46-C1DB-430E-A746-A42495248E57}">
  <sheetPr>
    <tabColor rgb="FFFF0000"/>
  </sheetPr>
  <dimension ref="B2:O237"/>
  <sheetViews>
    <sheetView showGridLines="0" workbookViewId="0">
      <selection activeCell="C1" sqref="C1"/>
    </sheetView>
  </sheetViews>
  <sheetFormatPr defaultRowHeight="14.4" x14ac:dyDescent="0.3"/>
  <cols>
    <col min="1" max="1" width="1.88671875" customWidth="1"/>
    <col min="2" max="2" width="65.33203125" bestFit="1" customWidth="1"/>
    <col min="3" max="8" width="19.21875" bestFit="1" customWidth="1"/>
    <col min="10" max="10" width="11" bestFit="1" customWidth="1"/>
  </cols>
  <sheetData>
    <row r="2" spans="2:15" ht="14.4" customHeight="1" x14ac:dyDescent="0.3">
      <c r="B2" s="174" t="str">
        <f>Cover!B10</f>
        <v>Walmart Inc.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</row>
    <row r="3" spans="2:15" ht="14.4" customHeight="1" x14ac:dyDescent="0.3"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</row>
    <row r="4" spans="2:15" ht="1.2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5" x14ac:dyDescent="0.3">
      <c r="B5" s="173" t="s">
        <v>4</v>
      </c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</row>
    <row r="6" spans="2:15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3">
      <c r="B7" s="8"/>
      <c r="C7" s="175" t="s">
        <v>235</v>
      </c>
      <c r="D7" s="175"/>
      <c r="E7" s="175"/>
      <c r="F7" s="175"/>
      <c r="G7" s="175"/>
      <c r="H7" s="175"/>
      <c r="I7" s="8"/>
      <c r="J7" s="8"/>
      <c r="K7" s="8"/>
      <c r="L7" s="8"/>
      <c r="M7" s="8"/>
      <c r="N7" s="8"/>
      <c r="O7" s="8"/>
    </row>
    <row r="8" spans="2:15" x14ac:dyDescent="0.3">
      <c r="B8" s="10" t="s">
        <v>64</v>
      </c>
    </row>
    <row r="9" spans="2:15" x14ac:dyDescent="0.3">
      <c r="B9" s="9" t="s">
        <v>6</v>
      </c>
      <c r="C9" s="143">
        <v>43861</v>
      </c>
      <c r="D9" s="143">
        <v>44227</v>
      </c>
      <c r="E9" s="143">
        <v>44592</v>
      </c>
      <c r="F9" s="143">
        <v>44957</v>
      </c>
      <c r="G9" s="143">
        <v>45322</v>
      </c>
      <c r="H9" s="143" t="s">
        <v>12</v>
      </c>
    </row>
    <row r="10" spans="2:15" x14ac:dyDescent="0.3">
      <c r="B10" t="s">
        <v>13</v>
      </c>
      <c r="C10" s="176">
        <v>129359000000</v>
      </c>
      <c r="D10" s="176">
        <v>138836000000</v>
      </c>
      <c r="E10" s="176">
        <v>143754000000</v>
      </c>
      <c r="F10" s="176">
        <v>147568000000</v>
      </c>
      <c r="G10" s="176">
        <v>157983000000</v>
      </c>
      <c r="H10" s="176">
        <v>166413000000</v>
      </c>
    </row>
    <row r="11" spans="2:15" x14ac:dyDescent="0.3">
      <c r="B11" t="s">
        <v>14</v>
      </c>
      <c r="C11" s="176">
        <v>523964000000</v>
      </c>
      <c r="D11" s="176">
        <v>559151000000</v>
      </c>
      <c r="E11" s="176">
        <v>572754000000</v>
      </c>
      <c r="F11" s="176">
        <v>611289000000</v>
      </c>
      <c r="G11" s="176">
        <v>648125000000</v>
      </c>
      <c r="H11" s="176">
        <v>673819000000</v>
      </c>
    </row>
    <row r="12" spans="2:15" x14ac:dyDescent="0.3">
      <c r="B12" t="s">
        <v>15</v>
      </c>
      <c r="C12" s="176">
        <v>523964000000</v>
      </c>
      <c r="D12" s="176">
        <v>559151000000</v>
      </c>
      <c r="E12" s="176">
        <v>572754000000</v>
      </c>
      <c r="F12" s="176">
        <v>611289000000</v>
      </c>
      <c r="G12" s="176">
        <v>648125000000</v>
      </c>
      <c r="H12" s="176">
        <v>673819000000</v>
      </c>
    </row>
    <row r="13" spans="2:15" x14ac:dyDescent="0.3">
      <c r="B13" t="s">
        <v>16</v>
      </c>
      <c r="C13" s="176">
        <v>-394605000000</v>
      </c>
      <c r="D13" s="176">
        <v>-420315000000</v>
      </c>
      <c r="E13" s="176">
        <v>-429000000000</v>
      </c>
      <c r="F13" s="176">
        <v>-463721000000</v>
      </c>
      <c r="G13" s="176">
        <v>-490142000000</v>
      </c>
      <c r="H13" s="176">
        <v>-507406000000</v>
      </c>
    </row>
    <row r="14" spans="2:15" x14ac:dyDescent="0.3">
      <c r="B14" t="s">
        <v>17</v>
      </c>
      <c r="C14" s="176">
        <v>-394605000000</v>
      </c>
      <c r="D14" s="176">
        <v>-420315000000</v>
      </c>
      <c r="E14" s="176">
        <v>-429000000000</v>
      </c>
      <c r="F14" s="176">
        <v>-463721000000</v>
      </c>
      <c r="G14" s="176">
        <v>-490142000000</v>
      </c>
      <c r="H14" s="176">
        <v>-507406000000</v>
      </c>
    </row>
    <row r="15" spans="2:15" x14ac:dyDescent="0.3">
      <c r="B15" t="s">
        <v>18</v>
      </c>
      <c r="C15" s="176">
        <v>-108791000000</v>
      </c>
      <c r="D15" s="176">
        <v>-116288000000</v>
      </c>
      <c r="E15" s="176">
        <v>-117812000000</v>
      </c>
      <c r="F15" s="176">
        <v>-127140000000</v>
      </c>
      <c r="G15" s="176">
        <v>-130971000000</v>
      </c>
      <c r="H15" s="176">
        <v>-137670000000</v>
      </c>
    </row>
    <row r="16" spans="2:15" x14ac:dyDescent="0.3">
      <c r="B16" t="s">
        <v>19</v>
      </c>
      <c r="C16" s="176">
        <v>-108791000000</v>
      </c>
      <c r="D16" s="176">
        <v>-116288000000</v>
      </c>
      <c r="E16" s="176">
        <v>-117812000000</v>
      </c>
      <c r="F16" s="176">
        <v>-127140000000</v>
      </c>
      <c r="G16" s="176">
        <v>-130971000000</v>
      </c>
      <c r="H16" s="176">
        <v>-137670000000</v>
      </c>
    </row>
    <row r="17" spans="2:8" x14ac:dyDescent="0.3">
      <c r="B17" t="s">
        <v>20</v>
      </c>
      <c r="C17" s="176">
        <v>20568000000</v>
      </c>
      <c r="D17" s="176">
        <v>22548000000</v>
      </c>
      <c r="E17" s="176">
        <v>25942000000</v>
      </c>
      <c r="F17" s="176">
        <v>20428000000</v>
      </c>
      <c r="G17" s="176">
        <v>27012000000</v>
      </c>
      <c r="H17" s="176">
        <v>28743000000</v>
      </c>
    </row>
    <row r="18" spans="2:8" x14ac:dyDescent="0.3">
      <c r="B18" t="s">
        <v>21</v>
      </c>
      <c r="C18" s="176">
        <v>-452000000</v>
      </c>
      <c r="D18" s="176">
        <v>-1984000000</v>
      </c>
      <c r="E18" s="176">
        <v>-7246000000</v>
      </c>
      <c r="F18" s="176">
        <v>-3412000000</v>
      </c>
      <c r="G18" s="176">
        <v>-5164000000</v>
      </c>
      <c r="H18" s="176">
        <v>-1879000000</v>
      </c>
    </row>
    <row r="19" spans="2:8" x14ac:dyDescent="0.3">
      <c r="B19" t="s">
        <v>22</v>
      </c>
      <c r="C19" s="176">
        <v>-2410000000</v>
      </c>
      <c r="D19" s="176">
        <v>-2194000000</v>
      </c>
      <c r="E19" s="176">
        <v>-1836000000</v>
      </c>
      <c r="F19" s="176">
        <v>-1874000000</v>
      </c>
      <c r="G19" s="176">
        <v>-2137000000</v>
      </c>
      <c r="H19" s="176">
        <v>-2192000000</v>
      </c>
    </row>
    <row r="20" spans="2:8" x14ac:dyDescent="0.3">
      <c r="B20" t="s">
        <v>23</v>
      </c>
      <c r="C20" s="176">
        <v>-2410000000</v>
      </c>
      <c r="D20" s="176">
        <v>-2194000000</v>
      </c>
      <c r="E20" s="176">
        <v>-1836000000</v>
      </c>
      <c r="F20" s="176">
        <v>-1874000000</v>
      </c>
      <c r="G20" s="176">
        <v>-2137000000</v>
      </c>
      <c r="H20" s="176">
        <v>-2192000000</v>
      </c>
    </row>
    <row r="21" spans="2:8" x14ac:dyDescent="0.3">
      <c r="B21" t="s">
        <v>24</v>
      </c>
      <c r="C21" s="176">
        <v>-2599000000</v>
      </c>
      <c r="D21" s="176">
        <v>-2315000000</v>
      </c>
      <c r="E21" s="176">
        <v>-1994000000</v>
      </c>
      <c r="F21" s="176">
        <v>-2128000000</v>
      </c>
      <c r="G21" s="176">
        <v>-2683000000</v>
      </c>
      <c r="H21" s="176">
        <v>-2706000000</v>
      </c>
    </row>
    <row r="22" spans="2:8" x14ac:dyDescent="0.3">
      <c r="B22" t="s">
        <v>25</v>
      </c>
      <c r="C22" s="176">
        <v>189000000</v>
      </c>
      <c r="D22" s="176">
        <v>121000000</v>
      </c>
      <c r="E22" s="176">
        <v>158000000</v>
      </c>
      <c r="F22" s="176">
        <v>254000000</v>
      </c>
      <c r="G22" s="176">
        <v>546000000</v>
      </c>
      <c r="H22" s="176">
        <v>514000000</v>
      </c>
    </row>
    <row r="23" spans="2:8" x14ac:dyDescent="0.3">
      <c r="B23" t="s">
        <v>26</v>
      </c>
      <c r="C23" s="176">
        <v>0</v>
      </c>
      <c r="D23" s="176">
        <v>0</v>
      </c>
      <c r="E23" s="176">
        <v>-2410000000</v>
      </c>
      <c r="F23" s="176">
        <v>0</v>
      </c>
      <c r="G23" s="176">
        <v>0</v>
      </c>
      <c r="H23" s="176">
        <v>0</v>
      </c>
    </row>
    <row r="24" spans="2:8" x14ac:dyDescent="0.3">
      <c r="B24" t="s">
        <v>28</v>
      </c>
      <c r="C24" s="176">
        <v>0</v>
      </c>
      <c r="D24" s="176">
        <v>0</v>
      </c>
      <c r="E24" s="176">
        <v>-2410000000</v>
      </c>
      <c r="F24" s="176">
        <v>0</v>
      </c>
      <c r="G24" s="176">
        <v>0</v>
      </c>
      <c r="H24" s="176">
        <v>0</v>
      </c>
    </row>
    <row r="25" spans="2:8" x14ac:dyDescent="0.3">
      <c r="B25" t="s">
        <v>29</v>
      </c>
      <c r="C25" s="176">
        <v>1958000000</v>
      </c>
      <c r="D25" s="176">
        <v>210000000</v>
      </c>
      <c r="E25" s="176">
        <v>-3000000000</v>
      </c>
      <c r="F25" s="176">
        <v>-1538000000</v>
      </c>
      <c r="G25" s="176">
        <v>-3027000000</v>
      </c>
      <c r="H25" s="176">
        <v>313000000</v>
      </c>
    </row>
    <row r="26" spans="2:8" x14ac:dyDescent="0.3">
      <c r="B26" t="s">
        <v>30</v>
      </c>
      <c r="C26" s="176">
        <v>20116000000</v>
      </c>
      <c r="D26" s="176">
        <v>20564000000</v>
      </c>
      <c r="E26" s="176">
        <v>18696000000</v>
      </c>
      <c r="F26" s="176">
        <v>17016000000</v>
      </c>
      <c r="G26" s="176">
        <v>21848000000</v>
      </c>
      <c r="H26" s="176">
        <v>26864000000</v>
      </c>
    </row>
    <row r="27" spans="2:8" x14ac:dyDescent="0.3">
      <c r="B27" t="s">
        <v>31</v>
      </c>
      <c r="C27" s="176">
        <v>-4915000000</v>
      </c>
      <c r="D27" s="176">
        <v>-6858000000</v>
      </c>
      <c r="E27" s="176">
        <v>-4756000000</v>
      </c>
      <c r="F27" s="176">
        <v>-5724000000</v>
      </c>
      <c r="G27" s="176">
        <v>-5578000000</v>
      </c>
      <c r="H27" s="176">
        <v>-6454000000</v>
      </c>
    </row>
    <row r="28" spans="2:8" x14ac:dyDescent="0.3">
      <c r="B28" t="s">
        <v>32</v>
      </c>
      <c r="C28" s="16" t="s">
        <v>27</v>
      </c>
      <c r="D28" s="16" t="s">
        <v>27</v>
      </c>
      <c r="E28" s="16" t="s">
        <v>27</v>
      </c>
      <c r="F28" s="16" t="s">
        <v>27</v>
      </c>
      <c r="G28" s="16" t="s">
        <v>27</v>
      </c>
      <c r="H28" s="16" t="s">
        <v>27</v>
      </c>
    </row>
    <row r="29" spans="2:8" x14ac:dyDescent="0.3">
      <c r="B29" t="s">
        <v>33</v>
      </c>
      <c r="C29" s="16" t="s">
        <v>27</v>
      </c>
      <c r="D29" s="16" t="s">
        <v>27</v>
      </c>
      <c r="E29" s="16" t="s">
        <v>27</v>
      </c>
      <c r="F29" s="16" t="s">
        <v>27</v>
      </c>
      <c r="G29" s="16" t="s">
        <v>27</v>
      </c>
      <c r="H29" s="16" t="s">
        <v>27</v>
      </c>
    </row>
    <row r="30" spans="2:8" x14ac:dyDescent="0.3">
      <c r="B30" t="s">
        <v>34</v>
      </c>
      <c r="C30" s="176">
        <v>15201000000</v>
      </c>
      <c r="D30" s="176">
        <v>13706000000</v>
      </c>
      <c r="E30" s="176">
        <v>13940000000</v>
      </c>
      <c r="F30" s="176">
        <v>11292000000</v>
      </c>
      <c r="G30" s="176">
        <v>16270000000</v>
      </c>
      <c r="H30" s="176">
        <v>20410000000</v>
      </c>
    </row>
    <row r="31" spans="2:8" x14ac:dyDescent="0.3">
      <c r="B31" t="s">
        <v>35</v>
      </c>
      <c r="C31" s="176">
        <v>15201000000</v>
      </c>
      <c r="D31" s="176">
        <v>13706000000</v>
      </c>
      <c r="E31" s="176">
        <v>13940000000</v>
      </c>
      <c r="F31" s="176">
        <v>11292000000</v>
      </c>
      <c r="G31" s="176">
        <v>16270000000</v>
      </c>
      <c r="H31" s="176">
        <v>20410000000</v>
      </c>
    </row>
    <row r="32" spans="2:8" x14ac:dyDescent="0.3">
      <c r="B32" t="s">
        <v>36</v>
      </c>
      <c r="C32" s="176">
        <v>-320000000</v>
      </c>
      <c r="D32" s="176">
        <v>-196000000</v>
      </c>
      <c r="E32" s="176">
        <v>-267000000</v>
      </c>
      <c r="F32" s="176">
        <v>388000000</v>
      </c>
      <c r="G32" s="176">
        <v>-759000000</v>
      </c>
      <c r="H32" s="176">
        <v>-734000000</v>
      </c>
    </row>
    <row r="33" spans="2:8" x14ac:dyDescent="0.3">
      <c r="B33" t="s">
        <v>37</v>
      </c>
      <c r="C33" s="176">
        <v>14881000000</v>
      </c>
      <c r="D33" s="176">
        <v>13510000000</v>
      </c>
      <c r="E33" s="176">
        <v>13673000000</v>
      </c>
      <c r="F33" s="176">
        <v>11680000000</v>
      </c>
      <c r="G33" s="176">
        <v>15511000000</v>
      </c>
      <c r="H33" s="176">
        <v>19676000000</v>
      </c>
    </row>
    <row r="34" spans="2:8" x14ac:dyDescent="0.3">
      <c r="B34" t="s">
        <v>38</v>
      </c>
      <c r="C34" s="176">
        <v>14881000000</v>
      </c>
      <c r="D34" s="176">
        <v>13510000000</v>
      </c>
      <c r="E34" s="176">
        <v>13673000000</v>
      </c>
      <c r="F34" s="176">
        <v>11680000000</v>
      </c>
      <c r="G34" s="176">
        <v>15511000000</v>
      </c>
      <c r="H34" s="176">
        <v>19676000000</v>
      </c>
    </row>
    <row r="35" spans="2:8" x14ac:dyDescent="0.3">
      <c r="B35" t="s">
        <v>39</v>
      </c>
      <c r="C35" s="176">
        <v>14881000000</v>
      </c>
      <c r="D35" s="176">
        <v>13510000000</v>
      </c>
      <c r="E35" s="176">
        <v>13673000000</v>
      </c>
      <c r="F35" s="176">
        <v>11680000000</v>
      </c>
      <c r="G35" s="176">
        <v>15511000000</v>
      </c>
      <c r="H35" s="176">
        <v>19676000000</v>
      </c>
    </row>
    <row r="36" spans="2:8" x14ac:dyDescent="0.3">
      <c r="B36" t="s">
        <v>40</v>
      </c>
      <c r="C36" s="16" t="s">
        <v>27</v>
      </c>
      <c r="D36" s="16" t="s">
        <v>27</v>
      </c>
      <c r="E36" s="16" t="s">
        <v>27</v>
      </c>
      <c r="F36" s="16" t="s">
        <v>27</v>
      </c>
      <c r="G36" s="16" t="s">
        <v>27</v>
      </c>
      <c r="H36" s="16" t="s">
        <v>27</v>
      </c>
    </row>
    <row r="37" spans="2:8" x14ac:dyDescent="0.3">
      <c r="B37" t="s">
        <v>41</v>
      </c>
      <c r="C37" s="16" t="s">
        <v>27</v>
      </c>
      <c r="D37" s="16" t="s">
        <v>27</v>
      </c>
      <c r="E37" s="16" t="s">
        <v>27</v>
      </c>
      <c r="F37" s="16" t="s">
        <v>27</v>
      </c>
      <c r="G37" s="16" t="s">
        <v>27</v>
      </c>
      <c r="H37" s="16" t="s">
        <v>27</v>
      </c>
    </row>
    <row r="38" spans="2:8" x14ac:dyDescent="0.3">
      <c r="B38" t="s">
        <v>42</v>
      </c>
      <c r="C38" s="176">
        <v>523964000000</v>
      </c>
      <c r="D38" s="176">
        <v>559151000000</v>
      </c>
      <c r="E38" s="176">
        <v>572754000000</v>
      </c>
      <c r="F38" s="176">
        <v>611289000000</v>
      </c>
      <c r="G38" s="176">
        <v>648125000000</v>
      </c>
      <c r="H38" s="176">
        <v>673819000000</v>
      </c>
    </row>
    <row r="39" spans="2:8" x14ac:dyDescent="0.3">
      <c r="B39" t="s">
        <v>43</v>
      </c>
      <c r="C39" s="176">
        <v>20568000000</v>
      </c>
      <c r="D39" s="176">
        <v>22548000000</v>
      </c>
      <c r="E39" s="176">
        <v>25942000000</v>
      </c>
      <c r="F39" s="176">
        <v>20428000000</v>
      </c>
      <c r="G39" s="176">
        <v>27012000000</v>
      </c>
      <c r="H39" s="176">
        <v>28743000000</v>
      </c>
    </row>
    <row r="40" spans="2:8" x14ac:dyDescent="0.3">
      <c r="B40" t="s">
        <v>44</v>
      </c>
      <c r="C40" s="176">
        <v>0.24399999999999999</v>
      </c>
      <c r="D40" s="176">
        <v>0.33300000000000002</v>
      </c>
      <c r="E40" s="176">
        <v>0.254</v>
      </c>
      <c r="F40" s="176">
        <v>0.33600000000000002</v>
      </c>
      <c r="G40" s="176">
        <v>0.255</v>
      </c>
      <c r="H40" s="16" t="s">
        <v>27</v>
      </c>
    </row>
    <row r="41" spans="2:8" x14ac:dyDescent="0.3">
      <c r="B41" t="s">
        <v>45</v>
      </c>
      <c r="C41" s="176">
        <v>21407000000</v>
      </c>
      <c r="D41" s="176">
        <v>23180000000</v>
      </c>
      <c r="E41" s="176">
        <v>26050000000</v>
      </c>
      <c r="F41" s="176">
        <v>24602000000</v>
      </c>
      <c r="G41" s="176">
        <v>27105000000</v>
      </c>
      <c r="H41" s="176">
        <v>28998000000</v>
      </c>
    </row>
    <row r="42" spans="2:8" x14ac:dyDescent="0.3">
      <c r="B42" t="s">
        <v>46</v>
      </c>
      <c r="C42" s="16" t="s">
        <v>27</v>
      </c>
      <c r="D42" s="16" t="s">
        <v>27</v>
      </c>
      <c r="E42" s="16" t="s">
        <v>27</v>
      </c>
      <c r="F42" s="16" t="s">
        <v>27</v>
      </c>
      <c r="G42" s="16" t="s">
        <v>27</v>
      </c>
      <c r="H42" s="16" t="s">
        <v>27</v>
      </c>
    </row>
    <row r="43" spans="2:8" x14ac:dyDescent="0.3">
      <c r="B43" t="s">
        <v>47</v>
      </c>
      <c r="C43" s="176">
        <v>-11000000000</v>
      </c>
      <c r="D43" s="176">
        <v>-11200000000</v>
      </c>
      <c r="E43" s="176">
        <v>-10700000000</v>
      </c>
      <c r="F43" s="176">
        <v>0</v>
      </c>
      <c r="G43" s="176">
        <v>-11900000000</v>
      </c>
      <c r="H43" s="16" t="s">
        <v>27</v>
      </c>
    </row>
    <row r="44" spans="2:8" x14ac:dyDescent="0.3">
      <c r="B44" t="s">
        <v>48</v>
      </c>
      <c r="C44" s="176">
        <v>-11000000000</v>
      </c>
      <c r="D44" s="176">
        <v>-11200000000</v>
      </c>
      <c r="E44" s="176">
        <v>-10700000000</v>
      </c>
      <c r="F44" s="176">
        <v>0</v>
      </c>
      <c r="G44" s="176">
        <v>-11900000000</v>
      </c>
      <c r="H44" s="176">
        <v>-11900000000</v>
      </c>
    </row>
    <row r="45" spans="2:8" x14ac:dyDescent="0.3">
      <c r="B45" t="s">
        <v>49</v>
      </c>
      <c r="C45" s="16" t="s">
        <v>27</v>
      </c>
      <c r="D45" s="16" t="s">
        <v>27</v>
      </c>
      <c r="E45" s="16" t="s">
        <v>27</v>
      </c>
      <c r="F45" s="16" t="s">
        <v>27</v>
      </c>
      <c r="G45" s="16" t="s">
        <v>27</v>
      </c>
      <c r="H45" s="16" t="s">
        <v>27</v>
      </c>
    </row>
    <row r="46" spans="2:8" x14ac:dyDescent="0.3">
      <c r="B46" t="s">
        <v>50</v>
      </c>
      <c r="C46" s="176">
        <v>1.74</v>
      </c>
      <c r="D46" s="176">
        <v>1.59</v>
      </c>
      <c r="E46" s="176">
        <v>1.63</v>
      </c>
      <c r="F46" s="176">
        <v>1.43</v>
      </c>
      <c r="G46" s="176">
        <v>1.92</v>
      </c>
      <c r="H46" s="176">
        <v>2.44</v>
      </c>
    </row>
    <row r="47" spans="2:8" x14ac:dyDescent="0.3">
      <c r="B47" t="s">
        <v>51</v>
      </c>
      <c r="C47" s="176">
        <v>1.74</v>
      </c>
      <c r="D47" s="176">
        <v>1.59</v>
      </c>
      <c r="E47" s="176">
        <v>1.63</v>
      </c>
      <c r="F47" s="176">
        <v>1.43</v>
      </c>
      <c r="G47" s="176">
        <v>1.92</v>
      </c>
      <c r="H47" s="176">
        <v>2.44</v>
      </c>
    </row>
    <row r="48" spans="2:8" x14ac:dyDescent="0.3">
      <c r="B48" t="s">
        <v>52</v>
      </c>
      <c r="C48" s="16" t="s">
        <v>27</v>
      </c>
      <c r="D48" s="16" t="s">
        <v>27</v>
      </c>
      <c r="E48" s="16" t="s">
        <v>27</v>
      </c>
      <c r="F48" s="16" t="s">
        <v>27</v>
      </c>
      <c r="G48" s="16" t="s">
        <v>27</v>
      </c>
      <c r="H48" s="16" t="s">
        <v>27</v>
      </c>
    </row>
    <row r="49" spans="2:8" x14ac:dyDescent="0.3">
      <c r="B49" t="s">
        <v>53</v>
      </c>
      <c r="C49" s="176">
        <v>1.73</v>
      </c>
      <c r="D49" s="176">
        <v>1.58</v>
      </c>
      <c r="E49" s="176">
        <v>1.62</v>
      </c>
      <c r="F49" s="176">
        <v>1.42</v>
      </c>
      <c r="G49" s="176">
        <v>1.91</v>
      </c>
      <c r="H49" s="176">
        <v>2.4300000000000002</v>
      </c>
    </row>
    <row r="50" spans="2:8" x14ac:dyDescent="0.3">
      <c r="B50" t="s">
        <v>54</v>
      </c>
      <c r="C50" s="176">
        <v>1.73</v>
      </c>
      <c r="D50" s="176">
        <v>1.58</v>
      </c>
      <c r="E50" s="176">
        <v>1.62</v>
      </c>
      <c r="F50" s="176">
        <v>1.42</v>
      </c>
      <c r="G50" s="176">
        <v>1.91</v>
      </c>
      <c r="H50" s="176">
        <v>2.42</v>
      </c>
    </row>
    <row r="51" spans="2:8" x14ac:dyDescent="0.3">
      <c r="B51" t="s">
        <v>55</v>
      </c>
      <c r="C51" s="16" t="s">
        <v>27</v>
      </c>
      <c r="D51" s="16" t="s">
        <v>27</v>
      </c>
      <c r="E51" s="16" t="s">
        <v>27</v>
      </c>
      <c r="F51" s="16" t="s">
        <v>27</v>
      </c>
      <c r="G51" s="16" t="s">
        <v>27</v>
      </c>
      <c r="H51" s="16" t="s">
        <v>27</v>
      </c>
    </row>
    <row r="52" spans="2:8" x14ac:dyDescent="0.3">
      <c r="B52" t="s">
        <v>56</v>
      </c>
      <c r="C52" s="176">
        <v>8550000000</v>
      </c>
      <c r="D52" s="176">
        <v>8493000000</v>
      </c>
      <c r="E52" s="176">
        <v>8376000000</v>
      </c>
      <c r="F52" s="176">
        <v>8172000000</v>
      </c>
      <c r="G52" s="176">
        <v>8077000000</v>
      </c>
      <c r="H52" s="176">
        <v>8050000000</v>
      </c>
    </row>
    <row r="53" spans="2:8" x14ac:dyDescent="0.3">
      <c r="B53" t="s">
        <v>57</v>
      </c>
      <c r="C53" s="176">
        <v>8604000000</v>
      </c>
      <c r="D53" s="176">
        <v>8541000000</v>
      </c>
      <c r="E53" s="176">
        <v>8415000000</v>
      </c>
      <c r="F53" s="176">
        <v>8202000000</v>
      </c>
      <c r="G53" s="176">
        <v>8108000000</v>
      </c>
      <c r="H53" s="176">
        <v>8087000000</v>
      </c>
    </row>
    <row r="54" spans="2:8" x14ac:dyDescent="0.3">
      <c r="B54" t="s">
        <v>58</v>
      </c>
      <c r="C54" s="176">
        <v>1.64</v>
      </c>
      <c r="D54" s="176">
        <v>1.83</v>
      </c>
      <c r="E54" s="176">
        <v>2.15</v>
      </c>
      <c r="F54" s="176">
        <v>2.1</v>
      </c>
      <c r="G54" s="176">
        <v>2.2200000000000002</v>
      </c>
      <c r="H54" s="176">
        <v>2.44</v>
      </c>
    </row>
    <row r="55" spans="2:8" x14ac:dyDescent="0.3">
      <c r="B55" t="s">
        <v>59</v>
      </c>
      <c r="C55" s="176">
        <v>0.71</v>
      </c>
      <c r="D55" s="176">
        <v>0.72</v>
      </c>
      <c r="E55" s="176">
        <v>0.73</v>
      </c>
      <c r="F55" s="176">
        <v>0.75</v>
      </c>
      <c r="G55" s="176">
        <v>0.76</v>
      </c>
      <c r="H55" s="176">
        <v>0.81</v>
      </c>
    </row>
    <row r="56" spans="2:8" x14ac:dyDescent="0.3">
      <c r="B56" t="s">
        <v>60</v>
      </c>
      <c r="C56" s="176">
        <v>0.71</v>
      </c>
      <c r="D56" s="176">
        <v>0.72</v>
      </c>
      <c r="E56" s="176">
        <v>0.73</v>
      </c>
      <c r="F56" s="176">
        <v>0.75</v>
      </c>
      <c r="G56" s="176">
        <v>0.76</v>
      </c>
      <c r="H56" s="176">
        <v>0.81</v>
      </c>
    </row>
    <row r="57" spans="2:8" x14ac:dyDescent="0.3">
      <c r="B57" t="s">
        <v>50</v>
      </c>
      <c r="C57" s="176">
        <v>1.74</v>
      </c>
      <c r="D57" s="176">
        <v>1.59</v>
      </c>
      <c r="E57" s="176">
        <v>1.63</v>
      </c>
      <c r="F57" s="176">
        <v>1.43</v>
      </c>
      <c r="G57" s="176">
        <v>1.92</v>
      </c>
      <c r="H57" s="176">
        <v>2.44</v>
      </c>
    </row>
    <row r="58" spans="2:8" x14ac:dyDescent="0.3">
      <c r="B58" t="s">
        <v>53</v>
      </c>
      <c r="C58" s="176">
        <v>1.73</v>
      </c>
      <c r="D58" s="176">
        <v>1.58</v>
      </c>
      <c r="E58" s="176">
        <v>1.62</v>
      </c>
      <c r="F58" s="176">
        <v>1.42</v>
      </c>
      <c r="G58" s="176">
        <v>1.91</v>
      </c>
      <c r="H58" s="176">
        <v>2.42</v>
      </c>
    </row>
    <row r="59" spans="2:8" x14ac:dyDescent="0.3">
      <c r="B59" t="s">
        <v>61</v>
      </c>
      <c r="C59" s="176">
        <v>8550000000</v>
      </c>
      <c r="D59" s="176">
        <v>8493000000</v>
      </c>
      <c r="E59" s="176">
        <v>8376000000</v>
      </c>
      <c r="F59" s="176">
        <v>8172000000</v>
      </c>
      <c r="G59" s="176">
        <v>8076999999</v>
      </c>
      <c r="H59" s="176">
        <v>8049999999</v>
      </c>
    </row>
    <row r="60" spans="2:8" x14ac:dyDescent="0.3">
      <c r="B60" t="s">
        <v>62</v>
      </c>
      <c r="C60" s="176">
        <v>8604000000</v>
      </c>
      <c r="D60" s="176">
        <v>8541000000</v>
      </c>
      <c r="E60" s="176">
        <v>8415000000</v>
      </c>
      <c r="F60" s="176">
        <v>8202000000</v>
      </c>
      <c r="G60" s="176">
        <v>8108000000</v>
      </c>
      <c r="H60" s="176">
        <v>8087000000</v>
      </c>
    </row>
    <row r="61" spans="2:8" x14ac:dyDescent="0.3">
      <c r="B61" t="s">
        <v>63</v>
      </c>
    </row>
    <row r="64" spans="2:8" x14ac:dyDescent="0.3">
      <c r="B64" s="10" t="s">
        <v>65</v>
      </c>
    </row>
    <row r="65" spans="2:8" x14ac:dyDescent="0.3">
      <c r="B65" s="9" t="s">
        <v>66</v>
      </c>
      <c r="C65" s="9" t="s">
        <v>7</v>
      </c>
      <c r="D65" s="9" t="s">
        <v>8</v>
      </c>
      <c r="E65" s="9" t="s">
        <v>9</v>
      </c>
      <c r="F65" s="9" t="s">
        <v>10</v>
      </c>
      <c r="G65" s="9" t="s">
        <v>11</v>
      </c>
      <c r="H65" s="1"/>
    </row>
    <row r="66" spans="2:8" x14ac:dyDescent="0.3">
      <c r="B66" t="s">
        <v>67</v>
      </c>
      <c r="C66" s="176">
        <v>236495000000</v>
      </c>
      <c r="D66" s="176">
        <v>252496000000</v>
      </c>
      <c r="E66" s="176">
        <v>244860000000</v>
      </c>
      <c r="F66" s="176">
        <v>243197000000</v>
      </c>
      <c r="G66" s="176">
        <v>252399000000</v>
      </c>
    </row>
    <row r="67" spans="2:8" x14ac:dyDescent="0.3">
      <c r="B67" t="s">
        <v>68</v>
      </c>
      <c r="C67" s="176">
        <v>61806000000</v>
      </c>
      <c r="D67" s="176">
        <v>90067000000</v>
      </c>
      <c r="E67" s="176">
        <v>81070000000</v>
      </c>
      <c r="F67" s="176">
        <v>75655000000</v>
      </c>
      <c r="G67" s="176">
        <v>76877000000</v>
      </c>
    </row>
    <row r="68" spans="2:8" x14ac:dyDescent="0.3">
      <c r="B68" t="s">
        <v>69</v>
      </c>
      <c r="C68" s="176">
        <v>9465000000</v>
      </c>
      <c r="D68" s="176">
        <v>17741000000</v>
      </c>
      <c r="E68" s="176">
        <v>14760000000</v>
      </c>
      <c r="F68" s="176">
        <v>8625000000</v>
      </c>
      <c r="G68" s="176">
        <v>9867000000</v>
      </c>
    </row>
    <row r="69" spans="2:8" x14ac:dyDescent="0.3">
      <c r="B69" t="s">
        <v>70</v>
      </c>
      <c r="C69" s="176">
        <v>9465000000</v>
      </c>
      <c r="D69" s="176">
        <v>17741000000</v>
      </c>
      <c r="E69" s="176">
        <v>14760000000</v>
      </c>
      <c r="F69" s="176">
        <v>8625000000</v>
      </c>
      <c r="G69" s="176">
        <v>9867000000</v>
      </c>
    </row>
    <row r="70" spans="2:8" x14ac:dyDescent="0.3">
      <c r="B70" t="s">
        <v>71</v>
      </c>
      <c r="C70" s="176">
        <v>44435000000</v>
      </c>
      <c r="D70" s="176">
        <v>44949000000</v>
      </c>
      <c r="E70" s="176">
        <v>56511000000</v>
      </c>
      <c r="F70" s="176">
        <v>56576000000</v>
      </c>
      <c r="G70" s="176">
        <v>54892000000</v>
      </c>
    </row>
    <row r="71" spans="2:8" x14ac:dyDescent="0.3">
      <c r="B71" t="s">
        <v>72</v>
      </c>
      <c r="C71" s="176">
        <v>6284000000</v>
      </c>
      <c r="D71" s="176">
        <v>6516000000</v>
      </c>
      <c r="E71" s="176">
        <v>8280000000</v>
      </c>
      <c r="F71" s="176">
        <v>7933000000</v>
      </c>
      <c r="G71" s="176">
        <v>8796000000</v>
      </c>
    </row>
    <row r="72" spans="2:8" x14ac:dyDescent="0.3">
      <c r="B72" t="s">
        <v>73</v>
      </c>
      <c r="C72" s="176">
        <v>6284000000</v>
      </c>
      <c r="D72" s="176">
        <v>6516000000</v>
      </c>
      <c r="E72" s="176">
        <v>8280000000</v>
      </c>
      <c r="F72" s="176">
        <v>7933000000</v>
      </c>
      <c r="G72" s="176">
        <v>8796000000</v>
      </c>
    </row>
    <row r="73" spans="2:8" x14ac:dyDescent="0.3">
      <c r="B73" t="s">
        <v>74</v>
      </c>
      <c r="C73" s="176">
        <v>1622000000</v>
      </c>
      <c r="D73" s="176">
        <v>20861000000</v>
      </c>
      <c r="E73" s="176">
        <v>1519000000</v>
      </c>
      <c r="F73" s="176">
        <v>2521000000</v>
      </c>
      <c r="G73" s="176">
        <v>3322000000</v>
      </c>
    </row>
    <row r="74" spans="2:8" x14ac:dyDescent="0.3">
      <c r="B74" t="s">
        <v>75</v>
      </c>
      <c r="C74" s="16" t="s">
        <v>27</v>
      </c>
      <c r="D74" s="16" t="s">
        <v>27</v>
      </c>
      <c r="E74" s="16" t="s">
        <v>27</v>
      </c>
      <c r="F74" s="16" t="s">
        <v>27</v>
      </c>
      <c r="G74" s="16" t="s">
        <v>27</v>
      </c>
    </row>
    <row r="75" spans="2:8" x14ac:dyDescent="0.3">
      <c r="B75" t="s">
        <v>76</v>
      </c>
      <c r="C75" s="176">
        <v>174689000000</v>
      </c>
      <c r="D75" s="176">
        <v>162429000000</v>
      </c>
      <c r="E75" s="176">
        <v>163790000000</v>
      </c>
      <c r="F75" s="176">
        <v>167542000000</v>
      </c>
      <c r="G75" s="176">
        <v>175522000000</v>
      </c>
    </row>
    <row r="76" spans="2:8" x14ac:dyDescent="0.3">
      <c r="B76" t="s">
        <v>77</v>
      </c>
      <c r="C76" s="176">
        <v>127049000000</v>
      </c>
      <c r="D76" s="176">
        <v>109848000000</v>
      </c>
      <c r="E76" s="176">
        <v>112624000000</v>
      </c>
      <c r="F76" s="176">
        <v>119234000000</v>
      </c>
      <c r="G76" s="176">
        <v>130338000000</v>
      </c>
    </row>
    <row r="77" spans="2:8" x14ac:dyDescent="0.3">
      <c r="B77" t="s">
        <v>78</v>
      </c>
      <c r="C77" s="176">
        <v>216869000000</v>
      </c>
      <c r="D77" s="176">
        <v>198218000000</v>
      </c>
      <c r="E77" s="176">
        <v>207433000000</v>
      </c>
      <c r="F77" s="176">
        <v>220844000000</v>
      </c>
      <c r="G77" s="176">
        <v>239387000000</v>
      </c>
    </row>
    <row r="78" spans="2:8" x14ac:dyDescent="0.3">
      <c r="B78" t="s">
        <v>79</v>
      </c>
      <c r="C78" s="176">
        <v>130293000000</v>
      </c>
      <c r="D78" s="176">
        <v>116890000000</v>
      </c>
      <c r="E78" s="176">
        <v>119580000000</v>
      </c>
      <c r="F78" s="176">
        <v>123871000000</v>
      </c>
      <c r="G78" s="176">
        <v>131329000000</v>
      </c>
    </row>
    <row r="79" spans="2:8" x14ac:dyDescent="0.3">
      <c r="B79" t="s">
        <v>80</v>
      </c>
      <c r="C79" s="176">
        <v>24619000000</v>
      </c>
      <c r="D79" s="176">
        <v>19308000000</v>
      </c>
      <c r="E79" s="176">
        <v>19204000000</v>
      </c>
      <c r="F79" s="176">
        <v>19317000000</v>
      </c>
      <c r="G79" s="176">
        <v>19562000000</v>
      </c>
    </row>
    <row r="80" spans="2:8" x14ac:dyDescent="0.3">
      <c r="B80" t="s">
        <v>81</v>
      </c>
      <c r="C80" s="176">
        <v>105674000000</v>
      </c>
      <c r="D80" s="176">
        <v>97582000000</v>
      </c>
      <c r="E80" s="176">
        <v>100376000000</v>
      </c>
      <c r="F80" s="176">
        <v>104554000000</v>
      </c>
      <c r="G80" s="176">
        <v>111767000000</v>
      </c>
    </row>
    <row r="81" spans="2:7" x14ac:dyDescent="0.3">
      <c r="B81" t="s">
        <v>82</v>
      </c>
      <c r="C81" s="176">
        <v>60984000000</v>
      </c>
      <c r="D81" s="176">
        <v>58940000000</v>
      </c>
      <c r="E81" s="176">
        <v>62545000000</v>
      </c>
      <c r="F81" s="176">
        <v>67697000000</v>
      </c>
      <c r="G81" s="176">
        <v>75140000000</v>
      </c>
    </row>
    <row r="82" spans="2:7" x14ac:dyDescent="0.3">
      <c r="B82" t="s">
        <v>83</v>
      </c>
      <c r="C82" s="176">
        <v>58607000000</v>
      </c>
      <c r="D82" s="176">
        <v>56639000000</v>
      </c>
      <c r="E82" s="176">
        <v>60282000000</v>
      </c>
      <c r="F82" s="176">
        <v>65235000000</v>
      </c>
      <c r="G82" s="176">
        <v>72161000000</v>
      </c>
    </row>
    <row r="83" spans="2:7" x14ac:dyDescent="0.3">
      <c r="B83" t="s">
        <v>84</v>
      </c>
      <c r="C83" s="176">
        <v>2377000000</v>
      </c>
      <c r="D83" s="176">
        <v>2301000000</v>
      </c>
      <c r="E83" s="176">
        <v>2263000000</v>
      </c>
      <c r="F83" s="176">
        <v>2462000000</v>
      </c>
      <c r="G83" s="176">
        <v>2979000000</v>
      </c>
    </row>
    <row r="84" spans="2:7" x14ac:dyDescent="0.3">
      <c r="B84" t="s">
        <v>85</v>
      </c>
      <c r="C84" s="176">
        <v>3751000000</v>
      </c>
      <c r="D84" s="176">
        <v>4741000000</v>
      </c>
      <c r="E84" s="176">
        <v>7199000000</v>
      </c>
      <c r="F84" s="176">
        <v>10802000000</v>
      </c>
      <c r="G84" s="176">
        <v>13390000000</v>
      </c>
    </row>
    <row r="85" spans="2:7" x14ac:dyDescent="0.3">
      <c r="B85" t="s">
        <v>86</v>
      </c>
      <c r="C85" s="176">
        <v>21841000000</v>
      </c>
      <c r="D85" s="176">
        <v>17647000000</v>
      </c>
      <c r="E85" s="176">
        <v>18109000000</v>
      </c>
      <c r="F85" s="176">
        <v>18474000000</v>
      </c>
      <c r="G85" s="176">
        <v>19528000000</v>
      </c>
    </row>
    <row r="86" spans="2:7" x14ac:dyDescent="0.3">
      <c r="B86" t="s">
        <v>87</v>
      </c>
      <c r="C86" s="176">
        <v>-89820000000</v>
      </c>
      <c r="D86" s="176">
        <v>-88370000000</v>
      </c>
      <c r="E86" s="176">
        <v>-94809000000</v>
      </c>
      <c r="F86" s="176">
        <v>-101610000000</v>
      </c>
      <c r="G86" s="176">
        <v>-109049000000</v>
      </c>
    </row>
    <row r="87" spans="2:7" x14ac:dyDescent="0.3">
      <c r="B87" t="s">
        <v>88</v>
      </c>
      <c r="C87" s="176">
        <v>-89820000000</v>
      </c>
      <c r="D87" s="176">
        <v>-88370000000</v>
      </c>
      <c r="E87" s="176">
        <v>-94809000000</v>
      </c>
      <c r="F87" s="176">
        <v>-101610000000</v>
      </c>
      <c r="G87" s="176">
        <v>-109049000000</v>
      </c>
    </row>
    <row r="88" spans="2:7" x14ac:dyDescent="0.3">
      <c r="B88" t="s">
        <v>89</v>
      </c>
      <c r="C88" s="176">
        <v>-89820000000</v>
      </c>
      <c r="D88" s="176">
        <v>-88370000000</v>
      </c>
      <c r="E88" s="176">
        <v>-94809000000</v>
      </c>
      <c r="F88" s="176">
        <v>-101610000000</v>
      </c>
      <c r="G88" s="176">
        <v>-109049000000</v>
      </c>
    </row>
    <row r="89" spans="2:7" x14ac:dyDescent="0.3">
      <c r="B89" t="s">
        <v>90</v>
      </c>
      <c r="C89" s="16" t="s">
        <v>27</v>
      </c>
      <c r="D89" s="16" t="s">
        <v>27</v>
      </c>
      <c r="E89" s="16" t="s">
        <v>27</v>
      </c>
      <c r="F89" s="16" t="s">
        <v>27</v>
      </c>
      <c r="G89" s="16" t="s">
        <v>27</v>
      </c>
    </row>
    <row r="90" spans="2:7" x14ac:dyDescent="0.3">
      <c r="B90" t="s">
        <v>91</v>
      </c>
      <c r="C90" s="176">
        <v>31073000000</v>
      </c>
      <c r="D90" s="176">
        <v>28983000000</v>
      </c>
      <c r="E90" s="176">
        <v>29014000000</v>
      </c>
      <c r="F90" s="176">
        <v>28174000000</v>
      </c>
      <c r="G90" s="176">
        <v>28113000000</v>
      </c>
    </row>
    <row r="91" spans="2:7" x14ac:dyDescent="0.3">
      <c r="B91" t="s">
        <v>92</v>
      </c>
      <c r="C91" s="176">
        <v>31073000000</v>
      </c>
      <c r="D91" s="176">
        <v>28983000000</v>
      </c>
      <c r="E91" s="176">
        <v>29014000000</v>
      </c>
      <c r="F91" s="176">
        <v>28174000000</v>
      </c>
      <c r="G91" s="176">
        <v>28113000000</v>
      </c>
    </row>
    <row r="92" spans="2:7" x14ac:dyDescent="0.3">
      <c r="B92" t="s">
        <v>93</v>
      </c>
      <c r="C92" s="176">
        <v>31073000000</v>
      </c>
      <c r="D92" s="176">
        <v>28983000000</v>
      </c>
      <c r="E92" s="176">
        <v>29014000000</v>
      </c>
      <c r="F92" s="176">
        <v>28174000000</v>
      </c>
      <c r="G92" s="176">
        <v>28113000000</v>
      </c>
    </row>
    <row r="93" spans="2:7" x14ac:dyDescent="0.3">
      <c r="B93" t="s">
        <v>94</v>
      </c>
      <c r="C93" s="176">
        <v>16567000000</v>
      </c>
      <c r="D93" s="176">
        <v>23598000000</v>
      </c>
      <c r="E93" s="176">
        <v>22152000000</v>
      </c>
      <c r="F93" s="176">
        <v>20134000000</v>
      </c>
      <c r="G93" s="176">
        <v>17071000000</v>
      </c>
    </row>
    <row r="94" spans="2:7" x14ac:dyDescent="0.3">
      <c r="B94" t="s">
        <v>95</v>
      </c>
      <c r="C94" s="176">
        <v>154943000000</v>
      </c>
      <c r="D94" s="176">
        <v>164965000000</v>
      </c>
      <c r="E94" s="176">
        <v>152969000000</v>
      </c>
      <c r="F94" s="176">
        <v>159206000000</v>
      </c>
      <c r="G94" s="176">
        <v>161828000000</v>
      </c>
    </row>
    <row r="95" spans="2:7" x14ac:dyDescent="0.3">
      <c r="B95" t="s">
        <v>96</v>
      </c>
      <c r="C95" s="176">
        <v>77790000000</v>
      </c>
      <c r="D95" s="176">
        <v>92645000000</v>
      </c>
      <c r="E95" s="176">
        <v>87379000000</v>
      </c>
      <c r="F95" s="176">
        <v>92198000000</v>
      </c>
      <c r="G95" s="176">
        <v>92415000000</v>
      </c>
    </row>
    <row r="96" spans="2:7" x14ac:dyDescent="0.3">
      <c r="B96" t="s">
        <v>97</v>
      </c>
      <c r="C96" s="176">
        <v>67559000000</v>
      </c>
      <c r="D96" s="176">
        <v>72305000000</v>
      </c>
      <c r="E96" s="176">
        <v>79592000000</v>
      </c>
      <c r="F96" s="176">
        <v>83107000000</v>
      </c>
      <c r="G96" s="176">
        <v>83214000000</v>
      </c>
    </row>
    <row r="97" spans="2:7" x14ac:dyDescent="0.3">
      <c r="B97" t="s">
        <v>98</v>
      </c>
      <c r="C97" s="176">
        <v>50292000000</v>
      </c>
      <c r="D97" s="176">
        <v>52711000000</v>
      </c>
      <c r="E97" s="176">
        <v>59359000000</v>
      </c>
      <c r="F97" s="176">
        <v>57894000000</v>
      </c>
      <c r="G97" s="176">
        <v>60578000000</v>
      </c>
    </row>
    <row r="98" spans="2:7" x14ac:dyDescent="0.3">
      <c r="B98" t="s">
        <v>99</v>
      </c>
      <c r="C98" s="176">
        <v>46973000000</v>
      </c>
      <c r="D98" s="176">
        <v>49141000000</v>
      </c>
      <c r="E98" s="176">
        <v>55261000000</v>
      </c>
      <c r="F98" s="176">
        <v>53742000000</v>
      </c>
      <c r="G98" s="176">
        <v>56812000000</v>
      </c>
    </row>
    <row r="99" spans="2:7" x14ac:dyDescent="0.3">
      <c r="B99" t="s">
        <v>100</v>
      </c>
      <c r="C99" s="176">
        <v>3319000000</v>
      </c>
      <c r="D99" s="176">
        <v>3570000000</v>
      </c>
      <c r="E99" s="176">
        <v>4098000000</v>
      </c>
      <c r="F99" s="176">
        <v>4152000000</v>
      </c>
      <c r="G99" s="176">
        <v>3766000000</v>
      </c>
    </row>
    <row r="100" spans="2:7" x14ac:dyDescent="0.3">
      <c r="B100" t="s">
        <v>101</v>
      </c>
      <c r="C100" s="176">
        <v>17267000000</v>
      </c>
      <c r="D100" s="176">
        <v>19594000000</v>
      </c>
      <c r="E100" s="176">
        <v>20233000000</v>
      </c>
      <c r="F100" s="176">
        <v>25213000000</v>
      </c>
      <c r="G100" s="176">
        <v>22636000000</v>
      </c>
    </row>
    <row r="101" spans="2:7" x14ac:dyDescent="0.3">
      <c r="B101" t="s">
        <v>102</v>
      </c>
      <c r="C101" s="176">
        <v>8241000000</v>
      </c>
      <c r="D101" s="176">
        <v>5296000000</v>
      </c>
      <c r="E101" s="176">
        <v>5207000000</v>
      </c>
      <c r="F101" s="176">
        <v>6603000000</v>
      </c>
      <c r="G101" s="176">
        <v>6537000000</v>
      </c>
    </row>
    <row r="102" spans="2:7" x14ac:dyDescent="0.3">
      <c r="B102" t="s">
        <v>103</v>
      </c>
      <c r="C102" s="176">
        <v>8241000000</v>
      </c>
      <c r="D102" s="176">
        <v>5296000000</v>
      </c>
      <c r="E102" s="176">
        <v>5207000000</v>
      </c>
      <c r="F102" s="176">
        <v>6603000000</v>
      </c>
      <c r="G102" s="176">
        <v>6537000000</v>
      </c>
    </row>
    <row r="103" spans="2:7" x14ac:dyDescent="0.3">
      <c r="B103" t="s">
        <v>104</v>
      </c>
      <c r="C103" s="176">
        <v>575000000</v>
      </c>
      <c r="D103" s="176">
        <v>224000000</v>
      </c>
      <c r="E103" s="176">
        <v>410000000</v>
      </c>
      <c r="F103" s="176">
        <v>372000000</v>
      </c>
      <c r="G103" s="176">
        <v>878000000</v>
      </c>
    </row>
    <row r="104" spans="2:7" x14ac:dyDescent="0.3">
      <c r="B104" t="s">
        <v>105</v>
      </c>
      <c r="C104" s="176">
        <v>7666000000</v>
      </c>
      <c r="D104" s="176">
        <v>5072000000</v>
      </c>
      <c r="E104" s="176">
        <v>4797000000</v>
      </c>
      <c r="F104" s="176">
        <v>6231000000</v>
      </c>
      <c r="G104" s="176">
        <v>5659000000</v>
      </c>
    </row>
    <row r="105" spans="2:7" x14ac:dyDescent="0.3">
      <c r="B105" t="s">
        <v>106</v>
      </c>
      <c r="C105" s="176">
        <v>5362000000</v>
      </c>
      <c r="D105" s="176">
        <v>3115000000</v>
      </c>
      <c r="E105" s="176">
        <v>2803000000</v>
      </c>
      <c r="F105" s="176">
        <v>4191000000</v>
      </c>
      <c r="G105" s="176">
        <v>3447000000</v>
      </c>
    </row>
    <row r="106" spans="2:7" x14ac:dyDescent="0.3">
      <c r="B106" t="s">
        <v>107</v>
      </c>
      <c r="C106" s="176">
        <v>2304000000</v>
      </c>
      <c r="D106" s="176">
        <v>1957000000</v>
      </c>
      <c r="E106" s="176">
        <v>1994000000</v>
      </c>
      <c r="F106" s="176">
        <v>2040000000</v>
      </c>
      <c r="G106" s="176">
        <v>2212000000</v>
      </c>
    </row>
    <row r="107" spans="2:7" x14ac:dyDescent="0.3">
      <c r="B107" t="s">
        <v>108</v>
      </c>
      <c r="C107" s="176">
        <v>1990000000</v>
      </c>
      <c r="D107" s="176">
        <v>2310000000</v>
      </c>
      <c r="E107" s="176">
        <v>2559000000</v>
      </c>
      <c r="F107" s="176">
        <v>2488000000</v>
      </c>
      <c r="G107" s="176">
        <v>2664000000</v>
      </c>
    </row>
    <row r="108" spans="2:7" x14ac:dyDescent="0.3">
      <c r="B108" t="s">
        <v>109</v>
      </c>
      <c r="C108" s="176">
        <v>1990000000</v>
      </c>
      <c r="D108" s="176">
        <v>2310000000</v>
      </c>
      <c r="E108" s="176">
        <v>2559000000</v>
      </c>
      <c r="F108" s="176">
        <v>2488000000</v>
      </c>
      <c r="G108" s="176">
        <v>2664000000</v>
      </c>
    </row>
    <row r="109" spans="2:7" x14ac:dyDescent="0.3">
      <c r="B109" t="s">
        <v>110</v>
      </c>
      <c r="C109" s="176">
        <v>0</v>
      </c>
      <c r="D109" s="176">
        <v>12734000000</v>
      </c>
      <c r="E109" s="176">
        <v>21000000</v>
      </c>
      <c r="F109" s="176">
        <v>0</v>
      </c>
      <c r="G109" s="176">
        <v>0</v>
      </c>
    </row>
    <row r="110" spans="2:7" x14ac:dyDescent="0.3">
      <c r="B110" t="s">
        <v>111</v>
      </c>
      <c r="C110" s="176">
        <v>77153000000</v>
      </c>
      <c r="D110" s="176">
        <v>72320000000</v>
      </c>
      <c r="E110" s="176">
        <v>65590000000</v>
      </c>
      <c r="F110" s="176">
        <v>67008000000</v>
      </c>
      <c r="G110" s="176">
        <v>69413000000</v>
      </c>
    </row>
    <row r="111" spans="2:7" x14ac:dyDescent="0.3">
      <c r="B111" t="s">
        <v>112</v>
      </c>
      <c r="C111" s="176">
        <v>64192000000</v>
      </c>
      <c r="D111" s="176">
        <v>57950000000</v>
      </c>
      <c r="E111" s="176">
        <v>52116000000</v>
      </c>
      <c r="F111" s="176">
        <v>52320000000</v>
      </c>
      <c r="G111" s="176">
        <v>54784000000</v>
      </c>
    </row>
    <row r="112" spans="2:7" x14ac:dyDescent="0.3">
      <c r="B112" t="s">
        <v>113</v>
      </c>
      <c r="C112" s="176">
        <v>64192000000</v>
      </c>
      <c r="D112" s="176">
        <v>57950000000</v>
      </c>
      <c r="E112" s="176">
        <v>52116000000</v>
      </c>
      <c r="F112" s="176">
        <v>52320000000</v>
      </c>
      <c r="G112" s="176">
        <v>54784000000</v>
      </c>
    </row>
    <row r="113" spans="2:7" x14ac:dyDescent="0.3">
      <c r="B113" t="s">
        <v>114</v>
      </c>
      <c r="C113" s="176">
        <v>43714000000</v>
      </c>
      <c r="D113" s="176">
        <v>41194000000</v>
      </c>
      <c r="E113" s="176">
        <v>34864000000</v>
      </c>
      <c r="F113" s="176">
        <v>34649000000</v>
      </c>
      <c r="G113" s="176">
        <v>36132000000</v>
      </c>
    </row>
    <row r="114" spans="2:7" x14ac:dyDescent="0.3">
      <c r="B114" t="s">
        <v>115</v>
      </c>
      <c r="C114" s="176">
        <v>20478000000</v>
      </c>
      <c r="D114" s="176">
        <v>16756000000</v>
      </c>
      <c r="E114" s="176">
        <v>17252000000</v>
      </c>
      <c r="F114" s="176">
        <v>17671000000</v>
      </c>
      <c r="G114" s="176">
        <v>18652000000</v>
      </c>
    </row>
    <row r="115" spans="2:7" x14ac:dyDescent="0.3">
      <c r="B115" t="s">
        <v>116</v>
      </c>
      <c r="C115" s="176">
        <v>12961000000</v>
      </c>
      <c r="D115" s="176">
        <v>14370000000</v>
      </c>
      <c r="E115" s="176">
        <v>13474000000</v>
      </c>
      <c r="F115" s="176">
        <v>14688000000</v>
      </c>
      <c r="G115" s="176">
        <v>14629000000</v>
      </c>
    </row>
    <row r="116" spans="2:7" x14ac:dyDescent="0.3">
      <c r="B116" t="s">
        <v>117</v>
      </c>
      <c r="C116" s="176">
        <v>81552000000</v>
      </c>
      <c r="D116" s="176">
        <v>87531000000</v>
      </c>
      <c r="E116" s="176">
        <v>91891000000</v>
      </c>
      <c r="F116" s="176">
        <v>83991000000</v>
      </c>
      <c r="G116" s="176">
        <v>90571000000</v>
      </c>
    </row>
    <row r="117" spans="2:7" x14ac:dyDescent="0.3">
      <c r="B117" t="s">
        <v>118</v>
      </c>
      <c r="C117" s="176">
        <v>74669000000</v>
      </c>
      <c r="D117" s="176">
        <v>80925000000</v>
      </c>
      <c r="E117" s="176">
        <v>83253000000</v>
      </c>
      <c r="F117" s="176">
        <v>76693000000</v>
      </c>
      <c r="G117" s="176">
        <v>83861000000</v>
      </c>
    </row>
    <row r="118" spans="2:7" x14ac:dyDescent="0.3">
      <c r="B118" t="s">
        <v>119</v>
      </c>
      <c r="C118" s="176">
        <v>3531000000</v>
      </c>
      <c r="D118" s="176">
        <v>3928000000</v>
      </c>
      <c r="E118" s="176">
        <v>5115000000</v>
      </c>
      <c r="F118" s="176">
        <v>5238000000</v>
      </c>
      <c r="G118" s="176">
        <v>5349000000</v>
      </c>
    </row>
    <row r="119" spans="2:7" x14ac:dyDescent="0.3">
      <c r="B119" t="s">
        <v>120</v>
      </c>
      <c r="C119" s="176">
        <v>3531000000</v>
      </c>
      <c r="D119" s="176">
        <v>3928000000</v>
      </c>
      <c r="E119" s="176">
        <v>5115000000</v>
      </c>
      <c r="F119" s="176">
        <v>5238000000</v>
      </c>
      <c r="G119" s="176">
        <v>5349000000</v>
      </c>
    </row>
    <row r="120" spans="2:7" x14ac:dyDescent="0.3">
      <c r="B120" t="s">
        <v>121</v>
      </c>
      <c r="C120" s="176">
        <v>284000000</v>
      </c>
      <c r="D120" s="176">
        <v>282000000</v>
      </c>
      <c r="E120" s="176">
        <v>276000000</v>
      </c>
      <c r="F120" s="176">
        <v>269000000</v>
      </c>
      <c r="G120" s="176">
        <v>805000000</v>
      </c>
    </row>
    <row r="121" spans="2:7" x14ac:dyDescent="0.3">
      <c r="B121" t="s">
        <v>122</v>
      </c>
      <c r="C121" s="176">
        <v>3247000000</v>
      </c>
      <c r="D121" s="176">
        <v>3646000000</v>
      </c>
      <c r="E121" s="176">
        <v>4839000000</v>
      </c>
      <c r="F121" s="176">
        <v>4969000000</v>
      </c>
      <c r="G121" s="176">
        <v>4544000000</v>
      </c>
    </row>
    <row r="122" spans="2:7" x14ac:dyDescent="0.3">
      <c r="B122" t="s">
        <v>123</v>
      </c>
      <c r="C122" s="176">
        <v>83943000000</v>
      </c>
      <c r="D122" s="176">
        <v>88763000000</v>
      </c>
      <c r="E122" s="176">
        <v>86904000000</v>
      </c>
      <c r="F122" s="176">
        <v>83135000000</v>
      </c>
      <c r="G122" s="176">
        <v>89814000000</v>
      </c>
    </row>
    <row r="123" spans="2:7" x14ac:dyDescent="0.3">
      <c r="B123" t="s">
        <v>124</v>
      </c>
      <c r="C123" s="176">
        <v>-12805000000</v>
      </c>
      <c r="D123" s="176">
        <v>-11766000000</v>
      </c>
      <c r="E123" s="176">
        <v>-8766000000</v>
      </c>
      <c r="F123" s="176">
        <v>-11680000000</v>
      </c>
      <c r="G123" s="176">
        <v>-11302000000</v>
      </c>
    </row>
    <row r="124" spans="2:7" x14ac:dyDescent="0.3">
      <c r="B124" t="s">
        <v>125</v>
      </c>
      <c r="C124" s="176">
        <v>-11827000000</v>
      </c>
      <c r="D124" s="176">
        <v>-10772000000</v>
      </c>
      <c r="E124" s="176">
        <v>-8100000000</v>
      </c>
      <c r="F124" s="176">
        <v>-10816000000</v>
      </c>
      <c r="G124" s="176">
        <v>-10483000000</v>
      </c>
    </row>
    <row r="125" spans="2:7" x14ac:dyDescent="0.3">
      <c r="B125" t="s">
        <v>126</v>
      </c>
      <c r="C125" s="176">
        <v>978000000</v>
      </c>
      <c r="D125" s="176">
        <v>992000000</v>
      </c>
      <c r="E125" s="176">
        <v>-654000000</v>
      </c>
      <c r="F125" s="176">
        <v>-857000000</v>
      </c>
      <c r="G125" s="176">
        <v>-801000000</v>
      </c>
    </row>
    <row r="126" spans="2:7" x14ac:dyDescent="0.3">
      <c r="B126" t="s">
        <v>127</v>
      </c>
      <c r="C126" s="176">
        <v>-1956000000</v>
      </c>
      <c r="D126" s="176">
        <v>-1986000000</v>
      </c>
      <c r="E126" s="176">
        <v>-12000000</v>
      </c>
      <c r="F126" s="176">
        <v>-7000000</v>
      </c>
      <c r="G126" s="176">
        <v>-18000000</v>
      </c>
    </row>
    <row r="127" spans="2:7" x14ac:dyDescent="0.3">
      <c r="B127" t="s">
        <v>128</v>
      </c>
      <c r="C127" s="176">
        <v>0</v>
      </c>
      <c r="D127" s="176">
        <v>0</v>
      </c>
      <c r="E127" s="16" t="s">
        <v>27</v>
      </c>
      <c r="F127" s="16" t="s">
        <v>27</v>
      </c>
      <c r="G127" s="16" t="s">
        <v>27</v>
      </c>
    </row>
    <row r="128" spans="2:7" x14ac:dyDescent="0.3">
      <c r="B128" t="s">
        <v>129</v>
      </c>
      <c r="C128" s="176">
        <v>6883000000</v>
      </c>
      <c r="D128" s="176">
        <v>6606000000</v>
      </c>
      <c r="E128" s="176">
        <v>8638000000</v>
      </c>
      <c r="F128" s="176">
        <v>7298000000</v>
      </c>
      <c r="G128" s="176">
        <v>6710000000</v>
      </c>
    </row>
    <row r="129" spans="2:7" x14ac:dyDescent="0.3">
      <c r="B129" t="s">
        <v>130</v>
      </c>
      <c r="C129" s="176">
        <v>49651000000</v>
      </c>
      <c r="D129" s="176">
        <v>44533000000</v>
      </c>
      <c r="E129" s="176">
        <v>38077000000</v>
      </c>
      <c r="F129" s="176">
        <v>39212000000</v>
      </c>
      <c r="G129" s="176">
        <v>40457000000</v>
      </c>
    </row>
    <row r="130" spans="2:7" x14ac:dyDescent="0.3">
      <c r="B130" t="s">
        <v>131</v>
      </c>
      <c r="C130" s="176">
        <v>5937000000</v>
      </c>
      <c r="D130" s="176">
        <v>3339000000</v>
      </c>
      <c r="E130" s="176">
        <v>3213000000</v>
      </c>
      <c r="F130" s="176">
        <v>4563000000</v>
      </c>
      <c r="G130" s="176">
        <v>4325000000</v>
      </c>
    </row>
    <row r="131" spans="2:7" x14ac:dyDescent="0.3">
      <c r="B131" t="s">
        <v>132</v>
      </c>
      <c r="C131" s="176">
        <v>3009000000</v>
      </c>
      <c r="D131" s="176">
        <v>3014000000</v>
      </c>
      <c r="E131" s="176">
        <v>4224000000</v>
      </c>
      <c r="F131" s="176">
        <v>3516000000</v>
      </c>
      <c r="G131" s="176">
        <v>2600000000</v>
      </c>
    </row>
    <row r="132" spans="2:7" x14ac:dyDescent="0.3">
      <c r="B132" t="s">
        <v>133</v>
      </c>
      <c r="C132" s="176">
        <v>2830000000</v>
      </c>
      <c r="D132" s="176">
        <v>4721000000</v>
      </c>
      <c r="E132" s="176">
        <v>3565000000</v>
      </c>
      <c r="F132" s="176">
        <v>2604000000</v>
      </c>
      <c r="G132" s="176">
        <v>3483000000</v>
      </c>
    </row>
    <row r="133" spans="2:7" x14ac:dyDescent="0.3">
      <c r="B133" t="s">
        <v>134</v>
      </c>
      <c r="C133" s="176">
        <v>4652000000</v>
      </c>
      <c r="D133" s="176">
        <v>4360000000</v>
      </c>
      <c r="E133" s="176">
        <v>857000000</v>
      </c>
      <c r="F133" s="176">
        <v>2737000000</v>
      </c>
      <c r="G133" s="176">
        <v>1760000000</v>
      </c>
    </row>
    <row r="134" spans="2:7" x14ac:dyDescent="0.3">
      <c r="B134" t="s">
        <v>135</v>
      </c>
      <c r="C134" s="176">
        <v>4367000000</v>
      </c>
      <c r="D134" s="176">
        <v>1480000000</v>
      </c>
      <c r="E134" s="176">
        <v>2757000000</v>
      </c>
      <c r="F134" s="176">
        <v>1817000000</v>
      </c>
      <c r="G134" s="176">
        <v>3458000000</v>
      </c>
    </row>
    <row r="135" spans="2:7" x14ac:dyDescent="0.3">
      <c r="B135" t="s">
        <v>136</v>
      </c>
      <c r="C135" s="176">
        <v>28960000000</v>
      </c>
      <c r="D135" s="176">
        <v>27619000000</v>
      </c>
      <c r="E135" s="176">
        <v>23461000000</v>
      </c>
      <c r="F135" s="176">
        <v>23975000000</v>
      </c>
      <c r="G135" s="176">
        <v>24831000000</v>
      </c>
    </row>
    <row r="136" spans="2:7" x14ac:dyDescent="0.3">
      <c r="B136" t="s">
        <v>137</v>
      </c>
      <c r="C136" s="176">
        <v>-104000000</v>
      </c>
      <c r="D136" s="16" t="s">
        <v>27</v>
      </c>
      <c r="E136" s="16" t="s">
        <v>27</v>
      </c>
      <c r="F136" s="16" t="s">
        <v>27</v>
      </c>
      <c r="G136" s="16" t="s">
        <v>27</v>
      </c>
    </row>
    <row r="137" spans="2:7" x14ac:dyDescent="0.3">
      <c r="B137" t="s">
        <v>138</v>
      </c>
      <c r="C137" s="176">
        <v>4818000000</v>
      </c>
      <c r="D137" s="176">
        <v>4338000000</v>
      </c>
      <c r="E137" s="176">
        <v>4754000000</v>
      </c>
      <c r="F137" s="176">
        <v>5410000000</v>
      </c>
      <c r="G137" s="176">
        <v>6434000000</v>
      </c>
    </row>
    <row r="138" spans="2:7" x14ac:dyDescent="0.3">
      <c r="B138" t="s">
        <v>139</v>
      </c>
      <c r="C138" s="176">
        <v>797000000</v>
      </c>
      <c r="D138" s="176">
        <v>717000000</v>
      </c>
      <c r="E138" s="176">
        <v>736000000</v>
      </c>
      <c r="F138" s="176">
        <v>834000000</v>
      </c>
      <c r="G138" s="176">
        <v>1071000000</v>
      </c>
    </row>
    <row r="139" spans="2:7" x14ac:dyDescent="0.3">
      <c r="B139" t="s">
        <v>140</v>
      </c>
      <c r="C139" s="176">
        <v>757000000</v>
      </c>
      <c r="D139" s="176">
        <v>613000000</v>
      </c>
      <c r="E139" s="176">
        <v>675000000</v>
      </c>
      <c r="F139" s="176">
        <v>774000000</v>
      </c>
      <c r="G139" s="176">
        <v>1000000000</v>
      </c>
    </row>
    <row r="140" spans="2:7" x14ac:dyDescent="0.3">
      <c r="B140" t="s">
        <v>141</v>
      </c>
      <c r="C140" s="176">
        <v>640000000</v>
      </c>
      <c r="D140" s="176">
        <v>551000000</v>
      </c>
      <c r="E140" s="176">
        <v>611000000</v>
      </c>
      <c r="F140" s="176">
        <v>712000000</v>
      </c>
      <c r="G140" s="176">
        <v>926000000</v>
      </c>
    </row>
    <row r="141" spans="2:7" x14ac:dyDescent="0.3">
      <c r="B141" t="s">
        <v>142</v>
      </c>
      <c r="C141" s="176">
        <v>552000000</v>
      </c>
      <c r="D141" s="176">
        <v>496000000</v>
      </c>
      <c r="E141" s="176">
        <v>555000000</v>
      </c>
      <c r="F141" s="176">
        <v>638000000</v>
      </c>
      <c r="G141" s="176">
        <v>823000000</v>
      </c>
    </row>
    <row r="142" spans="2:7" x14ac:dyDescent="0.3">
      <c r="B142" t="s">
        <v>143</v>
      </c>
      <c r="C142" s="176">
        <v>492000000</v>
      </c>
      <c r="D142" s="176">
        <v>449000000</v>
      </c>
      <c r="E142" s="176">
        <v>482000000</v>
      </c>
      <c r="F142" s="176">
        <v>545000000</v>
      </c>
      <c r="G142" s="176">
        <v>636000000</v>
      </c>
    </row>
    <row r="143" spans="2:7" x14ac:dyDescent="0.3">
      <c r="B143" t="s">
        <v>144</v>
      </c>
      <c r="C143" s="176">
        <v>5612000000</v>
      </c>
      <c r="D143" s="176">
        <v>4746000000</v>
      </c>
      <c r="E143" s="176">
        <v>4987000000</v>
      </c>
      <c r="F143" s="176">
        <v>5438000000</v>
      </c>
      <c r="G143" s="176">
        <v>5850000000</v>
      </c>
    </row>
    <row r="144" spans="2:7" x14ac:dyDescent="0.3">
      <c r="B144" t="s">
        <v>145</v>
      </c>
      <c r="C144" s="176">
        <v>-4032000000</v>
      </c>
      <c r="D144" s="176">
        <v>-3234000000</v>
      </c>
      <c r="E144" s="176">
        <v>-3292000000</v>
      </c>
      <c r="F144" s="176">
        <v>-3531000000</v>
      </c>
      <c r="G144" s="176">
        <v>-3872000000</v>
      </c>
    </row>
    <row r="145" spans="2:7" x14ac:dyDescent="0.3">
      <c r="B145" t="s">
        <v>146</v>
      </c>
      <c r="C145" s="176">
        <v>17964000000</v>
      </c>
      <c r="D145" s="176">
        <v>14375000000</v>
      </c>
      <c r="E145" s="176">
        <v>14492000000</v>
      </c>
      <c r="F145" s="176">
        <v>14301000000</v>
      </c>
      <c r="G145" s="176">
        <v>14430000000</v>
      </c>
    </row>
    <row r="146" spans="2:7" x14ac:dyDescent="0.3">
      <c r="B146" t="s">
        <v>147</v>
      </c>
      <c r="C146" s="176">
        <v>2587000000</v>
      </c>
      <c r="D146" s="176">
        <v>2189000000</v>
      </c>
      <c r="E146" s="176">
        <v>2164000000</v>
      </c>
      <c r="F146" s="176">
        <v>2166000000</v>
      </c>
      <c r="G146" s="176">
        <v>2181000000</v>
      </c>
    </row>
    <row r="147" spans="2:7" x14ac:dyDescent="0.3">
      <c r="B147" t="s">
        <v>148</v>
      </c>
      <c r="C147" s="176">
        <v>2358000000</v>
      </c>
      <c r="D147" s="176">
        <v>2017000000</v>
      </c>
      <c r="E147" s="176">
        <v>2040000000</v>
      </c>
      <c r="F147" s="176">
        <v>2077000000</v>
      </c>
      <c r="G147" s="176">
        <v>2107000000</v>
      </c>
    </row>
    <row r="148" spans="2:7" x14ac:dyDescent="0.3">
      <c r="B148" t="s">
        <v>149</v>
      </c>
      <c r="C148" s="176">
        <v>2138000000</v>
      </c>
      <c r="D148" s="176">
        <v>1861000000</v>
      </c>
      <c r="E148" s="176">
        <v>1876000000</v>
      </c>
      <c r="F148" s="176">
        <v>1917000000</v>
      </c>
      <c r="G148" s="176">
        <v>1970000000</v>
      </c>
    </row>
    <row r="149" spans="2:7" x14ac:dyDescent="0.3">
      <c r="B149" t="s">
        <v>150</v>
      </c>
      <c r="C149" s="176">
        <v>1932000000</v>
      </c>
      <c r="D149" s="176">
        <v>1697000000</v>
      </c>
      <c r="E149" s="176">
        <v>1713000000</v>
      </c>
      <c r="F149" s="176">
        <v>1735000000</v>
      </c>
      <c r="G149" s="176">
        <v>1815000000</v>
      </c>
    </row>
    <row r="150" spans="2:7" x14ac:dyDescent="0.3">
      <c r="B150" t="s">
        <v>151</v>
      </c>
      <c r="C150" s="176">
        <v>1728000000</v>
      </c>
      <c r="D150" s="176">
        <v>1527000000</v>
      </c>
      <c r="E150" s="176">
        <v>1551000000</v>
      </c>
      <c r="F150" s="176">
        <v>1556000000</v>
      </c>
      <c r="G150" s="176">
        <v>1645000000</v>
      </c>
    </row>
    <row r="151" spans="2:7" x14ac:dyDescent="0.3">
      <c r="B151" t="s">
        <v>152</v>
      </c>
      <c r="C151" s="176">
        <v>15514000000</v>
      </c>
      <c r="D151" s="176">
        <v>11658000000</v>
      </c>
      <c r="E151" s="176">
        <v>11322000000</v>
      </c>
      <c r="F151" s="176">
        <v>11018000000</v>
      </c>
      <c r="G151" s="176">
        <v>11295000000</v>
      </c>
    </row>
    <row r="152" spans="2:7" x14ac:dyDescent="0.3">
      <c r="B152" t="s">
        <v>152</v>
      </c>
      <c r="C152" s="176">
        <v>-8293000000</v>
      </c>
      <c r="D152" s="176">
        <v>-6574000000</v>
      </c>
      <c r="E152" s="176">
        <v>-6174000000</v>
      </c>
      <c r="F152" s="176">
        <v>-6168000000</v>
      </c>
      <c r="G152" s="176">
        <v>-6583000000</v>
      </c>
    </row>
    <row r="153" spans="2:7" x14ac:dyDescent="0.3">
      <c r="B153" t="s">
        <v>153</v>
      </c>
      <c r="C153" s="176">
        <v>22782000000</v>
      </c>
      <c r="D153" s="176">
        <v>18713000000</v>
      </c>
      <c r="E153" s="176">
        <v>19246000000</v>
      </c>
      <c r="F153" s="176">
        <v>19711000000</v>
      </c>
      <c r="G153" s="176">
        <v>20864000000</v>
      </c>
    </row>
    <row r="154" spans="2:7" x14ac:dyDescent="0.3">
      <c r="B154" t="s">
        <v>154</v>
      </c>
      <c r="C154" s="176">
        <v>3384000000</v>
      </c>
      <c r="D154" s="176">
        <v>2906000000</v>
      </c>
      <c r="E154" s="176">
        <v>2900000000</v>
      </c>
      <c r="F154" s="176">
        <v>3000000000</v>
      </c>
      <c r="G154" s="176">
        <v>3252000000</v>
      </c>
    </row>
    <row r="155" spans="2:7" x14ac:dyDescent="0.3">
      <c r="B155" t="s">
        <v>155</v>
      </c>
      <c r="C155" s="176">
        <v>3115000000</v>
      </c>
      <c r="D155" s="176">
        <v>2630000000</v>
      </c>
      <c r="E155" s="176">
        <v>2715000000</v>
      </c>
      <c r="F155" s="176">
        <v>2851000000</v>
      </c>
      <c r="G155" s="176">
        <v>3107000000</v>
      </c>
    </row>
    <row r="156" spans="2:7" x14ac:dyDescent="0.3">
      <c r="B156" t="s">
        <v>156</v>
      </c>
      <c r="C156" s="176">
        <v>2778000000</v>
      </c>
      <c r="D156" s="176">
        <v>2412000000</v>
      </c>
      <c r="E156" s="176">
        <v>2487000000</v>
      </c>
      <c r="F156" s="176">
        <v>2629000000</v>
      </c>
      <c r="G156" s="176">
        <v>2896000000</v>
      </c>
    </row>
    <row r="157" spans="2:7" x14ac:dyDescent="0.3">
      <c r="B157" t="s">
        <v>157</v>
      </c>
      <c r="C157" s="176">
        <v>2484000000</v>
      </c>
      <c r="D157" s="176">
        <v>2193000000</v>
      </c>
      <c r="E157" s="176">
        <v>2268000000</v>
      </c>
      <c r="F157" s="176">
        <v>2373000000</v>
      </c>
      <c r="G157" s="176">
        <v>2638000000</v>
      </c>
    </row>
    <row r="158" spans="2:7" x14ac:dyDescent="0.3">
      <c r="B158" t="s">
        <v>158</v>
      </c>
      <c r="C158" s="176">
        <v>2220000000</v>
      </c>
      <c r="D158" s="176">
        <v>1976000000</v>
      </c>
      <c r="E158" s="176">
        <v>2033000000</v>
      </c>
      <c r="F158" s="176">
        <v>2101000000</v>
      </c>
      <c r="G158" s="176">
        <v>2281000000</v>
      </c>
    </row>
    <row r="159" spans="2:7" x14ac:dyDescent="0.3">
      <c r="B159" t="s">
        <v>159</v>
      </c>
      <c r="C159" s="176">
        <v>21126000000</v>
      </c>
      <c r="D159" s="176">
        <v>16404000000</v>
      </c>
      <c r="E159" s="176">
        <v>16309000000</v>
      </c>
      <c r="F159" s="176">
        <v>16456000000</v>
      </c>
      <c r="G159" s="176">
        <v>17145000000</v>
      </c>
    </row>
    <row r="160" spans="2:7" x14ac:dyDescent="0.3">
      <c r="B160" t="s">
        <v>160</v>
      </c>
      <c r="C160" s="176">
        <v>-12325000000</v>
      </c>
      <c r="D160" s="176">
        <v>-9808000000</v>
      </c>
      <c r="E160" s="176">
        <v>-9466000000</v>
      </c>
      <c r="F160" s="176">
        <v>-9699000000</v>
      </c>
      <c r="G160" s="176">
        <v>-10455000000</v>
      </c>
    </row>
    <row r="161" spans="2:7" x14ac:dyDescent="0.3">
      <c r="B161" t="s">
        <v>161</v>
      </c>
      <c r="C161" s="176">
        <v>110159000000</v>
      </c>
      <c r="D161" s="176">
        <v>110330000000</v>
      </c>
      <c r="E161" s="176">
        <v>57323000000</v>
      </c>
      <c r="F161" s="176">
        <v>58923000000</v>
      </c>
      <c r="G161" s="176">
        <v>61321000000</v>
      </c>
    </row>
    <row r="162" spans="2:7" x14ac:dyDescent="0.3">
      <c r="B162" t="s">
        <v>162</v>
      </c>
      <c r="C162" s="176">
        <v>19000000000</v>
      </c>
      <c r="D162" s="176">
        <v>18102000000</v>
      </c>
      <c r="E162" s="176">
        <v>6113000000</v>
      </c>
      <c r="F162" s="176">
        <v>7563000000</v>
      </c>
      <c r="G162" s="176">
        <v>7577000000</v>
      </c>
    </row>
    <row r="163" spans="2:7" x14ac:dyDescent="0.3">
      <c r="B163" t="s">
        <v>163</v>
      </c>
      <c r="C163" s="176">
        <v>6124000000</v>
      </c>
      <c r="D163" s="176">
        <v>5644000000</v>
      </c>
      <c r="E163" s="176">
        <v>6939000000</v>
      </c>
      <c r="F163" s="176">
        <v>6367000000</v>
      </c>
      <c r="G163" s="176">
        <v>5707000000</v>
      </c>
    </row>
    <row r="164" spans="2:7" x14ac:dyDescent="0.3">
      <c r="B164" t="s">
        <v>164</v>
      </c>
      <c r="C164" s="176">
        <v>13194000000</v>
      </c>
      <c r="D164" s="176">
        <v>17011000000</v>
      </c>
      <c r="E164" s="176">
        <v>6052000000</v>
      </c>
      <c r="F164" s="176">
        <v>5233000000</v>
      </c>
      <c r="G164" s="176">
        <v>6379000000</v>
      </c>
    </row>
    <row r="165" spans="2:7" x14ac:dyDescent="0.3">
      <c r="B165" t="s">
        <v>165</v>
      </c>
      <c r="C165" s="176">
        <v>7136000000</v>
      </c>
      <c r="D165" s="176">
        <v>6553000000</v>
      </c>
      <c r="E165" s="176">
        <v>3125000000</v>
      </c>
      <c r="F165" s="176">
        <v>5110000000</v>
      </c>
      <c r="G165" s="176">
        <v>4398000000</v>
      </c>
    </row>
    <row r="166" spans="2:7" x14ac:dyDescent="0.3">
      <c r="B166" t="s">
        <v>166</v>
      </c>
      <c r="C166" s="176">
        <v>10939000000</v>
      </c>
      <c r="D166" s="176">
        <v>8550000000</v>
      </c>
      <c r="E166" s="176">
        <v>4790000000</v>
      </c>
      <c r="F166" s="176">
        <v>3918000000</v>
      </c>
      <c r="G166" s="176">
        <v>5739000000</v>
      </c>
    </row>
    <row r="167" spans="2:7" x14ac:dyDescent="0.3">
      <c r="B167" t="s">
        <v>167</v>
      </c>
      <c r="C167" s="176">
        <v>66195000000</v>
      </c>
      <c r="D167" s="176">
        <v>64278000000</v>
      </c>
      <c r="E167" s="176">
        <v>39770000000</v>
      </c>
      <c r="F167" s="176">
        <v>40431000000</v>
      </c>
      <c r="G167" s="176">
        <v>41976000000</v>
      </c>
    </row>
    <row r="168" spans="2:7" x14ac:dyDescent="0.3">
      <c r="B168" t="s">
        <v>168</v>
      </c>
      <c r="C168" s="176">
        <v>-12429000000</v>
      </c>
      <c r="D168" s="176">
        <v>-9808000000</v>
      </c>
      <c r="E168" s="176">
        <v>-9466000000</v>
      </c>
      <c r="F168" s="176">
        <v>-9699000000</v>
      </c>
      <c r="G168" s="176">
        <v>-10455000000</v>
      </c>
    </row>
    <row r="169" spans="2:7" x14ac:dyDescent="0.3">
      <c r="B169" t="s">
        <v>169</v>
      </c>
      <c r="C169" s="176">
        <v>37726000000</v>
      </c>
      <c r="D169" s="176">
        <v>47084000000</v>
      </c>
      <c r="E169" s="16" t="s">
        <v>27</v>
      </c>
      <c r="F169" s="16" t="s">
        <v>27</v>
      </c>
      <c r="G169" s="16" t="s">
        <v>27</v>
      </c>
    </row>
    <row r="170" spans="2:7" x14ac:dyDescent="0.3">
      <c r="B170" t="s">
        <v>170</v>
      </c>
      <c r="C170" s="176">
        <v>9679000000</v>
      </c>
      <c r="D170" s="176">
        <v>11857000000</v>
      </c>
      <c r="E170" s="16" t="s">
        <v>27</v>
      </c>
      <c r="F170" s="16" t="s">
        <v>27</v>
      </c>
      <c r="G170" s="16" t="s">
        <v>27</v>
      </c>
    </row>
    <row r="171" spans="2:7" x14ac:dyDescent="0.3">
      <c r="B171" t="s">
        <v>171</v>
      </c>
      <c r="C171" s="176">
        <v>7586000000</v>
      </c>
      <c r="D171" s="176">
        <v>9878000000</v>
      </c>
      <c r="E171" s="16" t="s">
        <v>27</v>
      </c>
      <c r="F171" s="16" t="s">
        <v>27</v>
      </c>
      <c r="G171" s="16" t="s">
        <v>27</v>
      </c>
    </row>
    <row r="172" spans="2:7" x14ac:dyDescent="0.3">
      <c r="B172" t="s">
        <v>172</v>
      </c>
      <c r="C172" s="176">
        <v>4352000000</v>
      </c>
      <c r="D172" s="176">
        <v>5094000000</v>
      </c>
      <c r="E172" s="16" t="s">
        <v>27</v>
      </c>
      <c r="F172" s="16" t="s">
        <v>27</v>
      </c>
      <c r="G172" s="16" t="s">
        <v>27</v>
      </c>
    </row>
    <row r="173" spans="2:7" x14ac:dyDescent="0.3">
      <c r="B173" t="s">
        <v>173</v>
      </c>
      <c r="C173" s="176">
        <v>16109000000</v>
      </c>
      <c r="D173" s="176">
        <v>20255000000</v>
      </c>
      <c r="E173" s="16" t="s">
        <v>27</v>
      </c>
      <c r="F173" s="16" t="s">
        <v>27</v>
      </c>
      <c r="G173" s="16" t="s">
        <v>27</v>
      </c>
    </row>
    <row r="174" spans="2:7" x14ac:dyDescent="0.3">
      <c r="B174" t="s">
        <v>63</v>
      </c>
    </row>
    <row r="176" spans="2:7" x14ac:dyDescent="0.3">
      <c r="B176" s="10" t="s">
        <v>174</v>
      </c>
    </row>
    <row r="177" spans="2:8" x14ac:dyDescent="0.3">
      <c r="B177" s="12" t="s">
        <v>175</v>
      </c>
      <c r="C177" s="12" t="s">
        <v>7</v>
      </c>
      <c r="D177" s="12" t="s">
        <v>8</v>
      </c>
      <c r="E177" s="12" t="s">
        <v>9</v>
      </c>
      <c r="F177" s="12" t="s">
        <v>10</v>
      </c>
      <c r="G177" s="12" t="s">
        <v>11</v>
      </c>
      <c r="H177" s="12" t="s">
        <v>12</v>
      </c>
    </row>
    <row r="178" spans="2:8" x14ac:dyDescent="0.3">
      <c r="B178" t="s">
        <v>176</v>
      </c>
      <c r="C178" s="176">
        <v>25255000000</v>
      </c>
      <c r="D178" s="176">
        <v>36074000000</v>
      </c>
      <c r="E178" s="176">
        <v>24181000000</v>
      </c>
      <c r="F178" s="176">
        <v>28841000000</v>
      </c>
      <c r="G178" s="176">
        <v>35726000000</v>
      </c>
      <c r="H178" s="176">
        <v>39630000000</v>
      </c>
    </row>
    <row r="179" spans="2:8" x14ac:dyDescent="0.3">
      <c r="B179" t="s">
        <v>177</v>
      </c>
      <c r="C179" s="176">
        <v>25255000000</v>
      </c>
      <c r="D179" s="176">
        <v>36074000000</v>
      </c>
      <c r="E179" s="176">
        <v>24181000000</v>
      </c>
      <c r="F179" s="176">
        <v>28841000000</v>
      </c>
      <c r="G179" s="176">
        <v>35726000000</v>
      </c>
      <c r="H179" s="176">
        <v>39630000000</v>
      </c>
    </row>
    <row r="180" spans="2:8" x14ac:dyDescent="0.3">
      <c r="B180" t="s">
        <v>178</v>
      </c>
      <c r="C180" s="176">
        <v>25255000000</v>
      </c>
      <c r="D180" s="176">
        <v>36074000000</v>
      </c>
      <c r="E180" s="176">
        <v>24181000000</v>
      </c>
      <c r="F180" s="176">
        <v>28841000000</v>
      </c>
      <c r="G180" s="176">
        <v>35726000000</v>
      </c>
      <c r="H180" s="176">
        <v>39630000000</v>
      </c>
    </row>
    <row r="181" spans="2:8" x14ac:dyDescent="0.3">
      <c r="B181" t="s">
        <v>179</v>
      </c>
      <c r="C181" s="176">
        <v>15201000000</v>
      </c>
      <c r="D181" s="176">
        <v>13706000000</v>
      </c>
      <c r="E181" s="176">
        <v>13940000000</v>
      </c>
      <c r="F181" s="176">
        <v>11292000000</v>
      </c>
      <c r="G181" s="176">
        <v>16270000000</v>
      </c>
      <c r="H181" s="176">
        <v>20410000000</v>
      </c>
    </row>
    <row r="182" spans="2:8" x14ac:dyDescent="0.3">
      <c r="B182" t="s">
        <v>180</v>
      </c>
      <c r="C182" s="176">
        <v>10381000000</v>
      </c>
      <c r="D182" s="176">
        <v>14396000000</v>
      </c>
      <c r="E182" s="176">
        <v>16838000000</v>
      </c>
      <c r="F182" s="176">
        <v>14996000000</v>
      </c>
      <c r="G182" s="176">
        <v>1</v>
      </c>
      <c r="H182" s="176">
        <v>15699000000</v>
      </c>
    </row>
    <row r="183" spans="2:8" x14ac:dyDescent="0.3">
      <c r="B183" t="s">
        <v>181</v>
      </c>
      <c r="C183" s="176">
        <v>10987000000</v>
      </c>
      <c r="D183" s="176">
        <v>11152000000</v>
      </c>
      <c r="E183" s="176">
        <v>10658000000</v>
      </c>
      <c r="F183" s="176">
        <v>10945000000</v>
      </c>
      <c r="G183" s="176">
        <v>11853000000</v>
      </c>
      <c r="H183" s="176">
        <v>12716000000</v>
      </c>
    </row>
    <row r="184" spans="2:8" x14ac:dyDescent="0.3">
      <c r="B184" t="s">
        <v>182</v>
      </c>
      <c r="C184" s="176">
        <v>10987000000</v>
      </c>
      <c r="D184" s="176">
        <v>11152000000</v>
      </c>
      <c r="E184" s="176">
        <v>10658000000</v>
      </c>
      <c r="F184" s="176">
        <v>10945000000</v>
      </c>
      <c r="G184" s="176">
        <v>11853000000</v>
      </c>
      <c r="H184" s="176">
        <v>12716000000</v>
      </c>
    </row>
    <row r="185" spans="2:8" x14ac:dyDescent="0.3">
      <c r="B185" t="s">
        <v>183</v>
      </c>
      <c r="C185" s="176">
        <v>320000000</v>
      </c>
      <c r="D185" s="176">
        <v>1911000000</v>
      </c>
      <c r="E185" s="176">
        <v>-755000000</v>
      </c>
      <c r="F185" s="176">
        <v>449000000</v>
      </c>
      <c r="G185" s="176">
        <v>-175000000</v>
      </c>
      <c r="H185" s="176">
        <v>249000000</v>
      </c>
    </row>
    <row r="186" spans="2:8" x14ac:dyDescent="0.3">
      <c r="B186" t="s">
        <v>184</v>
      </c>
      <c r="C186" s="176">
        <v>-1886000000</v>
      </c>
      <c r="D186" s="176">
        <v>-8589000000</v>
      </c>
      <c r="E186" s="176">
        <v>2440000000</v>
      </c>
      <c r="F186" s="176">
        <v>1683000000</v>
      </c>
      <c r="G186" s="176">
        <v>3193000000</v>
      </c>
      <c r="H186" s="176">
        <v>-181000000</v>
      </c>
    </row>
    <row r="187" spans="2:8" x14ac:dyDescent="0.3">
      <c r="B187" t="s">
        <v>185</v>
      </c>
      <c r="C187" s="176">
        <v>-1886000000</v>
      </c>
      <c r="D187" s="176">
        <v>-8589000000</v>
      </c>
      <c r="E187" s="176">
        <v>2440000000</v>
      </c>
      <c r="F187" s="176">
        <v>1683000000</v>
      </c>
      <c r="G187" s="176">
        <v>3193000000</v>
      </c>
      <c r="H187" s="16" t="s">
        <v>27</v>
      </c>
    </row>
    <row r="188" spans="2:8" x14ac:dyDescent="0.3">
      <c r="B188" t="s">
        <v>186</v>
      </c>
      <c r="C188" s="176">
        <v>15000000</v>
      </c>
      <c r="D188" s="176">
        <v>8401000000</v>
      </c>
      <c r="E188" s="176">
        <v>2843000000</v>
      </c>
      <c r="F188" s="176">
        <v>0</v>
      </c>
      <c r="G188" s="176">
        <v>0</v>
      </c>
      <c r="H188" s="16" t="s">
        <v>27</v>
      </c>
    </row>
    <row r="189" spans="2:8" x14ac:dyDescent="0.3">
      <c r="B189" t="s">
        <v>187</v>
      </c>
      <c r="C189" s="176">
        <v>15000000</v>
      </c>
      <c r="D189" s="176">
        <v>8401000000</v>
      </c>
      <c r="E189" s="176">
        <v>433000000</v>
      </c>
      <c r="F189" s="176">
        <v>0</v>
      </c>
      <c r="G189" s="176">
        <v>0</v>
      </c>
      <c r="H189" s="16" t="s">
        <v>27</v>
      </c>
    </row>
    <row r="190" spans="2:8" x14ac:dyDescent="0.3">
      <c r="B190" t="s">
        <v>188</v>
      </c>
      <c r="C190" s="176">
        <v>15000000</v>
      </c>
      <c r="D190" s="176">
        <v>8401000000</v>
      </c>
      <c r="E190" s="176">
        <v>433000000</v>
      </c>
      <c r="F190" s="176">
        <v>0</v>
      </c>
      <c r="G190" s="176">
        <v>0</v>
      </c>
      <c r="H190" s="16" t="s">
        <v>27</v>
      </c>
    </row>
    <row r="191" spans="2:8" x14ac:dyDescent="0.3">
      <c r="B191" t="s">
        <v>189</v>
      </c>
      <c r="C191" s="176">
        <v>0</v>
      </c>
      <c r="D191" s="16" t="s">
        <v>27</v>
      </c>
      <c r="E191" s="176">
        <v>2410000000</v>
      </c>
      <c r="F191" s="176">
        <v>0</v>
      </c>
      <c r="G191" s="176">
        <v>0</v>
      </c>
      <c r="H191" s="16" t="s">
        <v>27</v>
      </c>
    </row>
    <row r="192" spans="2:8" x14ac:dyDescent="0.3">
      <c r="B192" t="s">
        <v>190</v>
      </c>
      <c r="C192" s="176">
        <v>1981000000</v>
      </c>
      <c r="D192" s="176">
        <v>1521000000</v>
      </c>
      <c r="E192" s="176">
        <v>1652000000</v>
      </c>
      <c r="F192" s="176">
        <v>1919000000</v>
      </c>
      <c r="G192" s="176">
        <v>2642000000</v>
      </c>
      <c r="H192" s="176">
        <v>2915000000</v>
      </c>
    </row>
    <row r="193" spans="2:8" x14ac:dyDescent="0.3">
      <c r="B193" t="s">
        <v>191</v>
      </c>
      <c r="C193" s="176">
        <v>-1036000000</v>
      </c>
      <c r="D193" s="176">
        <v>0</v>
      </c>
      <c r="E193" s="176">
        <v>0</v>
      </c>
      <c r="F193" s="16" t="s">
        <v>27</v>
      </c>
      <c r="G193" s="16" t="s">
        <v>27</v>
      </c>
      <c r="H193" s="16" t="s">
        <v>27</v>
      </c>
    </row>
    <row r="194" spans="2:8" x14ac:dyDescent="0.3">
      <c r="B194" t="s">
        <v>192</v>
      </c>
      <c r="C194" s="176">
        <v>-327000000</v>
      </c>
      <c r="D194" s="176">
        <v>7972000000</v>
      </c>
      <c r="E194" s="176">
        <v>-6597000000</v>
      </c>
      <c r="F194" s="176">
        <v>2553000000</v>
      </c>
      <c r="G194" s="176">
        <v>1943000000</v>
      </c>
      <c r="H194" s="176">
        <v>3521000000</v>
      </c>
    </row>
    <row r="195" spans="2:8" x14ac:dyDescent="0.3">
      <c r="B195" t="s">
        <v>193</v>
      </c>
      <c r="C195" s="176">
        <v>-300000000</v>
      </c>
      <c r="D195" s="176">
        <v>-2395000000</v>
      </c>
      <c r="E195" s="176">
        <v>-11764000000</v>
      </c>
      <c r="F195" s="176">
        <v>-528000000</v>
      </c>
      <c r="G195" s="176">
        <v>2017000000</v>
      </c>
      <c r="H195" s="176">
        <v>138000000</v>
      </c>
    </row>
    <row r="196" spans="2:8" x14ac:dyDescent="0.3">
      <c r="B196" t="s">
        <v>194</v>
      </c>
      <c r="C196" s="176">
        <v>154000000</v>
      </c>
      <c r="D196" s="176">
        <v>-1086000000</v>
      </c>
      <c r="E196" s="176">
        <v>-1796000000</v>
      </c>
      <c r="F196" s="176">
        <v>240000000</v>
      </c>
      <c r="G196" s="176">
        <v>-797000000</v>
      </c>
      <c r="H196" s="176">
        <v>-1521000000</v>
      </c>
    </row>
    <row r="197" spans="2:8" x14ac:dyDescent="0.3">
      <c r="B197" t="s">
        <v>195</v>
      </c>
      <c r="C197" s="176">
        <v>-181000000</v>
      </c>
      <c r="D197" s="176">
        <v>11453000000</v>
      </c>
      <c r="E197" s="176">
        <v>6963000000</v>
      </c>
      <c r="F197" s="176">
        <v>2841000000</v>
      </c>
      <c r="G197" s="176">
        <v>723000000</v>
      </c>
      <c r="H197" s="176">
        <v>4904000000</v>
      </c>
    </row>
    <row r="198" spans="2:8" x14ac:dyDescent="0.3">
      <c r="B198" t="s">
        <v>196</v>
      </c>
      <c r="C198" s="176">
        <v>-367000000</v>
      </c>
      <c r="D198" s="176">
        <v>6830000000</v>
      </c>
      <c r="E198" s="176">
        <v>5559000000</v>
      </c>
      <c r="F198" s="176">
        <v>-1552000000</v>
      </c>
      <c r="G198" s="176">
        <v>2047000000</v>
      </c>
      <c r="H198" s="176">
        <v>2740000000</v>
      </c>
    </row>
    <row r="199" spans="2:8" x14ac:dyDescent="0.3">
      <c r="B199" t="s">
        <v>197</v>
      </c>
      <c r="C199" s="176">
        <v>-274000000</v>
      </c>
      <c r="D199" s="176">
        <v>6966000000</v>
      </c>
      <c r="E199" s="176">
        <v>5520000000</v>
      </c>
      <c r="F199" s="176">
        <v>-1425000000</v>
      </c>
      <c r="G199" s="176">
        <v>2515000000</v>
      </c>
      <c r="H199" s="176">
        <v>2575000000</v>
      </c>
    </row>
    <row r="200" spans="2:8" x14ac:dyDescent="0.3">
      <c r="B200" t="s">
        <v>198</v>
      </c>
      <c r="C200" s="176">
        <v>-93000000</v>
      </c>
      <c r="D200" s="176">
        <v>-136000000</v>
      </c>
      <c r="E200" s="176">
        <v>39000000</v>
      </c>
      <c r="F200" s="176">
        <v>-127000000</v>
      </c>
      <c r="G200" s="176">
        <v>-468000000</v>
      </c>
      <c r="H200" s="176">
        <v>165000000</v>
      </c>
    </row>
    <row r="201" spans="2:8" x14ac:dyDescent="0.3">
      <c r="B201" t="s">
        <v>199</v>
      </c>
      <c r="C201" s="176">
        <v>186000000</v>
      </c>
      <c r="D201" s="176">
        <v>4623000000</v>
      </c>
      <c r="E201" s="176">
        <v>1404000000</v>
      </c>
      <c r="F201" s="176">
        <v>4393000000</v>
      </c>
      <c r="G201" s="176">
        <v>-1324000000</v>
      </c>
      <c r="H201" s="176">
        <v>2164000000</v>
      </c>
    </row>
    <row r="202" spans="2:8" x14ac:dyDescent="0.3">
      <c r="B202" t="s">
        <v>200</v>
      </c>
      <c r="C202" s="176">
        <v>-9128000000</v>
      </c>
      <c r="D202" s="176">
        <v>-10071000000</v>
      </c>
      <c r="E202" s="176">
        <v>-6015000000</v>
      </c>
      <c r="F202" s="176">
        <v>-17722000000</v>
      </c>
      <c r="G202" s="176">
        <v>-21287000000</v>
      </c>
      <c r="H202" s="176">
        <v>-18574000000</v>
      </c>
    </row>
    <row r="203" spans="2:8" x14ac:dyDescent="0.3">
      <c r="B203" t="s">
        <v>201</v>
      </c>
      <c r="C203" s="176">
        <v>-9128000000</v>
      </c>
      <c r="D203" s="176">
        <v>-10071000000</v>
      </c>
      <c r="E203" s="176">
        <v>-6015000000</v>
      </c>
      <c r="F203" s="176">
        <v>-17722000000</v>
      </c>
      <c r="G203" s="176">
        <v>-21287000000</v>
      </c>
      <c r="H203" s="176">
        <v>-18574000000</v>
      </c>
    </row>
    <row r="204" spans="2:8" x14ac:dyDescent="0.3">
      <c r="B204" t="s">
        <v>202</v>
      </c>
      <c r="C204" s="176">
        <v>-10384000000</v>
      </c>
      <c r="D204" s="176">
        <v>-10049000000</v>
      </c>
      <c r="E204" s="176">
        <v>-12712000000</v>
      </c>
      <c r="F204" s="176">
        <v>-16687000000</v>
      </c>
      <c r="G204" s="176">
        <v>-20356000000</v>
      </c>
      <c r="H204" s="176">
        <v>-22183000000</v>
      </c>
    </row>
    <row r="205" spans="2:8" x14ac:dyDescent="0.3">
      <c r="B205" t="s">
        <v>203</v>
      </c>
      <c r="C205" s="176">
        <v>-10705000000</v>
      </c>
      <c r="D205" s="176">
        <v>-10264000000</v>
      </c>
      <c r="E205" s="176">
        <v>-13106000000</v>
      </c>
      <c r="F205" s="176">
        <v>-16857000000</v>
      </c>
      <c r="G205" s="176">
        <v>-20606000000</v>
      </c>
      <c r="H205" s="176">
        <v>-22628000000</v>
      </c>
    </row>
    <row r="206" spans="2:8" x14ac:dyDescent="0.3">
      <c r="B206" t="s">
        <v>204</v>
      </c>
      <c r="C206" s="176">
        <v>321000000</v>
      </c>
      <c r="D206" s="176">
        <v>215000000</v>
      </c>
      <c r="E206" s="176">
        <v>394000000</v>
      </c>
      <c r="F206" s="176">
        <v>170000000</v>
      </c>
      <c r="G206" s="176">
        <v>250000000</v>
      </c>
      <c r="H206" s="176">
        <v>445000000</v>
      </c>
    </row>
    <row r="207" spans="2:8" x14ac:dyDescent="0.3">
      <c r="B207" t="s">
        <v>205</v>
      </c>
      <c r="C207" s="176">
        <v>777000000</v>
      </c>
      <c r="D207" s="176">
        <v>-124000000</v>
      </c>
      <c r="E207" s="176">
        <v>7576000000</v>
      </c>
      <c r="F207" s="176">
        <v>-740000000</v>
      </c>
      <c r="G207" s="176">
        <v>126000000</v>
      </c>
      <c r="H207" s="176">
        <v>3000000</v>
      </c>
    </row>
    <row r="208" spans="2:8" x14ac:dyDescent="0.3">
      <c r="B208" t="s">
        <v>206</v>
      </c>
      <c r="C208" s="176">
        <v>-56000000</v>
      </c>
      <c r="D208" s="176">
        <v>-180000000</v>
      </c>
      <c r="E208" s="176">
        <v>-359000000</v>
      </c>
      <c r="F208" s="176">
        <v>-740000000</v>
      </c>
      <c r="G208" s="176">
        <v>-9000000</v>
      </c>
      <c r="H208" s="16" t="s">
        <v>27</v>
      </c>
    </row>
    <row r="209" spans="2:8" x14ac:dyDescent="0.3">
      <c r="B209" t="s">
        <v>207</v>
      </c>
      <c r="C209" s="176">
        <v>833000000</v>
      </c>
      <c r="D209" s="176">
        <v>56000000</v>
      </c>
      <c r="E209" s="176">
        <v>7935000000</v>
      </c>
      <c r="F209" s="176">
        <v>0</v>
      </c>
      <c r="G209" s="176">
        <v>135000000</v>
      </c>
      <c r="H209" s="176">
        <v>3000000</v>
      </c>
    </row>
    <row r="210" spans="2:8" x14ac:dyDescent="0.3">
      <c r="B210" t="s">
        <v>208</v>
      </c>
      <c r="C210" s="176">
        <v>479000000</v>
      </c>
      <c r="D210" s="176">
        <v>102000000</v>
      </c>
      <c r="E210" s="176">
        <v>-879000000</v>
      </c>
      <c r="F210" s="176">
        <v>-295000000</v>
      </c>
      <c r="G210" s="176">
        <v>-1057000000</v>
      </c>
      <c r="H210" s="176">
        <v>-207000000</v>
      </c>
    </row>
    <row r="211" spans="2:8" x14ac:dyDescent="0.3">
      <c r="B211" t="s">
        <v>209</v>
      </c>
      <c r="C211" s="16" t="s">
        <v>27</v>
      </c>
      <c r="D211" s="16" t="s">
        <v>27</v>
      </c>
      <c r="E211" s="16" t="s">
        <v>27</v>
      </c>
      <c r="F211" s="16" t="s">
        <v>27</v>
      </c>
      <c r="G211" s="16" t="s">
        <v>27</v>
      </c>
      <c r="H211" s="16" t="s">
        <v>27</v>
      </c>
    </row>
    <row r="212" spans="2:8" x14ac:dyDescent="0.3">
      <c r="B212" t="s">
        <v>210</v>
      </c>
      <c r="C212" s="16" t="s">
        <v>27</v>
      </c>
      <c r="D212" s="16" t="s">
        <v>27</v>
      </c>
      <c r="E212" s="16" t="s">
        <v>27</v>
      </c>
      <c r="F212" s="16" t="s">
        <v>27</v>
      </c>
      <c r="G212" s="16" t="s">
        <v>27</v>
      </c>
      <c r="H212" s="16" t="s">
        <v>27</v>
      </c>
    </row>
    <row r="213" spans="2:8" x14ac:dyDescent="0.3">
      <c r="B213" t="s">
        <v>211</v>
      </c>
      <c r="C213" s="176">
        <v>-14299000000</v>
      </c>
      <c r="D213" s="176">
        <v>-16117000000</v>
      </c>
      <c r="E213" s="176">
        <v>-22828000000</v>
      </c>
      <c r="F213" s="176">
        <v>-17039000000</v>
      </c>
      <c r="G213" s="176">
        <v>-13414000000</v>
      </c>
      <c r="H213" s="176">
        <v>-22908000000</v>
      </c>
    </row>
    <row r="214" spans="2:8" x14ac:dyDescent="0.3">
      <c r="B214" t="s">
        <v>212</v>
      </c>
      <c r="C214" s="176">
        <v>-14299000000</v>
      </c>
      <c r="D214" s="176">
        <v>-16117000000</v>
      </c>
      <c r="E214" s="176">
        <v>-22828000000</v>
      </c>
      <c r="F214" s="176">
        <v>-17039000000</v>
      </c>
      <c r="G214" s="176">
        <v>-13414000000</v>
      </c>
      <c r="H214" s="176">
        <v>-22908000000</v>
      </c>
    </row>
    <row r="215" spans="2:8" x14ac:dyDescent="0.3">
      <c r="B215" t="s">
        <v>213</v>
      </c>
      <c r="C215" s="176">
        <v>-5717000000</v>
      </c>
      <c r="D215" s="176">
        <v>-2625000000</v>
      </c>
      <c r="E215" s="176">
        <v>-9787000000</v>
      </c>
      <c r="F215" s="176">
        <v>-9920000000</v>
      </c>
      <c r="G215" s="176">
        <v>-2779000000</v>
      </c>
      <c r="H215" s="176">
        <v>-4546000000</v>
      </c>
    </row>
    <row r="216" spans="2:8" x14ac:dyDescent="0.3">
      <c r="B216" t="s">
        <v>214</v>
      </c>
      <c r="C216" s="176">
        <v>-5717000000</v>
      </c>
      <c r="D216" s="176">
        <v>-2625000000</v>
      </c>
      <c r="E216" s="176">
        <v>-9787000000</v>
      </c>
      <c r="F216" s="176">
        <v>-9920000000</v>
      </c>
      <c r="G216" s="176">
        <v>-2779000000</v>
      </c>
      <c r="H216" s="176">
        <v>-4546000000</v>
      </c>
    </row>
    <row r="217" spans="2:8" x14ac:dyDescent="0.3">
      <c r="B217" t="s">
        <v>215</v>
      </c>
      <c r="C217" s="176">
        <v>-1071000000</v>
      </c>
      <c r="D217" s="176">
        <v>-5706000000</v>
      </c>
      <c r="E217" s="176">
        <v>-5872000000</v>
      </c>
      <c r="F217" s="176">
        <v>2318000000</v>
      </c>
      <c r="G217" s="176">
        <v>1262000000</v>
      </c>
      <c r="H217" s="176">
        <v>-9212000000</v>
      </c>
    </row>
    <row r="218" spans="2:8" x14ac:dyDescent="0.3">
      <c r="B218" t="s">
        <v>216</v>
      </c>
      <c r="C218" s="176">
        <v>-4656000000</v>
      </c>
      <c r="D218" s="176">
        <v>-324000000</v>
      </c>
      <c r="E218" s="176">
        <v>193000000</v>
      </c>
      <c r="F218" s="176">
        <v>-34000000</v>
      </c>
      <c r="G218" s="176">
        <v>512000000</v>
      </c>
      <c r="H218" s="176">
        <v>-6391000000</v>
      </c>
    </row>
    <row r="219" spans="2:8" x14ac:dyDescent="0.3">
      <c r="B219" t="s">
        <v>217</v>
      </c>
      <c r="C219" s="176">
        <v>3585000000</v>
      </c>
      <c r="D219" s="176">
        <v>-5382000000</v>
      </c>
      <c r="E219" s="176">
        <v>-6065000000</v>
      </c>
      <c r="F219" s="176">
        <v>2352000000</v>
      </c>
      <c r="G219" s="176">
        <v>750000000</v>
      </c>
      <c r="H219" s="176">
        <v>-2821000000</v>
      </c>
    </row>
    <row r="220" spans="2:8" x14ac:dyDescent="0.3">
      <c r="B220" t="s">
        <v>218</v>
      </c>
      <c r="C220" s="176">
        <v>5492000000</v>
      </c>
      <c r="D220" s="176">
        <v>0</v>
      </c>
      <c r="E220" s="176">
        <v>6945000000</v>
      </c>
      <c r="F220" s="176">
        <v>5041000000</v>
      </c>
      <c r="G220" s="176">
        <v>4967000000</v>
      </c>
      <c r="H220" s="176">
        <v>0</v>
      </c>
    </row>
    <row r="221" spans="2:8" x14ac:dyDescent="0.3">
      <c r="B221" t="s">
        <v>219</v>
      </c>
      <c r="C221" s="176">
        <v>-1907000000</v>
      </c>
      <c r="D221" s="176">
        <v>-5382000000</v>
      </c>
      <c r="E221" s="176">
        <v>-13010000000</v>
      </c>
      <c r="F221" s="176">
        <v>-2689000000</v>
      </c>
      <c r="G221" s="176">
        <v>-4217000000</v>
      </c>
      <c r="H221" s="176">
        <v>-2821000000</v>
      </c>
    </row>
    <row r="222" spans="2:8" x14ac:dyDescent="0.3">
      <c r="B222" t="s">
        <v>220</v>
      </c>
      <c r="C222" s="176">
        <v>0</v>
      </c>
      <c r="D222" s="16" t="s">
        <v>27</v>
      </c>
      <c r="E222" s="176">
        <v>3239000000</v>
      </c>
      <c r="F222" s="176">
        <v>-761000000</v>
      </c>
      <c r="G222" s="176">
        <v>-2746000000</v>
      </c>
      <c r="H222" s="176">
        <v>44000000</v>
      </c>
    </row>
    <row r="223" spans="2:8" x14ac:dyDescent="0.3">
      <c r="B223" t="s">
        <v>221</v>
      </c>
      <c r="C223" s="176">
        <v>-6048000000</v>
      </c>
      <c r="D223" s="176">
        <v>-6116000000</v>
      </c>
      <c r="E223" s="176">
        <v>-6152000000</v>
      </c>
      <c r="F223" s="176">
        <v>-6114000000</v>
      </c>
      <c r="G223" s="176">
        <v>-6140000000</v>
      </c>
      <c r="H223" s="176">
        <v>-6538000000</v>
      </c>
    </row>
    <row r="224" spans="2:8" x14ac:dyDescent="0.3">
      <c r="B224" t="s">
        <v>222</v>
      </c>
      <c r="C224" s="176">
        <v>-6048000000</v>
      </c>
      <c r="D224" s="176">
        <v>-6116000000</v>
      </c>
      <c r="E224" s="176">
        <v>-6152000000</v>
      </c>
      <c r="F224" s="176">
        <v>-6114000000</v>
      </c>
      <c r="G224" s="176">
        <v>-6140000000</v>
      </c>
      <c r="H224" s="176">
        <v>-6538000000</v>
      </c>
    </row>
    <row r="225" spans="2:8" x14ac:dyDescent="0.3">
      <c r="B225" t="s">
        <v>223</v>
      </c>
      <c r="C225" s="176">
        <v>-6048000000</v>
      </c>
      <c r="D225" s="176">
        <v>-6116000000</v>
      </c>
      <c r="E225" s="176">
        <v>-6152000000</v>
      </c>
      <c r="F225" s="176">
        <v>-6114000000</v>
      </c>
      <c r="G225" s="176">
        <v>-6140000000</v>
      </c>
      <c r="H225" s="176">
        <v>-6538000000</v>
      </c>
    </row>
    <row r="226" spans="2:8" x14ac:dyDescent="0.3">
      <c r="B226" t="s">
        <v>224</v>
      </c>
      <c r="C226" s="176">
        <v>-555000000</v>
      </c>
      <c r="D226" s="176">
        <v>-434000000</v>
      </c>
      <c r="E226" s="176">
        <v>-424000000</v>
      </c>
      <c r="F226" s="176">
        <v>-444000000</v>
      </c>
      <c r="G226" s="176">
        <v>-763000000</v>
      </c>
      <c r="H226" s="176">
        <v>-562000000</v>
      </c>
    </row>
    <row r="227" spans="2:8" x14ac:dyDescent="0.3">
      <c r="B227" t="s">
        <v>225</v>
      </c>
      <c r="C227" s="176">
        <v>-908000000</v>
      </c>
      <c r="D227" s="176">
        <v>-1236000000</v>
      </c>
      <c r="E227" s="176">
        <v>-3832000000</v>
      </c>
      <c r="F227" s="176">
        <v>-2118000000</v>
      </c>
      <c r="G227" s="176">
        <v>-2248000000</v>
      </c>
      <c r="H227" s="176">
        <v>-2094000000</v>
      </c>
    </row>
    <row r="228" spans="2:8" x14ac:dyDescent="0.3">
      <c r="B228" t="s">
        <v>226</v>
      </c>
      <c r="C228" s="176">
        <v>9515000000</v>
      </c>
      <c r="D228" s="176">
        <v>17788000000</v>
      </c>
      <c r="E228" s="176">
        <v>14834000000</v>
      </c>
      <c r="F228" s="176">
        <v>8841000000</v>
      </c>
      <c r="G228" s="176">
        <v>9935000000</v>
      </c>
      <c r="H228" s="176">
        <v>10168000000</v>
      </c>
    </row>
    <row r="229" spans="2:8" x14ac:dyDescent="0.3">
      <c r="B229" t="s">
        <v>227</v>
      </c>
      <c r="C229" s="176">
        <v>1828000000</v>
      </c>
      <c r="D229" s="176">
        <v>9886000000</v>
      </c>
      <c r="E229" s="176">
        <v>-4662000000</v>
      </c>
      <c r="F229" s="176">
        <v>-5920000000</v>
      </c>
      <c r="G229" s="176">
        <v>1025000000</v>
      </c>
      <c r="H229" s="176">
        <v>-1852000000</v>
      </c>
    </row>
    <row r="230" spans="2:8" x14ac:dyDescent="0.3">
      <c r="B230" t="s">
        <v>228</v>
      </c>
      <c r="C230" s="176">
        <v>-69000000</v>
      </c>
      <c r="D230" s="176">
        <v>235000000</v>
      </c>
      <c r="E230" s="176">
        <v>-140000000</v>
      </c>
      <c r="F230" s="176">
        <v>-73000000</v>
      </c>
      <c r="G230" s="176">
        <v>69000000</v>
      </c>
      <c r="H230" s="176">
        <v>-275000000</v>
      </c>
    </row>
    <row r="231" spans="2:8" x14ac:dyDescent="0.3">
      <c r="B231" t="s">
        <v>229</v>
      </c>
      <c r="C231" s="16" t="s">
        <v>27</v>
      </c>
      <c r="D231" s="176">
        <v>-1848000000</v>
      </c>
      <c r="E231" s="176">
        <v>1848000000</v>
      </c>
      <c r="F231" s="176">
        <v>0</v>
      </c>
      <c r="G231" s="176">
        <v>0</v>
      </c>
      <c r="H231" s="176">
        <v>0</v>
      </c>
    </row>
    <row r="232" spans="2:8" x14ac:dyDescent="0.3">
      <c r="B232" t="s">
        <v>230</v>
      </c>
      <c r="C232" s="176">
        <v>7756000000</v>
      </c>
      <c r="D232" s="176">
        <v>9515000000</v>
      </c>
      <c r="E232" s="176">
        <v>17788000000</v>
      </c>
      <c r="F232" s="176">
        <v>14834000000</v>
      </c>
      <c r="G232" s="176">
        <v>8841000000</v>
      </c>
      <c r="H232" s="176">
        <v>12295000000</v>
      </c>
    </row>
    <row r="233" spans="2:8" x14ac:dyDescent="0.3">
      <c r="B233" t="s">
        <v>231</v>
      </c>
      <c r="C233" s="16" t="s">
        <v>27</v>
      </c>
      <c r="D233" s="16" t="s">
        <v>27</v>
      </c>
      <c r="E233" s="16" t="s">
        <v>27</v>
      </c>
      <c r="F233" s="16" t="s">
        <v>27</v>
      </c>
      <c r="G233" s="16" t="s">
        <v>27</v>
      </c>
      <c r="H233" s="16" t="s">
        <v>27</v>
      </c>
    </row>
    <row r="234" spans="2:8" x14ac:dyDescent="0.3">
      <c r="B234" t="s">
        <v>232</v>
      </c>
      <c r="C234" s="176">
        <v>1759000000</v>
      </c>
      <c r="D234" s="176">
        <v>10121000000</v>
      </c>
      <c r="E234" s="176">
        <v>-4802000000</v>
      </c>
      <c r="F234" s="176">
        <v>-5993000000</v>
      </c>
      <c r="G234" s="176">
        <v>1094000000</v>
      </c>
      <c r="H234" s="176">
        <v>-2127000000</v>
      </c>
    </row>
    <row r="235" spans="2:8" x14ac:dyDescent="0.3">
      <c r="B235" t="s">
        <v>233</v>
      </c>
      <c r="C235" s="176">
        <v>-3616000000</v>
      </c>
      <c r="D235" s="176">
        <v>-5271000000</v>
      </c>
      <c r="E235" s="176">
        <v>-5918000000</v>
      </c>
      <c r="F235" s="176">
        <v>-3310000000</v>
      </c>
      <c r="G235" s="176">
        <v>-5879000000</v>
      </c>
      <c r="H235" s="176">
        <v>-5879000000</v>
      </c>
    </row>
    <row r="236" spans="2:8" x14ac:dyDescent="0.3">
      <c r="B236" t="s">
        <v>234</v>
      </c>
      <c r="C236" s="176">
        <v>-2464000000</v>
      </c>
      <c r="D236" s="176">
        <v>-2216000000</v>
      </c>
      <c r="E236" s="176">
        <v>-2237000000</v>
      </c>
      <c r="F236" s="176">
        <v>-2051000000</v>
      </c>
      <c r="G236" s="176">
        <v>-2519000000</v>
      </c>
      <c r="H236" s="176">
        <v>-2519000000</v>
      </c>
    </row>
    <row r="237" spans="2:8" x14ac:dyDescent="0.3">
      <c r="B237" t="s">
        <v>63</v>
      </c>
    </row>
  </sheetData>
  <mergeCells count="3">
    <mergeCell ref="B2:O3"/>
    <mergeCell ref="B5:O5"/>
    <mergeCell ref="C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Cover</vt:lpstr>
      <vt:lpstr>Notes</vt:lpstr>
      <vt:lpstr>Historical FS</vt:lpstr>
      <vt:lpstr>Ratio Analysis</vt:lpstr>
      <vt:lpstr>Common Size Statement</vt:lpstr>
      <vt:lpstr>Automated Forcasting</vt:lpstr>
      <vt:lpstr>Manual Forecasting</vt:lpstr>
      <vt:lpstr>WACC Calculation&gt;&gt;</vt:lpstr>
      <vt:lpstr>Beta-Regression</vt:lpstr>
      <vt:lpstr>Equity Risk Premium</vt:lpstr>
      <vt:lpstr>WACC</vt:lpstr>
      <vt:lpstr>DCF Calculation&gt;&gt;</vt:lpstr>
      <vt:lpstr>Intrinsic Growth</vt:lpstr>
      <vt:lpstr>DCF</vt:lpstr>
      <vt:lpstr>Comps Valuations</vt:lpstr>
      <vt:lpstr>Data Sheet</vt:lpstr>
      <vt:lpstr>'Data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Kapari</dc:creator>
  <cp:lastModifiedBy>Ajay Kapari</cp:lastModifiedBy>
  <cp:lastPrinted>2024-12-08T21:39:21Z</cp:lastPrinted>
  <dcterms:created xsi:type="dcterms:W3CDTF">2024-12-08T19:18:12Z</dcterms:created>
  <dcterms:modified xsi:type="dcterms:W3CDTF">2025-02-15T23:34:30Z</dcterms:modified>
</cp:coreProperties>
</file>