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tes Salary Karyawan" sheetId="1" r:id="rId4"/>
    <sheet state="visible" name="Pph21" sheetId="2" r:id="rId5"/>
    <sheet state="visible" name="UMK" sheetId="3" r:id="rId6"/>
    <sheet state="visible" name="Gambaran Output" sheetId="4" r:id="rId7"/>
    <sheet state="visible" name="Test Case" sheetId="5" r:id="rId8"/>
  </sheets>
  <definedNames/>
  <calcPr/>
</workbook>
</file>

<file path=xl/sharedStrings.xml><?xml version="1.0" encoding="utf-8"?>
<sst xmlns="http://schemas.openxmlformats.org/spreadsheetml/2006/main" count="376" uniqueCount="69">
  <si>
    <t>Rates Gaji Pokok Karyawan PT. SMS</t>
  </si>
  <si>
    <t>Programmer</t>
  </si>
  <si>
    <t>Masa Kerja</t>
  </si>
  <si>
    <t>Junior</t>
  </si>
  <si>
    <t>Middle</t>
  </si>
  <si>
    <t>Senior</t>
  </si>
  <si>
    <t>Tester</t>
  </si>
  <si>
    <t>Scrum Master</t>
  </si>
  <si>
    <t>HRD</t>
  </si>
  <si>
    <t>Intern</t>
  </si>
  <si>
    <t>Sebagai Contoh, Karyawan Bernama Dani dengan Status Kawin sudah memiliki anak 4 yang berposisi Sebagai HRD dengan Tingkatan Junior serta ditempatkan di Jakarta.
Maka Berikut adalah Contoh Kalkulasinya.</t>
  </si>
  <si>
    <t>Gaji Pokok</t>
  </si>
  <si>
    <t>Tunj. Keluarga</t>
  </si>
  <si>
    <t>Tunj. Jabatan</t>
  </si>
  <si>
    <t>Tunj. Tingkatan</t>
  </si>
  <si>
    <t>Tunj. Anak</t>
  </si>
  <si>
    <t>Tunj. Transport</t>
  </si>
  <si>
    <t>Penghasilan Bruto</t>
  </si>
  <si>
    <t>Penghasilan Bruto Satu Tahun</t>
  </si>
  <si>
    <t>Wajib Pajak Diri Sendiri</t>
  </si>
  <si>
    <t>Wajib Pajak Istri</t>
  </si>
  <si>
    <t>Wajib Pajak Anak (Maks 3)</t>
  </si>
  <si>
    <t>PTKP</t>
  </si>
  <si>
    <t>PKP (Bruto Satu Tahun -  PTKP)</t>
  </si>
  <si>
    <t>PPh Pertahun (5%) dari PKP</t>
  </si>
  <si>
    <t>PPh Perbulan</t>
  </si>
  <si>
    <t>No</t>
  </si>
  <si>
    <t>Nama Kota</t>
  </si>
  <si>
    <t>UMK</t>
  </si>
  <si>
    <t>Bandung</t>
  </si>
  <si>
    <t>Garut</t>
  </si>
  <si>
    <t>Jakarta</t>
  </si>
  <si>
    <t>Bekasi</t>
  </si>
  <si>
    <t>Bogor</t>
  </si>
  <si>
    <t>Karawang</t>
  </si>
  <si>
    <t>SLIP GAJI KARYAWAN</t>
  </si>
  <si>
    <t>Hendra</t>
  </si>
  <si>
    <t>Tunjangan Jabatan</t>
  </si>
  <si>
    <t>Tunjangan Keluarga</t>
  </si>
  <si>
    <t>Tunjangan Anak</t>
  </si>
  <si>
    <t>Tunjangan Tingkatan</t>
  </si>
  <si>
    <t>Tunjangan Transport</t>
  </si>
  <si>
    <t>Potongan Pph</t>
  </si>
  <si>
    <t>Potongan Bpjs Tenaga Kerja</t>
  </si>
  <si>
    <t>Potongan Kesehatan</t>
  </si>
  <si>
    <t>Take Home Pay/Gaji Bersih</t>
  </si>
  <si>
    <t>Input</t>
  </si>
  <si>
    <t>Perhitungan</t>
  </si>
  <si>
    <t>Output</t>
  </si>
  <si>
    <t>Nama</t>
  </si>
  <si>
    <t>Erwin</t>
  </si>
  <si>
    <t>Posisi</t>
  </si>
  <si>
    <t>Penempatan</t>
  </si>
  <si>
    <t>Tingkatan</t>
  </si>
  <si>
    <t>Status</t>
  </si>
  <si>
    <t>Kawin</t>
  </si>
  <si>
    <t>Anak</t>
  </si>
  <si>
    <t>Potongan PPh Perbulan</t>
  </si>
  <si>
    <t>Potongan BPJS Tenaga Kerja</t>
  </si>
  <si>
    <t>Potongan BPJS Kesehatan</t>
  </si>
  <si>
    <t>Take Home Pay</t>
  </si>
  <si>
    <t>Budi</t>
  </si>
  <si>
    <t>Anto</t>
  </si>
  <si>
    <t>Cerai</t>
  </si>
  <si>
    <t>Resti</t>
  </si>
  <si>
    <t>Belum Kawin</t>
  </si>
  <si>
    <t>Ratna</t>
  </si>
  <si>
    <t>Yudi</t>
  </si>
  <si>
    <t>Asri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</si>
</sst>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[$Rp]#,##0"/>
  </numFmts>
  <fonts count="14">
    <font>
      <sz val="10.0"/>
      <color rgb="FF000000"/>
      <name val="Arial"/>
      <scheme val="minor"/>
    </font>
    <font>
      <b/>
      <sz val="13.0"/>
      <color theme="1"/>
      <name val="Arial"/>
    </font>
    <font>
      <color theme="1"/>
      <name val="Arial"/>
    </font>
    <font>
      <b/>
      <sz val="12.0"/>
      <color theme="1"/>
      <name val="Arial"/>
    </font>
    <font/>
    <font>
      <b/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1.0"/>
      <color rgb="FF1D2125"/>
      <name val="-apple-system"/>
    </font>
    <font>
      <b/>
      <sz val="10.0"/>
      <color rgb="FF1D2125"/>
      <name val="Arial"/>
    </font>
    <font>
      <b/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8F9FA"/>
        <bgColor rgb="FFF8F9FA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ont="1">
      <alignment horizontal="center" readingOrder="0" vertical="bottom"/>
    </xf>
    <xf borderId="2" fillId="0" fontId="4" numFmtId="0" xfId="0" applyBorder="1" applyFont="1"/>
    <xf borderId="3" fillId="0" fontId="4" numFmtId="0" xfId="0" applyBorder="1" applyFont="1"/>
    <xf borderId="4" fillId="2" fontId="5" numFmtId="0" xfId="0" applyAlignment="1" applyBorder="1" applyFont="1">
      <alignment horizontal="center" readingOrder="0" vertical="top"/>
    </xf>
    <xf borderId="4" fillId="2" fontId="5" numFmtId="164" xfId="0" applyAlignment="1" applyBorder="1" applyFont="1" applyNumberFormat="1">
      <alignment horizontal="center" readingOrder="0" vertical="top"/>
    </xf>
    <xf borderId="4" fillId="0" fontId="6" numFmtId="0" xfId="0" applyAlignment="1" applyBorder="1" applyFont="1">
      <alignment horizontal="center" readingOrder="0"/>
    </xf>
    <xf borderId="4" fillId="0" fontId="6" numFmtId="9" xfId="0" applyAlignment="1" applyBorder="1" applyFont="1" applyNumberFormat="1">
      <alignment horizontal="center" readingOrder="0"/>
    </xf>
    <xf borderId="5" fillId="3" fontId="7" numFmtId="0" xfId="0" applyAlignment="1" applyBorder="1" applyFill="1" applyFont="1">
      <alignment readingOrder="0" shrinkToFit="0" wrapText="1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5" fillId="4" fontId="6" numFmtId="0" xfId="0" applyBorder="1" applyFill="1" applyFont="1"/>
    <xf borderId="6" fillId="4" fontId="6" numFmtId="0" xfId="0" applyBorder="1" applyFont="1"/>
    <xf borderId="7" fillId="4" fontId="6" numFmtId="0" xfId="0" applyBorder="1" applyFont="1"/>
    <xf borderId="8" fillId="4" fontId="8" numFmtId="0" xfId="0" applyAlignment="1" applyBorder="1" applyFont="1">
      <alignment readingOrder="0"/>
    </xf>
    <xf borderId="0" fillId="4" fontId="6" numFmtId="0" xfId="0" applyFont="1"/>
    <xf borderId="9" fillId="4" fontId="6" numFmtId="3" xfId="0" applyAlignment="1" applyBorder="1" applyFont="1" applyNumberFormat="1">
      <alignment readingOrder="0"/>
    </xf>
    <xf borderId="9" fillId="4" fontId="6" numFmtId="3" xfId="0" applyBorder="1" applyFont="1" applyNumberFormat="1"/>
    <xf borderId="12" fillId="4" fontId="6" numFmtId="3" xfId="0" applyAlignment="1" applyBorder="1" applyFont="1" applyNumberFormat="1">
      <alignment readingOrder="0"/>
    </xf>
    <xf borderId="8" fillId="4" fontId="8" numFmtId="0" xfId="0" applyAlignment="1" applyBorder="1" applyFont="1">
      <alignment horizontal="center" readingOrder="0"/>
    </xf>
    <xf borderId="9" fillId="4" fontId="8" numFmtId="3" xfId="0" applyBorder="1" applyFont="1" applyNumberFormat="1"/>
    <xf borderId="8" fillId="4" fontId="6" numFmtId="0" xfId="0" applyBorder="1" applyFont="1"/>
    <xf borderId="0" fillId="4" fontId="6" numFmtId="3" xfId="0" applyAlignment="1" applyFont="1" applyNumberFormat="1">
      <alignment readingOrder="0"/>
    </xf>
    <xf borderId="11" fillId="4" fontId="6" numFmtId="3" xfId="0" applyAlignment="1" applyBorder="1" applyFont="1" applyNumberFormat="1">
      <alignment readingOrder="0"/>
    </xf>
    <xf borderId="0" fillId="4" fontId="8" numFmtId="3" xfId="0" applyFont="1" applyNumberFormat="1"/>
    <xf borderId="12" fillId="4" fontId="6" numFmtId="3" xfId="0" applyBorder="1" applyFont="1" applyNumberFormat="1"/>
    <xf borderId="10" fillId="4" fontId="6" numFmtId="0" xfId="0" applyBorder="1" applyFont="1"/>
    <xf borderId="11" fillId="4" fontId="6" numFmtId="0" xfId="0" applyBorder="1" applyFont="1"/>
    <xf borderId="12" fillId="4" fontId="6" numFmtId="0" xfId="0" applyBorder="1" applyFont="1"/>
    <xf borderId="4" fillId="0" fontId="8" numFmtId="0" xfId="0" applyAlignment="1" applyBorder="1" applyFont="1">
      <alignment horizontal="center" readingOrder="0"/>
    </xf>
    <xf borderId="4" fillId="0" fontId="8" numFmtId="3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readingOrder="0"/>
    </xf>
    <xf borderId="4" fillId="6" fontId="10" numFmtId="0" xfId="0" applyAlignment="1" applyBorder="1" applyFill="1" applyFont="1">
      <alignment readingOrder="0"/>
    </xf>
    <xf borderId="4" fillId="0" fontId="9" numFmtId="165" xfId="0" applyAlignment="1" applyBorder="1" applyFont="1" applyNumberFormat="1">
      <alignment horizontal="right" readingOrder="0"/>
    </xf>
    <xf borderId="0" fillId="7" fontId="11" numFmtId="0" xfId="0" applyAlignment="1" applyFill="1" applyFont="1">
      <alignment horizontal="left" readingOrder="0"/>
    </xf>
    <xf borderId="4" fillId="0" fontId="9" numFmtId="165" xfId="0" applyAlignment="1" applyBorder="1" applyFont="1" applyNumberFormat="1">
      <alignment horizontal="right"/>
    </xf>
    <xf borderId="4" fillId="0" fontId="12" numFmtId="165" xfId="0" applyAlignment="1" applyBorder="1" applyFont="1" applyNumberFormat="1">
      <alignment horizontal="right" readingOrder="0"/>
    </xf>
    <xf borderId="13" fillId="6" fontId="10" numFmtId="0" xfId="0" applyAlignment="1" applyBorder="1" applyFont="1">
      <alignment readingOrder="0"/>
    </xf>
    <xf borderId="13" fillId="0" fontId="12" numFmtId="165" xfId="0" applyAlignment="1" applyBorder="1" applyFont="1" applyNumberFormat="1">
      <alignment horizontal="right" readingOrder="0"/>
    </xf>
    <xf borderId="14" fillId="6" fontId="6" numFmtId="0" xfId="0" applyAlignment="1" applyBorder="1" applyFont="1">
      <alignment readingOrder="0"/>
    </xf>
    <xf borderId="15" fillId="0" fontId="5" numFmtId="165" xfId="0" applyAlignment="1" applyBorder="1" applyFont="1" applyNumberFormat="1">
      <alignment horizontal="right"/>
    </xf>
    <xf borderId="0" fillId="0" fontId="6" numFmtId="0" xfId="0" applyAlignment="1" applyFont="1">
      <alignment readingOrder="0"/>
    </xf>
    <xf borderId="0" fillId="0" fontId="6" numFmtId="9" xfId="0" applyAlignment="1" applyFont="1" applyNumberFormat="1">
      <alignment readingOrder="0"/>
    </xf>
    <xf borderId="16" fillId="0" fontId="13" numFmtId="0" xfId="0" applyAlignment="1" applyBorder="1" applyFont="1">
      <alignment horizontal="center" readingOrder="0"/>
    </xf>
    <xf borderId="17" fillId="5" fontId="8" numFmtId="0" xfId="0" applyAlignment="1" applyBorder="1" applyFont="1">
      <alignment horizontal="center" readingOrder="0"/>
    </xf>
    <xf borderId="17" fillId="0" fontId="4" numFmtId="0" xfId="0" applyBorder="1" applyFont="1"/>
    <xf borderId="17" fillId="4" fontId="8" numFmtId="0" xfId="0" applyAlignment="1" applyBorder="1" applyFont="1">
      <alignment horizontal="center" readingOrder="0"/>
    </xf>
    <xf borderId="17" fillId="6" fontId="8" numFmtId="0" xfId="0" applyAlignment="1" applyBorder="1" applyFont="1">
      <alignment horizontal="center" readingOrder="0"/>
    </xf>
    <xf borderId="18" fillId="0" fontId="4" numFmtId="0" xfId="0" applyBorder="1" applyFont="1"/>
    <xf borderId="19" fillId="0" fontId="6" numFmtId="0" xfId="0" applyAlignment="1" applyBorder="1" applyFont="1">
      <alignment readingOrder="0"/>
    </xf>
    <xf borderId="0" fillId="5" fontId="6" numFmtId="0" xfId="0" applyAlignment="1" applyFont="1">
      <alignment readingOrder="0"/>
    </xf>
    <xf borderId="0" fillId="5" fontId="6" numFmtId="0" xfId="0" applyAlignment="1" applyFont="1">
      <alignment horizontal="center" readingOrder="0"/>
    </xf>
    <xf borderId="0" fillId="6" fontId="6" numFmtId="0" xfId="0" applyFont="1"/>
    <xf borderId="0" fillId="6" fontId="10" numFmtId="0" xfId="0" applyAlignment="1" applyFont="1">
      <alignment readingOrder="0"/>
    </xf>
    <xf borderId="20" fillId="6" fontId="9" numFmtId="165" xfId="0" applyAlignment="1" applyBorder="1" applyFont="1" applyNumberFormat="1">
      <alignment horizontal="right" readingOrder="0"/>
    </xf>
    <xf borderId="0" fillId="4" fontId="8" numFmtId="0" xfId="0" applyAlignment="1" applyFont="1">
      <alignment readingOrder="0"/>
    </xf>
    <xf borderId="20" fillId="6" fontId="9" numFmtId="165" xfId="0" applyAlignment="1" applyBorder="1" applyFont="1" applyNumberFormat="1">
      <alignment horizontal="right"/>
    </xf>
    <xf borderId="0" fillId="4" fontId="6" numFmtId="3" xfId="0" applyFont="1" applyNumberFormat="1"/>
    <xf borderId="20" fillId="6" fontId="12" numFmtId="165" xfId="0" applyAlignment="1" applyBorder="1" applyFont="1" applyNumberFormat="1">
      <alignment horizontal="right" readingOrder="0"/>
    </xf>
    <xf borderId="19" fillId="0" fontId="6" numFmtId="0" xfId="0" applyBorder="1" applyFont="1"/>
    <xf borderId="0" fillId="4" fontId="8" numFmtId="0" xfId="0" applyAlignment="1" applyFont="1">
      <alignment horizontal="center" readingOrder="0"/>
    </xf>
    <xf borderId="6" fillId="4" fontId="8" numFmtId="3" xfId="0" applyBorder="1" applyFont="1" applyNumberFormat="1"/>
    <xf borderId="0" fillId="6" fontId="6" numFmtId="0" xfId="0" applyAlignment="1" applyFont="1">
      <alignment readingOrder="0"/>
    </xf>
    <xf borderId="20" fillId="6" fontId="5" numFmtId="165" xfId="0" applyAlignment="1" applyBorder="1" applyFont="1" applyNumberFormat="1">
      <alignment horizontal="right"/>
    </xf>
    <xf borderId="20" fillId="0" fontId="6" numFmtId="0" xfId="0" applyBorder="1" applyFont="1"/>
    <xf borderId="21" fillId="0" fontId="6" numFmtId="0" xfId="0" applyBorder="1" applyFont="1"/>
    <xf borderId="22" fillId="0" fontId="6" numFmtId="0" xfId="0" applyBorder="1" applyFont="1"/>
    <xf borderId="22" fillId="4" fontId="8" numFmtId="0" xfId="0" applyAlignment="1" applyBorder="1" applyFont="1">
      <alignment readingOrder="0"/>
    </xf>
    <xf borderId="22" fillId="4" fontId="6" numFmtId="0" xfId="0" applyBorder="1" applyFont="1"/>
    <xf borderId="23" fillId="4" fontId="8" numFmtId="3" xfId="0" applyBorder="1" applyFont="1" applyNumberFormat="1"/>
    <xf borderId="24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16.25"/>
  </cols>
  <sheetData>
    <row r="1">
      <c r="A1" s="1" t="s">
        <v>0</v>
      </c>
    </row>
    <row r="2">
      <c r="A2" s="2"/>
      <c r="B2" s="2"/>
      <c r="C2" s="2"/>
      <c r="D2" s="2"/>
    </row>
    <row r="3">
      <c r="A3" s="3" t="s">
        <v>1</v>
      </c>
      <c r="B3" s="4"/>
      <c r="C3" s="4"/>
      <c r="D3" s="5"/>
    </row>
    <row r="4">
      <c r="A4" s="6" t="s">
        <v>2</v>
      </c>
      <c r="B4" s="7" t="s">
        <v>3</v>
      </c>
      <c r="C4" s="7" t="s">
        <v>4</v>
      </c>
      <c r="D4" s="7" t="s">
        <v>5</v>
      </c>
    </row>
    <row r="5">
      <c r="A5" s="8">
        <v>0.0</v>
      </c>
      <c r="B5" s="9">
        <v>1.2</v>
      </c>
      <c r="C5" s="9">
        <v>1.5</v>
      </c>
      <c r="D5" s="9">
        <v>1.7</v>
      </c>
    </row>
    <row r="6">
      <c r="A6" s="8">
        <v>1.0</v>
      </c>
      <c r="B6" s="9">
        <v>1.2</v>
      </c>
      <c r="C6" s="9">
        <v>1.5</v>
      </c>
      <c r="D6" s="9">
        <v>1.7</v>
      </c>
    </row>
    <row r="7">
      <c r="A7" s="8">
        <v>2.0</v>
      </c>
      <c r="B7" s="9">
        <v>1.2</v>
      </c>
      <c r="C7" s="9">
        <v>1.5</v>
      </c>
      <c r="D7" s="9">
        <v>1.7</v>
      </c>
    </row>
    <row r="8">
      <c r="A8" s="8">
        <v>3.0</v>
      </c>
      <c r="B8" s="9">
        <v>1.4</v>
      </c>
      <c r="C8" s="9">
        <v>1.6</v>
      </c>
      <c r="D8" s="9">
        <v>1.7</v>
      </c>
    </row>
    <row r="9">
      <c r="A9" s="8">
        <v>4.0</v>
      </c>
      <c r="B9" s="9">
        <v>1.4</v>
      </c>
      <c r="C9" s="9">
        <v>1.6</v>
      </c>
      <c r="D9" s="9">
        <v>2.0</v>
      </c>
    </row>
    <row r="10">
      <c r="A10" s="8">
        <v>5.0</v>
      </c>
      <c r="B10" s="9">
        <v>1.4</v>
      </c>
      <c r="C10" s="9">
        <v>1.6</v>
      </c>
      <c r="D10" s="9">
        <v>2.0</v>
      </c>
    </row>
    <row r="11">
      <c r="A11" s="8">
        <v>6.0</v>
      </c>
      <c r="B11" s="9">
        <v>1.42</v>
      </c>
      <c r="C11" s="9">
        <v>1.62</v>
      </c>
      <c r="D11" s="9">
        <v>2.02</v>
      </c>
    </row>
    <row r="12">
      <c r="A12" s="8">
        <v>7.0</v>
      </c>
      <c r="B12" s="9">
        <v>1.44</v>
      </c>
      <c r="C12" s="9">
        <v>1.64</v>
      </c>
      <c r="D12" s="9">
        <v>2.04</v>
      </c>
    </row>
    <row r="13">
      <c r="A13" s="8">
        <v>8.0</v>
      </c>
      <c r="B13" s="9">
        <v>1.46</v>
      </c>
      <c r="C13" s="9">
        <v>1.66</v>
      </c>
      <c r="D13" s="9">
        <v>2.06</v>
      </c>
    </row>
    <row r="14">
      <c r="A14" s="8">
        <v>9.0</v>
      </c>
      <c r="B14" s="9">
        <v>1.48</v>
      </c>
      <c r="C14" s="9">
        <v>1.68</v>
      </c>
      <c r="D14" s="9">
        <v>2.08</v>
      </c>
    </row>
    <row r="15">
      <c r="A15" s="8">
        <v>10.0</v>
      </c>
      <c r="B15" s="9">
        <v>1.5</v>
      </c>
      <c r="C15" s="9">
        <v>1.7</v>
      </c>
      <c r="D15" s="9">
        <v>2.1</v>
      </c>
    </row>
    <row r="18">
      <c r="A18" s="3" t="s">
        <v>6</v>
      </c>
      <c r="B18" s="4"/>
      <c r="C18" s="4"/>
      <c r="D18" s="5"/>
    </row>
    <row r="19">
      <c r="A19" s="6" t="s">
        <v>2</v>
      </c>
      <c r="B19" s="7" t="s">
        <v>3</v>
      </c>
      <c r="C19" s="7" t="s">
        <v>4</v>
      </c>
      <c r="D19" s="7" t="s">
        <v>5</v>
      </c>
    </row>
    <row r="20">
      <c r="A20" s="8">
        <v>0.0</v>
      </c>
      <c r="B20" s="9">
        <v>1.0</v>
      </c>
      <c r="C20" s="9">
        <v>1.3</v>
      </c>
      <c r="D20" s="9">
        <v>1.5</v>
      </c>
    </row>
    <row r="21">
      <c r="A21" s="8">
        <v>1.0</v>
      </c>
      <c r="B21" s="9">
        <v>1.0</v>
      </c>
      <c r="C21" s="9">
        <v>1.3</v>
      </c>
      <c r="D21" s="9">
        <v>1.5</v>
      </c>
    </row>
    <row r="22">
      <c r="A22" s="8">
        <v>2.0</v>
      </c>
      <c r="B22" s="9">
        <v>1.0</v>
      </c>
      <c r="C22" s="9">
        <v>1.3</v>
      </c>
      <c r="D22" s="9">
        <v>1.5</v>
      </c>
    </row>
    <row r="23">
      <c r="A23" s="8">
        <v>3.0</v>
      </c>
      <c r="B23" s="9">
        <v>1.2</v>
      </c>
      <c r="C23" s="9">
        <v>1.4</v>
      </c>
      <c r="D23" s="9">
        <v>1.5</v>
      </c>
    </row>
    <row r="24">
      <c r="A24" s="8">
        <v>4.0</v>
      </c>
      <c r="B24" s="9">
        <v>1.2</v>
      </c>
      <c r="C24" s="9">
        <v>1.4</v>
      </c>
      <c r="D24" s="9">
        <v>1.6</v>
      </c>
    </row>
    <row r="25">
      <c r="A25" s="8">
        <v>5.0</v>
      </c>
      <c r="B25" s="9">
        <v>1.2</v>
      </c>
      <c r="C25" s="9">
        <v>1.4</v>
      </c>
      <c r="D25" s="9">
        <v>1.6</v>
      </c>
    </row>
    <row r="26">
      <c r="A26" s="8">
        <v>6.0</v>
      </c>
      <c r="B26" s="9">
        <v>1.22</v>
      </c>
      <c r="C26" s="9">
        <v>1.42</v>
      </c>
      <c r="D26" s="9">
        <v>1.62</v>
      </c>
    </row>
    <row r="27">
      <c r="A27" s="8">
        <v>7.0</v>
      </c>
      <c r="B27" s="9">
        <v>1.24</v>
      </c>
      <c r="C27" s="9">
        <v>1.44</v>
      </c>
      <c r="D27" s="9">
        <v>1.64</v>
      </c>
    </row>
    <row r="28">
      <c r="A28" s="8">
        <v>8.0</v>
      </c>
      <c r="B28" s="9">
        <v>1.26</v>
      </c>
      <c r="C28" s="9">
        <v>1.46</v>
      </c>
      <c r="D28" s="9">
        <v>1.66</v>
      </c>
    </row>
    <row r="29">
      <c r="A29" s="8">
        <v>9.0</v>
      </c>
      <c r="B29" s="9">
        <v>1.28</v>
      </c>
      <c r="C29" s="9">
        <v>1.48</v>
      </c>
      <c r="D29" s="9">
        <v>1.68</v>
      </c>
    </row>
    <row r="30">
      <c r="A30" s="8">
        <v>10.0</v>
      </c>
      <c r="B30" s="9">
        <v>1.3</v>
      </c>
      <c r="C30" s="9">
        <v>1.5</v>
      </c>
      <c r="D30" s="9">
        <v>1.7</v>
      </c>
    </row>
    <row r="33">
      <c r="A33" s="3" t="s">
        <v>7</v>
      </c>
      <c r="B33" s="4"/>
      <c r="C33" s="4"/>
      <c r="D33" s="5"/>
    </row>
    <row r="34">
      <c r="A34" s="6" t="s">
        <v>2</v>
      </c>
      <c r="B34" s="7" t="s">
        <v>3</v>
      </c>
      <c r="C34" s="7" t="s">
        <v>4</v>
      </c>
      <c r="D34" s="7" t="s">
        <v>5</v>
      </c>
    </row>
    <row r="35">
      <c r="A35" s="8">
        <v>0.0</v>
      </c>
      <c r="B35" s="9">
        <v>1.3</v>
      </c>
      <c r="C35" s="9">
        <v>1.6</v>
      </c>
      <c r="D35" s="9">
        <v>1.8</v>
      </c>
    </row>
    <row r="36">
      <c r="A36" s="8">
        <v>1.0</v>
      </c>
      <c r="B36" s="9">
        <v>1.3</v>
      </c>
      <c r="C36" s="9">
        <v>1.6</v>
      </c>
      <c r="D36" s="9">
        <v>1.8</v>
      </c>
    </row>
    <row r="37">
      <c r="A37" s="8">
        <v>2.0</v>
      </c>
      <c r="B37" s="9">
        <v>1.3</v>
      </c>
      <c r="C37" s="9">
        <v>1.6</v>
      </c>
      <c r="D37" s="9">
        <v>1.8</v>
      </c>
    </row>
    <row r="38">
      <c r="A38" s="8">
        <v>3.0</v>
      </c>
      <c r="B38" s="9">
        <v>1.5</v>
      </c>
      <c r="C38" s="9">
        <v>1.75</v>
      </c>
      <c r="D38" s="9">
        <v>1.8</v>
      </c>
    </row>
    <row r="39">
      <c r="A39" s="8">
        <v>4.0</v>
      </c>
      <c r="B39" s="9">
        <v>1.5</v>
      </c>
      <c r="C39" s="9">
        <v>1.75</v>
      </c>
      <c r="D39" s="9">
        <v>2.0</v>
      </c>
    </row>
    <row r="40">
      <c r="A40" s="8">
        <v>5.0</v>
      </c>
      <c r="B40" s="9">
        <v>1.5</v>
      </c>
      <c r="C40" s="9">
        <v>1.75</v>
      </c>
      <c r="D40" s="9">
        <v>2.0</v>
      </c>
    </row>
    <row r="41">
      <c r="A41" s="8">
        <v>6.0</v>
      </c>
      <c r="B41" s="9">
        <v>1.52</v>
      </c>
      <c r="C41" s="9">
        <v>1.76</v>
      </c>
      <c r="D41" s="9">
        <v>2.02</v>
      </c>
    </row>
    <row r="42">
      <c r="A42" s="8">
        <v>7.0</v>
      </c>
      <c r="B42" s="9">
        <v>1.54</v>
      </c>
      <c r="C42" s="9">
        <v>1.77</v>
      </c>
      <c r="D42" s="9">
        <v>2.04</v>
      </c>
    </row>
    <row r="43">
      <c r="A43" s="8">
        <v>8.0</v>
      </c>
      <c r="B43" s="9">
        <v>1.56</v>
      </c>
      <c r="C43" s="9">
        <v>1.78</v>
      </c>
      <c r="D43" s="9">
        <v>2.06</v>
      </c>
    </row>
    <row r="44">
      <c r="A44" s="8">
        <v>9.0</v>
      </c>
      <c r="B44" s="9">
        <v>1.58</v>
      </c>
      <c r="C44" s="9">
        <v>1.79</v>
      </c>
      <c r="D44" s="9">
        <v>2.08</v>
      </c>
    </row>
    <row r="45">
      <c r="A45" s="8">
        <v>10.0</v>
      </c>
      <c r="B45" s="9">
        <v>1.6</v>
      </c>
      <c r="C45" s="9">
        <v>1.8</v>
      </c>
      <c r="D45" s="9">
        <v>2.1</v>
      </c>
    </row>
    <row r="48">
      <c r="A48" s="3" t="s">
        <v>8</v>
      </c>
      <c r="B48" s="4"/>
      <c r="C48" s="4"/>
      <c r="D48" s="4"/>
      <c r="E48" s="5"/>
    </row>
    <row r="49">
      <c r="A49" s="6" t="s">
        <v>2</v>
      </c>
      <c r="B49" s="7" t="s">
        <v>9</v>
      </c>
      <c r="C49" s="7" t="s">
        <v>3</v>
      </c>
      <c r="D49" s="7" t="s">
        <v>4</v>
      </c>
      <c r="E49" s="7" t="s">
        <v>5</v>
      </c>
    </row>
    <row r="50">
      <c r="A50" s="8">
        <v>0.0</v>
      </c>
      <c r="B50" s="9">
        <v>0.8</v>
      </c>
      <c r="C50" s="9">
        <v>1.0</v>
      </c>
      <c r="D50" s="9">
        <v>1.2</v>
      </c>
      <c r="E50" s="9">
        <v>1.4</v>
      </c>
    </row>
    <row r="51">
      <c r="A51" s="8">
        <v>1.0</v>
      </c>
      <c r="B51" s="9">
        <v>0.8</v>
      </c>
      <c r="C51" s="9">
        <v>1.0</v>
      </c>
      <c r="D51" s="9">
        <v>1.2</v>
      </c>
      <c r="E51" s="9">
        <v>1.4</v>
      </c>
    </row>
    <row r="52">
      <c r="A52" s="8">
        <v>2.0</v>
      </c>
      <c r="B52" s="9">
        <v>0.8</v>
      </c>
      <c r="C52" s="9">
        <v>1.0</v>
      </c>
      <c r="D52" s="9">
        <v>1.2</v>
      </c>
      <c r="E52" s="9">
        <v>1.4</v>
      </c>
    </row>
    <row r="53">
      <c r="A53" s="8">
        <v>3.0</v>
      </c>
      <c r="B53" s="9">
        <v>0.8</v>
      </c>
      <c r="C53" s="9">
        <v>1.0</v>
      </c>
      <c r="D53" s="9">
        <v>1.3</v>
      </c>
      <c r="E53" s="9">
        <v>1.5</v>
      </c>
    </row>
    <row r="54">
      <c r="A54" s="8">
        <v>4.0</v>
      </c>
      <c r="B54" s="9">
        <v>0.8</v>
      </c>
      <c r="C54" s="9">
        <v>1.0</v>
      </c>
      <c r="D54" s="9">
        <v>1.3</v>
      </c>
      <c r="E54" s="9">
        <v>1.5</v>
      </c>
    </row>
    <row r="55">
      <c r="A55" s="8">
        <v>5.0</v>
      </c>
      <c r="B55" s="9">
        <v>0.8</v>
      </c>
      <c r="C55" s="9">
        <v>1.1</v>
      </c>
      <c r="D55" s="9">
        <v>1.3</v>
      </c>
      <c r="E55" s="9">
        <v>1.5</v>
      </c>
    </row>
    <row r="56">
      <c r="A56" s="8">
        <v>6.0</v>
      </c>
      <c r="B56" s="9">
        <v>1.0</v>
      </c>
      <c r="C56" s="9">
        <v>1.1</v>
      </c>
      <c r="D56" s="9">
        <v>1.3</v>
      </c>
      <c r="E56" s="9">
        <v>1.5</v>
      </c>
    </row>
    <row r="57">
      <c r="A57" s="8">
        <v>7.0</v>
      </c>
      <c r="B57" s="9">
        <v>1.0</v>
      </c>
      <c r="C57" s="9">
        <v>1.12</v>
      </c>
      <c r="D57" s="9">
        <v>1.32</v>
      </c>
      <c r="E57" s="9">
        <v>1.52</v>
      </c>
    </row>
    <row r="58">
      <c r="A58" s="8">
        <v>8.0</v>
      </c>
      <c r="B58" s="9">
        <v>1.0</v>
      </c>
      <c r="C58" s="9">
        <v>1.14</v>
      </c>
      <c r="D58" s="9">
        <v>1.34</v>
      </c>
      <c r="E58" s="9">
        <v>1.54</v>
      </c>
    </row>
    <row r="59">
      <c r="A59" s="8">
        <v>9.0</v>
      </c>
      <c r="B59" s="9">
        <v>1.0</v>
      </c>
      <c r="C59" s="9">
        <v>1.16</v>
      </c>
      <c r="D59" s="9">
        <v>1.36</v>
      </c>
      <c r="E59" s="9">
        <v>1.56</v>
      </c>
    </row>
    <row r="60">
      <c r="A60" s="8">
        <v>10.0</v>
      </c>
      <c r="B60" s="9">
        <v>1.0</v>
      </c>
      <c r="C60" s="9">
        <v>1.18</v>
      </c>
      <c r="D60" s="9">
        <v>1.38</v>
      </c>
      <c r="E60" s="9">
        <v>1.58</v>
      </c>
    </row>
  </sheetData>
  <mergeCells count="5">
    <mergeCell ref="A1:D1"/>
    <mergeCell ref="A3:D3"/>
    <mergeCell ref="A18:D18"/>
    <mergeCell ref="A33:D33"/>
    <mergeCell ref="A48:E4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6" width="16.38"/>
  </cols>
  <sheetData>
    <row r="3" ht="18.75" customHeight="1">
      <c r="C3" s="10" t="s">
        <v>10</v>
      </c>
      <c r="D3" s="11"/>
      <c r="E3" s="11"/>
      <c r="F3" s="12"/>
    </row>
    <row r="4" ht="18.75" customHeight="1">
      <c r="C4" s="13"/>
      <c r="F4" s="14"/>
    </row>
    <row r="5" ht="18.75" customHeight="1">
      <c r="C5" s="13"/>
      <c r="F5" s="14"/>
    </row>
    <row r="6" ht="18.75" customHeight="1">
      <c r="C6" s="15"/>
      <c r="D6" s="16"/>
      <c r="E6" s="16"/>
      <c r="F6" s="17"/>
    </row>
    <row r="7">
      <c r="C7" s="18"/>
      <c r="D7" s="19"/>
      <c r="E7" s="19"/>
      <c r="F7" s="20"/>
    </row>
    <row r="8">
      <c r="C8" s="21" t="s">
        <v>11</v>
      </c>
      <c r="D8" s="22"/>
      <c r="E8" s="22"/>
      <c r="F8" s="23">
        <v>4500000.0</v>
      </c>
    </row>
    <row r="9">
      <c r="C9" s="21" t="s">
        <v>12</v>
      </c>
      <c r="D9" s="22"/>
      <c r="E9" s="22"/>
      <c r="F9" s="24">
        <f>5%*F8</f>
        <v>225000</v>
      </c>
    </row>
    <row r="10">
      <c r="C10" s="21" t="s">
        <v>13</v>
      </c>
      <c r="D10" s="22"/>
      <c r="E10" s="22"/>
      <c r="F10" s="24">
        <f>10%*F8</f>
        <v>450000</v>
      </c>
    </row>
    <row r="11">
      <c r="C11" s="21" t="s">
        <v>14</v>
      </c>
      <c r="D11" s="22"/>
      <c r="E11" s="22"/>
      <c r="F11" s="23">
        <v>250000.0</v>
      </c>
    </row>
    <row r="12">
      <c r="C12" s="21" t="s">
        <v>15</v>
      </c>
      <c r="D12" s="22"/>
      <c r="E12" s="22"/>
      <c r="F12" s="23">
        <f>2.5%*4*F8</f>
        <v>450000</v>
      </c>
    </row>
    <row r="13">
      <c r="C13" s="21" t="s">
        <v>16</v>
      </c>
      <c r="D13" s="22"/>
      <c r="E13" s="22"/>
      <c r="F13" s="25">
        <v>250000.0</v>
      </c>
    </row>
    <row r="14">
      <c r="C14" s="26" t="s">
        <v>17</v>
      </c>
      <c r="F14" s="27">
        <f>SUM(F8:F13)</f>
        <v>6125000</v>
      </c>
    </row>
    <row r="15">
      <c r="C15" s="28"/>
      <c r="D15" s="22"/>
      <c r="E15" s="22"/>
      <c r="F15" s="24"/>
    </row>
    <row r="16">
      <c r="C16" s="26" t="s">
        <v>18</v>
      </c>
      <c r="F16" s="27">
        <f>F14*12</f>
        <v>73500000</v>
      </c>
    </row>
    <row r="17">
      <c r="C17" s="28"/>
      <c r="D17" s="22"/>
      <c r="E17" s="22"/>
      <c r="F17" s="24"/>
    </row>
    <row r="18">
      <c r="C18" s="21" t="s">
        <v>19</v>
      </c>
      <c r="E18" s="29">
        <v>3.6E7</v>
      </c>
      <c r="F18" s="24"/>
    </row>
    <row r="19">
      <c r="C19" s="21" t="s">
        <v>20</v>
      </c>
      <c r="E19" s="29">
        <v>3000000.0</v>
      </c>
      <c r="F19" s="24"/>
    </row>
    <row r="20">
      <c r="C20" s="21" t="s">
        <v>21</v>
      </c>
      <c r="E20" s="30">
        <v>9000000.0</v>
      </c>
      <c r="F20" s="24"/>
    </row>
    <row r="21">
      <c r="C21" s="26" t="s">
        <v>22</v>
      </c>
      <c r="E21" s="31">
        <f>SUM(E18:E20)</f>
        <v>48000000</v>
      </c>
      <c r="F21" s="24"/>
    </row>
    <row r="22">
      <c r="C22" s="28"/>
      <c r="D22" s="22"/>
      <c r="E22" s="22"/>
      <c r="F22" s="32"/>
    </row>
    <row r="23">
      <c r="C23" s="26" t="s">
        <v>23</v>
      </c>
      <c r="F23" s="27">
        <f>F16-E21</f>
        <v>25500000</v>
      </c>
    </row>
    <row r="24">
      <c r="C24" s="28"/>
      <c r="D24" s="22"/>
      <c r="E24" s="22"/>
      <c r="F24" s="24"/>
    </row>
    <row r="25">
      <c r="C25" s="26" t="s">
        <v>24</v>
      </c>
      <c r="F25" s="27">
        <f>F23*5%</f>
        <v>1275000</v>
      </c>
    </row>
    <row r="26">
      <c r="C26" s="28"/>
      <c r="D26" s="22"/>
      <c r="E26" s="22"/>
      <c r="F26" s="24"/>
    </row>
    <row r="27">
      <c r="C27" s="26" t="s">
        <v>25</v>
      </c>
      <c r="F27" s="27">
        <f>F25/12</f>
        <v>106250</v>
      </c>
    </row>
    <row r="28">
      <c r="C28" s="33"/>
      <c r="D28" s="34"/>
      <c r="E28" s="34"/>
      <c r="F28" s="35"/>
    </row>
  </sheetData>
  <mergeCells count="10">
    <mergeCell ref="C23:E23"/>
    <mergeCell ref="C25:E25"/>
    <mergeCell ref="C27:E27"/>
    <mergeCell ref="C3:F6"/>
    <mergeCell ref="C14:E14"/>
    <mergeCell ref="C16:E16"/>
    <mergeCell ref="C18:D18"/>
    <mergeCell ref="C19:D19"/>
    <mergeCell ref="C20:D20"/>
    <mergeCell ref="C21:D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  <col customWidth="1" min="3" max="3" width="19.13"/>
  </cols>
  <sheetData>
    <row r="2">
      <c r="A2" s="6" t="s">
        <v>26</v>
      </c>
      <c r="B2" s="7" t="s">
        <v>27</v>
      </c>
      <c r="C2" s="7" t="s">
        <v>28</v>
      </c>
    </row>
    <row r="3">
      <c r="A3" s="36">
        <v>1.0</v>
      </c>
      <c r="B3" s="36" t="s">
        <v>29</v>
      </c>
      <c r="C3" s="37">
        <v>3800000.0</v>
      </c>
    </row>
    <row r="4">
      <c r="A4" s="36">
        <v>2.0</v>
      </c>
      <c r="B4" s="36" t="s">
        <v>30</v>
      </c>
      <c r="C4" s="37">
        <v>2000000.0</v>
      </c>
    </row>
    <row r="5">
      <c r="A5" s="36">
        <v>3.0</v>
      </c>
      <c r="B5" s="36" t="s">
        <v>31</v>
      </c>
      <c r="C5" s="37">
        <v>4500000.0</v>
      </c>
    </row>
    <row r="6">
      <c r="A6" s="36">
        <v>4.0</v>
      </c>
      <c r="B6" s="36" t="s">
        <v>32</v>
      </c>
      <c r="C6" s="37">
        <v>4800000.0</v>
      </c>
    </row>
    <row r="7">
      <c r="A7" s="36">
        <v>5.0</v>
      </c>
      <c r="B7" s="36" t="s">
        <v>33</v>
      </c>
      <c r="C7" s="37">
        <v>4300000.0</v>
      </c>
    </row>
    <row r="8">
      <c r="A8" s="36">
        <v>6.0</v>
      </c>
      <c r="B8" s="36" t="s">
        <v>34</v>
      </c>
      <c r="C8" s="37">
        <v>5000000.0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  <col customWidth="1" min="3" max="3" width="17.75"/>
  </cols>
  <sheetData>
    <row r="3">
      <c r="B3" s="38" t="s">
        <v>35</v>
      </c>
      <c r="C3" s="5"/>
    </row>
    <row r="4">
      <c r="B4" s="38" t="s">
        <v>36</v>
      </c>
      <c r="C4" s="5"/>
    </row>
    <row r="5">
      <c r="B5" s="39" t="s">
        <v>11</v>
      </c>
      <c r="C5" s="40">
        <v>4500000.0</v>
      </c>
      <c r="F5" s="41"/>
      <c r="G5" s="41"/>
    </row>
    <row r="6">
      <c r="B6" s="39" t="s">
        <v>37</v>
      </c>
      <c r="C6" s="42">
        <f>5%*C5</f>
        <v>225000</v>
      </c>
      <c r="F6" s="41"/>
      <c r="G6" s="41"/>
    </row>
    <row r="7">
      <c r="B7" s="39" t="s">
        <v>38</v>
      </c>
      <c r="C7" s="42">
        <f>10%*C5</f>
        <v>450000</v>
      </c>
      <c r="F7" s="41"/>
      <c r="G7" s="41"/>
    </row>
    <row r="8">
      <c r="B8" s="39" t="s">
        <v>39</v>
      </c>
      <c r="C8" s="40">
        <v>250000.0</v>
      </c>
      <c r="F8" s="41"/>
      <c r="G8" s="41"/>
    </row>
    <row r="9">
      <c r="B9" s="39" t="s">
        <v>40</v>
      </c>
      <c r="C9" s="40">
        <f>2.5%*4*C5</f>
        <v>450000</v>
      </c>
      <c r="F9" s="41"/>
      <c r="G9" s="41"/>
    </row>
    <row r="10">
      <c r="B10" s="39" t="s">
        <v>41</v>
      </c>
      <c r="C10" s="40">
        <v>250000.0</v>
      </c>
      <c r="F10" s="41"/>
      <c r="G10" s="41"/>
    </row>
    <row r="11">
      <c r="B11" s="39" t="s">
        <v>17</v>
      </c>
      <c r="C11" s="43">
        <v>6125000.0</v>
      </c>
      <c r="F11" s="41"/>
      <c r="G11" s="41"/>
    </row>
    <row r="12">
      <c r="B12" s="39" t="s">
        <v>42</v>
      </c>
      <c r="C12" s="42">
        <v>106250.0</v>
      </c>
      <c r="F12" s="41"/>
      <c r="G12" s="41"/>
    </row>
    <row r="13">
      <c r="B13" s="39" t="s">
        <v>43</v>
      </c>
      <c r="C13" s="43">
        <v>214375.0</v>
      </c>
      <c r="F13" s="41"/>
      <c r="G13" s="41"/>
    </row>
    <row r="14">
      <c r="B14" s="44" t="s">
        <v>44</v>
      </c>
      <c r="C14" s="45">
        <v>91875.0</v>
      </c>
      <c r="F14" s="41"/>
      <c r="G14" s="41"/>
    </row>
    <row r="15">
      <c r="B15" s="46" t="s">
        <v>45</v>
      </c>
      <c r="C15" s="47">
        <f>C11-C12-C13-C14</f>
        <v>5712500</v>
      </c>
    </row>
  </sheetData>
  <mergeCells count="2">
    <mergeCell ref="B3:C3"/>
    <mergeCell ref="B4:C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.0"/>
    <col customWidth="1" min="5" max="5" width="26.0"/>
    <col customWidth="1" min="9" max="9" width="3.63"/>
    <col customWidth="1" min="10" max="10" width="21.5"/>
    <col customWidth="1" min="11" max="11" width="15.88"/>
  </cols>
  <sheetData>
    <row r="1">
      <c r="A1" s="48"/>
      <c r="B1" s="48"/>
      <c r="E1" s="48"/>
      <c r="I1" s="48"/>
      <c r="W1" s="48" t="s">
        <v>9</v>
      </c>
      <c r="X1" s="48">
        <v>0.0</v>
      </c>
      <c r="Y1" s="48" t="s">
        <v>1</v>
      </c>
      <c r="Z1" s="49">
        <v>0.1</v>
      </c>
    </row>
    <row r="2">
      <c r="A2" s="48"/>
      <c r="B2" s="48"/>
      <c r="E2" s="48"/>
      <c r="I2" s="48"/>
      <c r="W2" s="48" t="s">
        <v>3</v>
      </c>
      <c r="X2" s="48">
        <v>250000.0</v>
      </c>
      <c r="Y2" s="48" t="s">
        <v>6</v>
      </c>
      <c r="Z2" s="49">
        <v>0.15</v>
      </c>
    </row>
    <row r="3">
      <c r="A3" s="48"/>
      <c r="B3" s="48"/>
      <c r="E3" s="48"/>
      <c r="I3" s="48"/>
      <c r="W3" s="48" t="s">
        <v>4</v>
      </c>
      <c r="X3" s="48">
        <v>500000.0</v>
      </c>
      <c r="Y3" s="48" t="s">
        <v>7</v>
      </c>
      <c r="Z3" s="49">
        <v>0.2</v>
      </c>
    </row>
    <row r="4">
      <c r="A4" s="48"/>
      <c r="B4" s="48"/>
      <c r="E4" s="48"/>
      <c r="I4" s="48"/>
      <c r="W4" s="48" t="s">
        <v>5</v>
      </c>
      <c r="X4" s="48">
        <v>1000000.0</v>
      </c>
      <c r="Y4" s="48" t="s">
        <v>8</v>
      </c>
      <c r="Z4" s="49">
        <v>0.1</v>
      </c>
    </row>
    <row r="5">
      <c r="A5" s="50">
        <v>1.0</v>
      </c>
      <c r="B5" s="51" t="s">
        <v>46</v>
      </c>
      <c r="C5" s="52"/>
      <c r="D5" s="52"/>
      <c r="E5" s="53" t="s">
        <v>47</v>
      </c>
      <c r="F5" s="52"/>
      <c r="G5" s="52"/>
      <c r="H5" s="52"/>
      <c r="I5" s="54" t="s">
        <v>48</v>
      </c>
      <c r="J5" s="52"/>
      <c r="K5" s="55"/>
    </row>
    <row r="6">
      <c r="A6" s="56"/>
      <c r="B6" s="57" t="s">
        <v>49</v>
      </c>
      <c r="C6" s="58" t="s">
        <v>50</v>
      </c>
      <c r="D6" s="58"/>
      <c r="E6" s="22"/>
      <c r="F6" s="22"/>
      <c r="G6" s="22"/>
      <c r="H6" s="22"/>
      <c r="I6" s="59"/>
      <c r="J6" s="60" t="s">
        <v>11</v>
      </c>
      <c r="K6" s="61">
        <f>H7</f>
        <v>4500000</v>
      </c>
    </row>
    <row r="7">
      <c r="A7" s="56"/>
      <c r="B7" s="57" t="s">
        <v>51</v>
      </c>
      <c r="C7" s="58" t="s">
        <v>8</v>
      </c>
      <c r="D7" s="58"/>
      <c r="E7" s="62" t="s">
        <v>11</v>
      </c>
      <c r="F7" s="22"/>
      <c r="G7" s="22"/>
      <c r="H7" s="29">
        <v>4500000.0</v>
      </c>
      <c r="I7" s="59"/>
      <c r="J7" s="60" t="s">
        <v>37</v>
      </c>
      <c r="K7" s="63">
        <f>H9</f>
        <v>450000</v>
      </c>
    </row>
    <row r="8">
      <c r="A8" s="56"/>
      <c r="B8" s="57" t="s">
        <v>52</v>
      </c>
      <c r="C8" s="58" t="s">
        <v>31</v>
      </c>
      <c r="D8" s="58"/>
      <c r="E8" s="62" t="s">
        <v>12</v>
      </c>
      <c r="F8" s="22"/>
      <c r="G8" s="22"/>
      <c r="H8" s="64">
        <f>IF(C11="Kawin",5%*H7,0)</f>
        <v>225000</v>
      </c>
      <c r="I8" s="59"/>
      <c r="J8" s="60" t="s">
        <v>38</v>
      </c>
      <c r="K8" s="63">
        <f>H8</f>
        <v>225000</v>
      </c>
    </row>
    <row r="9">
      <c r="A9" s="56"/>
      <c r="B9" s="57" t="s">
        <v>53</v>
      </c>
      <c r="C9" s="58" t="s">
        <v>3</v>
      </c>
      <c r="D9" s="58"/>
      <c r="E9" s="62" t="s">
        <v>13</v>
      </c>
      <c r="F9" s="22"/>
      <c r="G9" s="22"/>
      <c r="H9" s="64">
        <f>(VLOOKUP(C7,$Y$1:$Z$4,2,false))*H7</f>
        <v>450000</v>
      </c>
      <c r="I9" s="59"/>
      <c r="J9" s="60" t="s">
        <v>39</v>
      </c>
      <c r="K9" s="61">
        <f>H11</f>
        <v>450000</v>
      </c>
    </row>
    <row r="10">
      <c r="A10" s="56"/>
      <c r="B10" s="57" t="s">
        <v>2</v>
      </c>
      <c r="C10" s="58">
        <v>2.0</v>
      </c>
      <c r="D10" s="58"/>
      <c r="E10" s="62" t="s">
        <v>14</v>
      </c>
      <c r="F10" s="22"/>
      <c r="G10" s="22"/>
      <c r="H10" s="29">
        <f>VLOOKUP(C9,$W$1:$X$4,2,false)</f>
        <v>250000</v>
      </c>
      <c r="I10" s="59"/>
      <c r="J10" s="60" t="s">
        <v>40</v>
      </c>
      <c r="K10" s="61">
        <f>H10</f>
        <v>250000</v>
      </c>
    </row>
    <row r="11">
      <c r="A11" s="56"/>
      <c r="B11" s="57" t="s">
        <v>54</v>
      </c>
      <c r="C11" s="58" t="s">
        <v>55</v>
      </c>
      <c r="D11" s="58"/>
      <c r="E11" s="62" t="s">
        <v>15</v>
      </c>
      <c r="F11" s="22"/>
      <c r="G11" s="22"/>
      <c r="H11" s="29">
        <f>(IF(C12&gt;4,4*2.5%*H7,C12*2.5%*H7))</f>
        <v>450000</v>
      </c>
      <c r="I11" s="59"/>
      <c r="J11" s="60" t="s">
        <v>41</v>
      </c>
      <c r="K11" s="61">
        <f>H12</f>
        <v>250000</v>
      </c>
    </row>
    <row r="12">
      <c r="A12" s="56"/>
      <c r="B12" s="57" t="s">
        <v>56</v>
      </c>
      <c r="C12" s="58">
        <v>4.0</v>
      </c>
      <c r="D12" s="58"/>
      <c r="E12" s="62" t="s">
        <v>16</v>
      </c>
      <c r="F12" s="22"/>
      <c r="G12" s="22"/>
      <c r="H12" s="29">
        <f>IF(OR(C8="Jakarta",C8="Bandung"),250000,0)</f>
        <v>250000</v>
      </c>
      <c r="I12" s="59"/>
      <c r="J12" s="60" t="s">
        <v>17</v>
      </c>
      <c r="K12" s="65">
        <f>SUM(K6:K11)</f>
        <v>6125000</v>
      </c>
    </row>
    <row r="13">
      <c r="A13" s="66"/>
      <c r="E13" s="67" t="s">
        <v>17</v>
      </c>
      <c r="H13" s="68">
        <f>SUM(H7:H12)</f>
        <v>6125000</v>
      </c>
      <c r="I13" s="59"/>
      <c r="J13" s="60" t="s">
        <v>42</v>
      </c>
      <c r="K13" s="63">
        <f>H26</f>
        <v>106250</v>
      </c>
    </row>
    <row r="14">
      <c r="A14" s="66"/>
      <c r="E14" s="22"/>
      <c r="F14" s="22"/>
      <c r="G14" s="22"/>
      <c r="H14" s="64"/>
      <c r="I14" s="59"/>
      <c r="J14" s="60" t="s">
        <v>43</v>
      </c>
      <c r="K14" s="65">
        <f t="shared" ref="K14:K15" si="1">G29</f>
        <v>214375</v>
      </c>
    </row>
    <row r="15">
      <c r="A15" s="66"/>
      <c r="E15" s="67" t="s">
        <v>18</v>
      </c>
      <c r="H15" s="31">
        <f>H13*12</f>
        <v>73500000</v>
      </c>
      <c r="I15" s="59"/>
      <c r="J15" s="60" t="s">
        <v>44</v>
      </c>
      <c r="K15" s="65">
        <f t="shared" si="1"/>
        <v>91875</v>
      </c>
    </row>
    <row r="16">
      <c r="A16" s="66"/>
      <c r="E16" s="22"/>
      <c r="F16" s="22"/>
      <c r="G16" s="22"/>
      <c r="H16" s="64"/>
      <c r="I16" s="59"/>
      <c r="J16" s="69" t="s">
        <v>45</v>
      </c>
      <c r="K16" s="70">
        <f>K12-K13-K14-K15</f>
        <v>5712500</v>
      </c>
    </row>
    <row r="17">
      <c r="A17" s="66"/>
      <c r="E17" s="62" t="s">
        <v>19</v>
      </c>
      <c r="G17" s="29">
        <f>IF(H13&gt;4000000,36000000,0)</f>
        <v>36000000</v>
      </c>
      <c r="H17" s="64"/>
      <c r="K17" s="71"/>
    </row>
    <row r="18">
      <c r="A18" s="66"/>
      <c r="E18" s="62" t="s">
        <v>20</v>
      </c>
      <c r="G18" s="29">
        <f>IF(H15&gt;4000000,IF(C11="Kawin",3000000,0),0)</f>
        <v>3000000</v>
      </c>
      <c r="H18" s="64"/>
      <c r="K18" s="71"/>
    </row>
    <row r="19">
      <c r="A19" s="66"/>
      <c r="E19" s="62" t="s">
        <v>21</v>
      </c>
      <c r="G19" s="29">
        <f>IF(H13&gt;4000000,(IF(C12&gt;3,3*3000000,C12*3000000)),0)</f>
        <v>9000000</v>
      </c>
      <c r="H19" s="64"/>
      <c r="K19" s="71"/>
    </row>
    <row r="20">
      <c r="A20" s="66"/>
      <c r="E20" s="67" t="s">
        <v>22</v>
      </c>
      <c r="G20" s="68">
        <f>SUM(G17:G19)</f>
        <v>48000000</v>
      </c>
      <c r="H20" s="64"/>
      <c r="K20" s="71"/>
    </row>
    <row r="21">
      <c r="A21" s="66"/>
      <c r="E21" s="22"/>
      <c r="F21" s="22"/>
      <c r="G21" s="22"/>
      <c r="H21" s="64"/>
      <c r="K21" s="71"/>
    </row>
    <row r="22">
      <c r="A22" s="66"/>
      <c r="E22" s="67" t="s">
        <v>23</v>
      </c>
      <c r="H22" s="68">
        <f>H15-G20</f>
        <v>25500000</v>
      </c>
      <c r="K22" s="71"/>
    </row>
    <row r="23">
      <c r="A23" s="66"/>
      <c r="E23" s="22"/>
      <c r="F23" s="22"/>
      <c r="G23" s="22"/>
      <c r="H23" s="64"/>
      <c r="K23" s="71"/>
    </row>
    <row r="24">
      <c r="A24" s="66"/>
      <c r="E24" s="67" t="s">
        <v>24</v>
      </c>
      <c r="H24" s="31">
        <f>H22*5%</f>
        <v>1275000</v>
      </c>
      <c r="K24" s="71"/>
    </row>
    <row r="25">
      <c r="A25" s="66"/>
      <c r="E25" s="22"/>
      <c r="F25" s="22"/>
      <c r="G25" s="22"/>
      <c r="H25" s="64"/>
      <c r="K25" s="71"/>
    </row>
    <row r="26">
      <c r="A26" s="66"/>
      <c r="E26" s="67" t="s">
        <v>57</v>
      </c>
      <c r="H26" s="31">
        <f>H24/12</f>
        <v>106250</v>
      </c>
      <c r="K26" s="71"/>
    </row>
    <row r="27">
      <c r="A27" s="66"/>
      <c r="E27" s="22"/>
      <c r="F27" s="22"/>
      <c r="G27" s="22"/>
      <c r="H27" s="22"/>
      <c r="K27" s="71"/>
    </row>
    <row r="28">
      <c r="A28" s="66"/>
      <c r="E28" s="22"/>
      <c r="F28" s="22"/>
      <c r="G28" s="22"/>
      <c r="H28" s="22"/>
      <c r="K28" s="71"/>
    </row>
    <row r="29">
      <c r="A29" s="66"/>
      <c r="E29" s="62" t="s">
        <v>58</v>
      </c>
      <c r="F29" s="22"/>
      <c r="G29" s="31">
        <f>3.5%*H13</f>
        <v>214375</v>
      </c>
      <c r="H29" s="22"/>
      <c r="K29" s="71"/>
    </row>
    <row r="30">
      <c r="A30" s="66"/>
      <c r="E30" s="62" t="s">
        <v>59</v>
      </c>
      <c r="F30" s="22"/>
      <c r="G30" s="31">
        <f>1.5%*H13</f>
        <v>91875</v>
      </c>
      <c r="H30" s="22"/>
      <c r="K30" s="71"/>
    </row>
    <row r="31">
      <c r="A31" s="72"/>
      <c r="B31" s="73"/>
      <c r="C31" s="73"/>
      <c r="D31" s="73"/>
      <c r="E31" s="74" t="s">
        <v>60</v>
      </c>
      <c r="F31" s="75"/>
      <c r="G31" s="75"/>
      <c r="H31" s="76">
        <f>H13-H26-G29-G30</f>
        <v>5712500</v>
      </c>
      <c r="I31" s="73"/>
      <c r="J31" s="73"/>
      <c r="K31" s="77"/>
    </row>
    <row r="34">
      <c r="A34" s="50">
        <v>2.0</v>
      </c>
      <c r="B34" s="51" t="s">
        <v>46</v>
      </c>
      <c r="C34" s="52"/>
      <c r="D34" s="52"/>
      <c r="E34" s="53" t="s">
        <v>47</v>
      </c>
      <c r="F34" s="52"/>
      <c r="G34" s="52"/>
      <c r="H34" s="52"/>
      <c r="I34" s="54" t="s">
        <v>48</v>
      </c>
      <c r="J34" s="52"/>
      <c r="K34" s="55"/>
    </row>
    <row r="35">
      <c r="A35" s="56"/>
      <c r="B35" s="57" t="s">
        <v>49</v>
      </c>
      <c r="C35" s="58" t="s">
        <v>61</v>
      </c>
      <c r="D35" s="58"/>
      <c r="E35" s="22"/>
      <c r="F35" s="22"/>
      <c r="G35" s="22"/>
      <c r="H35" s="22"/>
      <c r="I35" s="59"/>
      <c r="J35" s="60" t="s">
        <v>11</v>
      </c>
      <c r="K35" s="61">
        <f>H36</f>
        <v>3200000</v>
      </c>
    </row>
    <row r="36">
      <c r="A36" s="56"/>
      <c r="B36" s="57" t="s">
        <v>51</v>
      </c>
      <c r="C36" s="58" t="s">
        <v>1</v>
      </c>
      <c r="D36" s="58"/>
      <c r="E36" s="62" t="s">
        <v>11</v>
      </c>
      <c r="F36" s="22"/>
      <c r="G36" s="22"/>
      <c r="H36" s="29">
        <v>3200000.0</v>
      </c>
      <c r="I36" s="59"/>
      <c r="J36" s="60" t="s">
        <v>37</v>
      </c>
      <c r="K36" s="63">
        <f>H38</f>
        <v>320000</v>
      </c>
    </row>
    <row r="37">
      <c r="A37" s="56"/>
      <c r="B37" s="57" t="s">
        <v>52</v>
      </c>
      <c r="C37" s="58" t="s">
        <v>30</v>
      </c>
      <c r="D37" s="58"/>
      <c r="E37" s="62" t="s">
        <v>12</v>
      </c>
      <c r="F37" s="22"/>
      <c r="G37" s="22"/>
      <c r="H37" s="64">
        <f>IF(C40="Kawin",5%*H36,0)</f>
        <v>160000</v>
      </c>
      <c r="I37" s="59"/>
      <c r="J37" s="60" t="s">
        <v>38</v>
      </c>
      <c r="K37" s="63">
        <f>H37</f>
        <v>160000</v>
      </c>
    </row>
    <row r="38">
      <c r="A38" s="56"/>
      <c r="B38" s="57" t="s">
        <v>53</v>
      </c>
      <c r="C38" s="58" t="s">
        <v>4</v>
      </c>
      <c r="D38" s="58"/>
      <c r="E38" s="62" t="s">
        <v>13</v>
      </c>
      <c r="F38" s="22"/>
      <c r="G38" s="22"/>
      <c r="H38" s="64">
        <f>(VLOOKUP(C36,$Y$1:$Z$4,2,false))*H36</f>
        <v>320000</v>
      </c>
      <c r="I38" s="59"/>
      <c r="J38" s="60" t="s">
        <v>39</v>
      </c>
      <c r="K38" s="61">
        <f>H40</f>
        <v>0</v>
      </c>
    </row>
    <row r="39">
      <c r="A39" s="56"/>
      <c r="B39" s="57" t="s">
        <v>2</v>
      </c>
      <c r="C39" s="58">
        <v>4.0</v>
      </c>
      <c r="D39" s="58"/>
      <c r="E39" s="62" t="s">
        <v>14</v>
      </c>
      <c r="F39" s="22"/>
      <c r="G39" s="22"/>
      <c r="H39" s="29">
        <f>VLOOKUP(C38,$W$1:$X$4,2,false)</f>
        <v>500000</v>
      </c>
      <c r="I39" s="59"/>
      <c r="J39" s="60" t="s">
        <v>40</v>
      </c>
      <c r="K39" s="61">
        <f>H39</f>
        <v>500000</v>
      </c>
    </row>
    <row r="40">
      <c r="A40" s="56"/>
      <c r="B40" s="57" t="s">
        <v>54</v>
      </c>
      <c r="C40" s="58" t="s">
        <v>55</v>
      </c>
      <c r="D40" s="58"/>
      <c r="E40" s="62" t="s">
        <v>15</v>
      </c>
      <c r="F40" s="22"/>
      <c r="G40" s="22"/>
      <c r="H40" s="29">
        <f>(IF(C41&gt;4,4*2.5%*H36,C41*2.5%*H36))</f>
        <v>0</v>
      </c>
      <c r="I40" s="59"/>
      <c r="J40" s="60" t="s">
        <v>41</v>
      </c>
      <c r="K40" s="61">
        <f>H41</f>
        <v>0</v>
      </c>
    </row>
    <row r="41">
      <c r="A41" s="56"/>
      <c r="B41" s="57" t="s">
        <v>56</v>
      </c>
      <c r="C41" s="58">
        <v>0.0</v>
      </c>
      <c r="D41" s="58"/>
      <c r="E41" s="62" t="s">
        <v>16</v>
      </c>
      <c r="F41" s="22"/>
      <c r="G41" s="22"/>
      <c r="H41" s="29">
        <f>IF(OR(C37="Jakarta",C37="Bandung"),250000,0)</f>
        <v>0</v>
      </c>
      <c r="I41" s="59"/>
      <c r="J41" s="60" t="s">
        <v>17</v>
      </c>
      <c r="K41" s="65">
        <f>SUM(K35:K40)</f>
        <v>4180000</v>
      </c>
    </row>
    <row r="42">
      <c r="A42" s="66"/>
      <c r="E42" s="67" t="s">
        <v>17</v>
      </c>
      <c r="H42" s="68">
        <f>SUM(H36:H41)</f>
        <v>4180000</v>
      </c>
      <c r="I42" s="59"/>
      <c r="J42" s="60" t="s">
        <v>42</v>
      </c>
      <c r="K42" s="63">
        <f>H55</f>
        <v>46500</v>
      </c>
    </row>
    <row r="43">
      <c r="A43" s="66"/>
      <c r="E43" s="22"/>
      <c r="F43" s="22"/>
      <c r="G43" s="22"/>
      <c r="H43" s="64"/>
      <c r="I43" s="59"/>
      <c r="J43" s="60" t="s">
        <v>43</v>
      </c>
      <c r="K43" s="65">
        <f t="shared" ref="K43:K44" si="2">G58</f>
        <v>146300</v>
      </c>
    </row>
    <row r="44">
      <c r="A44" s="66"/>
      <c r="E44" s="67" t="s">
        <v>18</v>
      </c>
      <c r="H44" s="31">
        <f>H42*12</f>
        <v>50160000</v>
      </c>
      <c r="I44" s="59"/>
      <c r="J44" s="60" t="s">
        <v>44</v>
      </c>
      <c r="K44" s="65">
        <f t="shared" si="2"/>
        <v>62700</v>
      </c>
    </row>
    <row r="45">
      <c r="A45" s="66"/>
      <c r="E45" s="22"/>
      <c r="F45" s="22"/>
      <c r="G45" s="22"/>
      <c r="H45" s="64"/>
      <c r="I45" s="59"/>
      <c r="J45" s="69" t="s">
        <v>45</v>
      </c>
      <c r="K45" s="70">
        <f>K41-K42-K43-K44</f>
        <v>3924500</v>
      </c>
    </row>
    <row r="46">
      <c r="A46" s="66"/>
      <c r="E46" s="62" t="s">
        <v>19</v>
      </c>
      <c r="G46" s="29">
        <f>IF(H42&gt;4000000,36000000,0)</f>
        <v>36000000</v>
      </c>
      <c r="H46" s="64"/>
      <c r="K46" s="71"/>
    </row>
    <row r="47">
      <c r="A47" s="66"/>
      <c r="E47" s="62" t="s">
        <v>20</v>
      </c>
      <c r="G47" s="29">
        <f>IF(H44&gt;4000000,IF(C40="Kawin",3000000,0),0)</f>
        <v>3000000</v>
      </c>
      <c r="H47" s="64"/>
      <c r="K47" s="71"/>
    </row>
    <row r="48">
      <c r="A48" s="66"/>
      <c r="E48" s="62" t="s">
        <v>21</v>
      </c>
      <c r="G48" s="29">
        <f>IF(H42&gt;4000000,(IF(C41&gt;3,3*3000000,C41*3000000)),0)</f>
        <v>0</v>
      </c>
      <c r="H48" s="64"/>
      <c r="K48" s="71"/>
    </row>
    <row r="49">
      <c r="A49" s="66"/>
      <c r="E49" s="67" t="s">
        <v>22</v>
      </c>
      <c r="G49" s="68">
        <f>SUM(G46:G48)</f>
        <v>39000000</v>
      </c>
      <c r="H49" s="64"/>
      <c r="K49" s="71"/>
    </row>
    <row r="50">
      <c r="A50" s="66"/>
      <c r="E50" s="22"/>
      <c r="F50" s="22"/>
      <c r="G50" s="22"/>
      <c r="H50" s="64"/>
      <c r="K50" s="71"/>
    </row>
    <row r="51">
      <c r="A51" s="66"/>
      <c r="E51" s="67" t="s">
        <v>23</v>
      </c>
      <c r="H51" s="68">
        <f>H44-G49</f>
        <v>11160000</v>
      </c>
      <c r="K51" s="71"/>
    </row>
    <row r="52">
      <c r="A52" s="66"/>
      <c r="E52" s="22"/>
      <c r="F52" s="22"/>
      <c r="G52" s="22"/>
      <c r="H52" s="64"/>
      <c r="K52" s="71"/>
    </row>
    <row r="53">
      <c r="A53" s="66"/>
      <c r="E53" s="67" t="s">
        <v>24</v>
      </c>
      <c r="H53" s="31">
        <f>H51*5%</f>
        <v>558000</v>
      </c>
      <c r="K53" s="71"/>
    </row>
    <row r="54">
      <c r="A54" s="66"/>
      <c r="E54" s="22"/>
      <c r="F54" s="22"/>
      <c r="G54" s="22"/>
      <c r="H54" s="64"/>
      <c r="K54" s="71"/>
    </row>
    <row r="55">
      <c r="A55" s="66"/>
      <c r="E55" s="67" t="s">
        <v>57</v>
      </c>
      <c r="H55" s="31">
        <f>H53/12</f>
        <v>46500</v>
      </c>
      <c r="K55" s="71"/>
    </row>
    <row r="56">
      <c r="A56" s="66"/>
      <c r="E56" s="22"/>
      <c r="F56" s="22"/>
      <c r="G56" s="22"/>
      <c r="H56" s="22"/>
      <c r="K56" s="71"/>
    </row>
    <row r="57">
      <c r="A57" s="66"/>
      <c r="E57" s="22"/>
      <c r="F57" s="22"/>
      <c r="G57" s="22"/>
      <c r="H57" s="22"/>
      <c r="K57" s="71"/>
    </row>
    <row r="58">
      <c r="A58" s="66"/>
      <c r="E58" s="62" t="s">
        <v>58</v>
      </c>
      <c r="F58" s="22"/>
      <c r="G58" s="31">
        <f>3.5%*H42</f>
        <v>146300</v>
      </c>
      <c r="H58" s="22"/>
      <c r="K58" s="71"/>
    </row>
    <row r="59">
      <c r="A59" s="66"/>
      <c r="E59" s="62" t="s">
        <v>59</v>
      </c>
      <c r="F59" s="22"/>
      <c r="G59" s="31">
        <f>1.5%*H42</f>
        <v>62700</v>
      </c>
      <c r="H59" s="22"/>
      <c r="K59" s="71"/>
    </row>
    <row r="60">
      <c r="A60" s="72"/>
      <c r="B60" s="73"/>
      <c r="C60" s="73"/>
      <c r="D60" s="73"/>
      <c r="E60" s="74" t="s">
        <v>60</v>
      </c>
      <c r="F60" s="75"/>
      <c r="G60" s="75"/>
      <c r="H60" s="76">
        <f>H42-H55-G58-G59</f>
        <v>3924500</v>
      </c>
      <c r="I60" s="73"/>
      <c r="J60" s="73"/>
      <c r="K60" s="77"/>
    </row>
    <row r="63">
      <c r="A63" s="50">
        <v>3.0</v>
      </c>
      <c r="B63" s="51" t="s">
        <v>46</v>
      </c>
      <c r="C63" s="52"/>
      <c r="D63" s="52"/>
      <c r="E63" s="53" t="s">
        <v>47</v>
      </c>
      <c r="F63" s="52"/>
      <c r="G63" s="52"/>
      <c r="H63" s="52"/>
      <c r="I63" s="54" t="s">
        <v>48</v>
      </c>
      <c r="J63" s="52"/>
      <c r="K63" s="55"/>
    </row>
    <row r="64">
      <c r="A64" s="56"/>
      <c r="B64" s="57" t="s">
        <v>49</v>
      </c>
      <c r="C64" s="58" t="s">
        <v>62</v>
      </c>
      <c r="D64" s="58"/>
      <c r="E64" s="22"/>
      <c r="F64" s="22"/>
      <c r="G64" s="22"/>
      <c r="H64" s="22"/>
      <c r="I64" s="59"/>
      <c r="J64" s="60" t="s">
        <v>11</v>
      </c>
      <c r="K64" s="61">
        <f>H65</f>
        <v>7600000</v>
      </c>
    </row>
    <row r="65">
      <c r="A65" s="56"/>
      <c r="B65" s="57" t="s">
        <v>51</v>
      </c>
      <c r="C65" s="58" t="s">
        <v>7</v>
      </c>
      <c r="D65" s="58"/>
      <c r="E65" s="62" t="s">
        <v>11</v>
      </c>
      <c r="F65" s="22"/>
      <c r="G65" s="22"/>
      <c r="H65" s="29">
        <v>7600000.0</v>
      </c>
      <c r="I65" s="59"/>
      <c r="J65" s="60" t="s">
        <v>37</v>
      </c>
      <c r="K65" s="63">
        <f>H67</f>
        <v>1520000</v>
      </c>
    </row>
    <row r="66">
      <c r="A66" s="56"/>
      <c r="B66" s="57" t="s">
        <v>52</v>
      </c>
      <c r="C66" s="58" t="s">
        <v>29</v>
      </c>
      <c r="D66" s="58"/>
      <c r="E66" s="62" t="s">
        <v>12</v>
      </c>
      <c r="F66" s="22"/>
      <c r="G66" s="22"/>
      <c r="H66" s="64">
        <f>IF(C69="Kawin",5%*H65,0)</f>
        <v>0</v>
      </c>
      <c r="I66" s="59"/>
      <c r="J66" s="60" t="s">
        <v>38</v>
      </c>
      <c r="K66" s="63">
        <f>H66</f>
        <v>0</v>
      </c>
    </row>
    <row r="67">
      <c r="A67" s="56"/>
      <c r="B67" s="57" t="s">
        <v>53</v>
      </c>
      <c r="C67" s="58" t="s">
        <v>5</v>
      </c>
      <c r="D67" s="58"/>
      <c r="E67" s="62" t="s">
        <v>13</v>
      </c>
      <c r="F67" s="22"/>
      <c r="G67" s="22"/>
      <c r="H67" s="64">
        <f>(VLOOKUP(C65,$Y$1:$Z$4,2,false))*H65</f>
        <v>1520000</v>
      </c>
      <c r="I67" s="59"/>
      <c r="J67" s="60" t="s">
        <v>39</v>
      </c>
      <c r="K67" s="61">
        <f>H69</f>
        <v>760000</v>
      </c>
    </row>
    <row r="68">
      <c r="A68" s="56"/>
      <c r="B68" s="57" t="s">
        <v>2</v>
      </c>
      <c r="C68" s="58">
        <v>5.0</v>
      </c>
      <c r="D68" s="58"/>
      <c r="E68" s="62" t="s">
        <v>14</v>
      </c>
      <c r="F68" s="22"/>
      <c r="G68" s="22"/>
      <c r="H68" s="29">
        <f>VLOOKUP(C67,$W$1:$X$4,2,false)</f>
        <v>1000000</v>
      </c>
      <c r="I68" s="59"/>
      <c r="J68" s="60" t="s">
        <v>40</v>
      </c>
      <c r="K68" s="61">
        <f>H68</f>
        <v>1000000</v>
      </c>
    </row>
    <row r="69">
      <c r="A69" s="56"/>
      <c r="B69" s="57" t="s">
        <v>54</v>
      </c>
      <c r="C69" s="58" t="s">
        <v>63</v>
      </c>
      <c r="D69" s="58"/>
      <c r="E69" s="62" t="s">
        <v>15</v>
      </c>
      <c r="F69" s="22"/>
      <c r="G69" s="22"/>
      <c r="H69" s="29">
        <f>(IF(C70&gt;4,4*2.5%*H65,C70*2.5%*H65))</f>
        <v>760000</v>
      </c>
      <c r="I69" s="59"/>
      <c r="J69" s="60" t="s">
        <v>41</v>
      </c>
      <c r="K69" s="61">
        <f>H70</f>
        <v>250000</v>
      </c>
    </row>
    <row r="70">
      <c r="A70" s="56"/>
      <c r="B70" s="57" t="s">
        <v>56</v>
      </c>
      <c r="C70" s="58">
        <v>5.0</v>
      </c>
      <c r="D70" s="58"/>
      <c r="E70" s="62" t="s">
        <v>16</v>
      </c>
      <c r="F70" s="22"/>
      <c r="G70" s="22"/>
      <c r="H70" s="29">
        <f>IF(OR(C66="Jakarta",C66="Bandung"),250000,0)</f>
        <v>250000</v>
      </c>
      <c r="I70" s="59"/>
      <c r="J70" s="60" t="s">
        <v>17</v>
      </c>
      <c r="K70" s="65">
        <f>SUM(K64:K69)</f>
        <v>11130000</v>
      </c>
    </row>
    <row r="71">
      <c r="A71" s="66"/>
      <c r="E71" s="67" t="s">
        <v>17</v>
      </c>
      <c r="H71" s="68">
        <f>SUM(H65:H70)</f>
        <v>11130000</v>
      </c>
      <c r="I71" s="59"/>
      <c r="J71" s="60" t="s">
        <v>42</v>
      </c>
      <c r="K71" s="63">
        <f>H84</f>
        <v>369000</v>
      </c>
    </row>
    <row r="72">
      <c r="A72" s="66"/>
      <c r="E72" s="22"/>
      <c r="F72" s="22"/>
      <c r="G72" s="22"/>
      <c r="H72" s="64"/>
      <c r="I72" s="59"/>
      <c r="J72" s="60" t="s">
        <v>43</v>
      </c>
      <c r="K72" s="65">
        <f t="shared" ref="K72:K73" si="3">G87</f>
        <v>389550</v>
      </c>
    </row>
    <row r="73">
      <c r="A73" s="66"/>
      <c r="E73" s="67" t="s">
        <v>18</v>
      </c>
      <c r="H73" s="31">
        <f>H71*12</f>
        <v>133560000</v>
      </c>
      <c r="I73" s="59"/>
      <c r="J73" s="60" t="s">
        <v>44</v>
      </c>
      <c r="K73" s="65">
        <f t="shared" si="3"/>
        <v>166950</v>
      </c>
    </row>
    <row r="74">
      <c r="A74" s="66"/>
      <c r="E74" s="22"/>
      <c r="F74" s="22"/>
      <c r="G74" s="22"/>
      <c r="H74" s="64"/>
      <c r="I74" s="59"/>
      <c r="J74" s="69" t="s">
        <v>45</v>
      </c>
      <c r="K74" s="70">
        <f>K70-K71-K72-K73</f>
        <v>10204500</v>
      </c>
    </row>
    <row r="75">
      <c r="A75" s="66"/>
      <c r="E75" s="62" t="s">
        <v>19</v>
      </c>
      <c r="G75" s="29">
        <f>IF(H71&gt;4000000,36000000,0)</f>
        <v>36000000</v>
      </c>
      <c r="H75" s="64"/>
      <c r="K75" s="71"/>
    </row>
    <row r="76">
      <c r="A76" s="66"/>
      <c r="E76" s="62" t="s">
        <v>20</v>
      </c>
      <c r="G76" s="29">
        <f>IF(H73&gt;4000000,IF(C69="Kawin",3000000,0),0)</f>
        <v>0</v>
      </c>
      <c r="H76" s="64"/>
      <c r="K76" s="71"/>
    </row>
    <row r="77">
      <c r="A77" s="66"/>
      <c r="E77" s="62" t="s">
        <v>21</v>
      </c>
      <c r="G77" s="29">
        <f>IF(H71&gt;4000000,(IF(C70&gt;3,3*3000000,C70*3000000)),0)</f>
        <v>9000000</v>
      </c>
      <c r="H77" s="64"/>
      <c r="K77" s="71"/>
    </row>
    <row r="78">
      <c r="A78" s="66"/>
      <c r="E78" s="67" t="s">
        <v>22</v>
      </c>
      <c r="G78" s="68">
        <f>SUM(G75:G77)</f>
        <v>45000000</v>
      </c>
      <c r="H78" s="64"/>
      <c r="K78" s="71"/>
    </row>
    <row r="79">
      <c r="A79" s="66"/>
      <c r="E79" s="22"/>
      <c r="F79" s="22"/>
      <c r="G79" s="22"/>
      <c r="H79" s="64"/>
      <c r="K79" s="71"/>
    </row>
    <row r="80">
      <c r="A80" s="66"/>
      <c r="E80" s="67" t="s">
        <v>23</v>
      </c>
      <c r="H80" s="68">
        <f>H73-G78</f>
        <v>88560000</v>
      </c>
      <c r="K80" s="71"/>
    </row>
    <row r="81">
      <c r="A81" s="66"/>
      <c r="E81" s="22"/>
      <c r="F81" s="22"/>
      <c r="G81" s="22"/>
      <c r="H81" s="64"/>
      <c r="K81" s="71"/>
    </row>
    <row r="82">
      <c r="A82" s="66"/>
      <c r="E82" s="67" t="s">
        <v>24</v>
      </c>
      <c r="H82" s="31">
        <f>H80*5%</f>
        <v>4428000</v>
      </c>
      <c r="K82" s="71"/>
    </row>
    <row r="83">
      <c r="A83" s="66"/>
      <c r="E83" s="22"/>
      <c r="F83" s="22"/>
      <c r="G83" s="22"/>
      <c r="H83" s="64"/>
      <c r="K83" s="71"/>
    </row>
    <row r="84">
      <c r="A84" s="66"/>
      <c r="E84" s="67" t="s">
        <v>57</v>
      </c>
      <c r="H84" s="31">
        <f>H82/12</f>
        <v>369000</v>
      </c>
      <c r="K84" s="71"/>
    </row>
    <row r="85">
      <c r="A85" s="66"/>
      <c r="E85" s="22"/>
      <c r="F85" s="22"/>
      <c r="G85" s="22"/>
      <c r="H85" s="22"/>
      <c r="K85" s="71"/>
    </row>
    <row r="86">
      <c r="A86" s="66"/>
      <c r="E86" s="22"/>
      <c r="F86" s="22"/>
      <c r="G86" s="22"/>
      <c r="H86" s="22"/>
      <c r="K86" s="71"/>
    </row>
    <row r="87">
      <c r="A87" s="66"/>
      <c r="E87" s="62" t="s">
        <v>58</v>
      </c>
      <c r="F87" s="22"/>
      <c r="G87" s="31">
        <f>3.5%*H71</f>
        <v>389550</v>
      </c>
      <c r="H87" s="22"/>
      <c r="K87" s="71"/>
    </row>
    <row r="88">
      <c r="A88" s="66"/>
      <c r="E88" s="62" t="s">
        <v>59</v>
      </c>
      <c r="F88" s="22"/>
      <c r="G88" s="31">
        <f>1.5%*H71</f>
        <v>166950</v>
      </c>
      <c r="H88" s="22"/>
      <c r="K88" s="71"/>
    </row>
    <row r="89">
      <c r="A89" s="72"/>
      <c r="B89" s="73"/>
      <c r="C89" s="73"/>
      <c r="D89" s="73"/>
      <c r="E89" s="74" t="s">
        <v>60</v>
      </c>
      <c r="F89" s="75"/>
      <c r="G89" s="75"/>
      <c r="H89" s="76">
        <f>H71-H84-G87-G88</f>
        <v>10204500</v>
      </c>
      <c r="I89" s="73"/>
      <c r="J89" s="73"/>
      <c r="K89" s="77"/>
    </row>
    <row r="92">
      <c r="A92" s="50">
        <v>4.0</v>
      </c>
      <c r="B92" s="51" t="s">
        <v>46</v>
      </c>
      <c r="C92" s="52"/>
      <c r="D92" s="52"/>
      <c r="E92" s="53" t="s">
        <v>47</v>
      </c>
      <c r="F92" s="52"/>
      <c r="G92" s="52"/>
      <c r="H92" s="52"/>
      <c r="I92" s="54" t="s">
        <v>48</v>
      </c>
      <c r="J92" s="52"/>
      <c r="K92" s="55"/>
    </row>
    <row r="93">
      <c r="A93" s="56"/>
      <c r="B93" s="57" t="s">
        <v>49</v>
      </c>
      <c r="C93" s="58" t="s">
        <v>64</v>
      </c>
      <c r="D93" s="58"/>
      <c r="E93" s="22"/>
      <c r="F93" s="22"/>
      <c r="G93" s="22"/>
      <c r="H93" s="22"/>
      <c r="I93" s="59"/>
      <c r="J93" s="60" t="s">
        <v>11</v>
      </c>
      <c r="K93" s="61">
        <f>H94</f>
        <v>7000000</v>
      </c>
    </row>
    <row r="94">
      <c r="A94" s="56"/>
      <c r="B94" s="57" t="s">
        <v>51</v>
      </c>
      <c r="C94" s="58" t="s">
        <v>6</v>
      </c>
      <c r="D94" s="58"/>
      <c r="E94" s="62" t="s">
        <v>11</v>
      </c>
      <c r="F94" s="22"/>
      <c r="G94" s="22"/>
      <c r="H94" s="29">
        <v>7000000.0</v>
      </c>
      <c r="I94" s="59"/>
      <c r="J94" s="60" t="s">
        <v>37</v>
      </c>
      <c r="K94" s="63">
        <f>H96</f>
        <v>1050000</v>
      </c>
    </row>
    <row r="95">
      <c r="A95" s="56"/>
      <c r="B95" s="57" t="s">
        <v>52</v>
      </c>
      <c r="C95" s="58" t="s">
        <v>34</v>
      </c>
      <c r="D95" s="58"/>
      <c r="E95" s="62" t="s">
        <v>12</v>
      </c>
      <c r="F95" s="22"/>
      <c r="G95" s="22"/>
      <c r="H95" s="64">
        <f>IF(C98="Kawin",5%*H94,0)</f>
        <v>0</v>
      </c>
      <c r="I95" s="59"/>
      <c r="J95" s="60" t="s">
        <v>38</v>
      </c>
      <c r="K95" s="63">
        <f>H95</f>
        <v>0</v>
      </c>
    </row>
    <row r="96">
      <c r="A96" s="56"/>
      <c r="B96" s="57" t="s">
        <v>53</v>
      </c>
      <c r="C96" s="58" t="s">
        <v>4</v>
      </c>
      <c r="D96" s="58"/>
      <c r="E96" s="62" t="s">
        <v>13</v>
      </c>
      <c r="F96" s="22"/>
      <c r="G96" s="22"/>
      <c r="H96" s="64">
        <f>(VLOOKUP(C94,$Y$1:$Z$4,2,false))*H94</f>
        <v>1050000</v>
      </c>
      <c r="I96" s="59"/>
      <c r="J96" s="60" t="s">
        <v>39</v>
      </c>
      <c r="K96" s="61">
        <f>H98</f>
        <v>0</v>
      </c>
    </row>
    <row r="97">
      <c r="A97" s="56"/>
      <c r="B97" s="57" t="s">
        <v>2</v>
      </c>
      <c r="C97" s="58">
        <v>3.0</v>
      </c>
      <c r="D97" s="58"/>
      <c r="E97" s="62" t="s">
        <v>14</v>
      </c>
      <c r="F97" s="22"/>
      <c r="G97" s="22"/>
      <c r="H97" s="29">
        <f>VLOOKUP(C96,$W$1:$X$4,2,false)</f>
        <v>500000</v>
      </c>
      <c r="I97" s="59"/>
      <c r="J97" s="60" t="s">
        <v>40</v>
      </c>
      <c r="K97" s="61">
        <f>H97</f>
        <v>500000</v>
      </c>
    </row>
    <row r="98">
      <c r="A98" s="56"/>
      <c r="B98" s="57" t="s">
        <v>54</v>
      </c>
      <c r="C98" s="58" t="s">
        <v>65</v>
      </c>
      <c r="D98" s="58"/>
      <c r="E98" s="62" t="s">
        <v>15</v>
      </c>
      <c r="F98" s="22"/>
      <c r="G98" s="22"/>
      <c r="H98" s="29">
        <f>(IF(C99&gt;4,4*2.5%*H94,C99*2.5%*H94))</f>
        <v>0</v>
      </c>
      <c r="I98" s="59"/>
      <c r="J98" s="60" t="s">
        <v>41</v>
      </c>
      <c r="K98" s="61">
        <f>H99</f>
        <v>0</v>
      </c>
    </row>
    <row r="99">
      <c r="A99" s="56"/>
      <c r="B99" s="57" t="s">
        <v>56</v>
      </c>
      <c r="C99" s="58">
        <v>0.0</v>
      </c>
      <c r="D99" s="58"/>
      <c r="E99" s="62" t="s">
        <v>16</v>
      </c>
      <c r="F99" s="22"/>
      <c r="G99" s="22"/>
      <c r="H99" s="29">
        <f>IF(OR(C95="Jakarta",C95="Bandung"),250000,0)</f>
        <v>0</v>
      </c>
      <c r="I99" s="59"/>
      <c r="J99" s="60" t="s">
        <v>17</v>
      </c>
      <c r="K99" s="65">
        <f>SUM(K93:K98)</f>
        <v>8550000</v>
      </c>
    </row>
    <row r="100">
      <c r="A100" s="66"/>
      <c r="E100" s="67" t="s">
        <v>17</v>
      </c>
      <c r="H100" s="68">
        <f>SUM(H94:H99)</f>
        <v>8550000</v>
      </c>
      <c r="I100" s="59"/>
      <c r="J100" s="60" t="s">
        <v>42</v>
      </c>
      <c r="K100" s="63">
        <f>H113</f>
        <v>277500</v>
      </c>
    </row>
    <row r="101">
      <c r="A101" s="66"/>
      <c r="E101" s="22"/>
      <c r="F101" s="22"/>
      <c r="G101" s="22"/>
      <c r="H101" s="64"/>
      <c r="I101" s="59"/>
      <c r="J101" s="60" t="s">
        <v>43</v>
      </c>
      <c r="K101" s="65">
        <f t="shared" ref="K101:K102" si="4">G116</f>
        <v>299250</v>
      </c>
    </row>
    <row r="102">
      <c r="A102" s="66"/>
      <c r="E102" s="67" t="s">
        <v>18</v>
      </c>
      <c r="H102" s="31">
        <f>H100*12</f>
        <v>102600000</v>
      </c>
      <c r="I102" s="59"/>
      <c r="J102" s="60" t="s">
        <v>44</v>
      </c>
      <c r="K102" s="65">
        <f t="shared" si="4"/>
        <v>128250</v>
      </c>
    </row>
    <row r="103">
      <c r="A103" s="66"/>
      <c r="E103" s="22"/>
      <c r="F103" s="22"/>
      <c r="G103" s="22"/>
      <c r="H103" s="64"/>
      <c r="I103" s="59"/>
      <c r="J103" s="69" t="s">
        <v>45</v>
      </c>
      <c r="K103" s="70">
        <f>K99-K100-K101-K102</f>
        <v>7845000</v>
      </c>
    </row>
    <row r="104">
      <c r="A104" s="66"/>
      <c r="E104" s="62" t="s">
        <v>19</v>
      </c>
      <c r="G104" s="29">
        <f>IF(H100&gt;4000000,36000000,0)</f>
        <v>36000000</v>
      </c>
      <c r="H104" s="64"/>
      <c r="K104" s="71"/>
    </row>
    <row r="105">
      <c r="A105" s="66"/>
      <c r="E105" s="62" t="s">
        <v>20</v>
      </c>
      <c r="G105" s="29">
        <f>IF(H102&gt;4000000,IF(C98="Kawin",3000000,0),0)</f>
        <v>0</v>
      </c>
      <c r="H105" s="64"/>
      <c r="K105" s="71"/>
    </row>
    <row r="106">
      <c r="A106" s="66"/>
      <c r="E106" s="62" t="s">
        <v>21</v>
      </c>
      <c r="G106" s="29">
        <f>IF(H100&gt;4000000,(IF(C99&gt;3,3*3000000,C99*3000000)),0)</f>
        <v>0</v>
      </c>
      <c r="H106" s="64"/>
      <c r="K106" s="71"/>
    </row>
    <row r="107">
      <c r="A107" s="66"/>
      <c r="E107" s="67" t="s">
        <v>22</v>
      </c>
      <c r="G107" s="68">
        <f>SUM(G104:G106)</f>
        <v>36000000</v>
      </c>
      <c r="H107" s="64"/>
      <c r="K107" s="71"/>
    </row>
    <row r="108">
      <c r="A108" s="66"/>
      <c r="E108" s="22"/>
      <c r="F108" s="22"/>
      <c r="G108" s="22"/>
      <c r="H108" s="64"/>
      <c r="K108" s="71"/>
    </row>
    <row r="109">
      <c r="A109" s="66"/>
      <c r="E109" s="67" t="s">
        <v>23</v>
      </c>
      <c r="H109" s="68">
        <f>H102-G107</f>
        <v>66600000</v>
      </c>
      <c r="K109" s="71"/>
    </row>
    <row r="110">
      <c r="A110" s="66"/>
      <c r="E110" s="22"/>
      <c r="F110" s="22"/>
      <c r="G110" s="22"/>
      <c r="H110" s="64"/>
      <c r="K110" s="71"/>
    </row>
    <row r="111">
      <c r="A111" s="66"/>
      <c r="E111" s="67" t="s">
        <v>24</v>
      </c>
      <c r="H111" s="31">
        <f>H109*5%</f>
        <v>3330000</v>
      </c>
      <c r="K111" s="71"/>
    </row>
    <row r="112">
      <c r="A112" s="66"/>
      <c r="E112" s="22"/>
      <c r="F112" s="22"/>
      <c r="G112" s="22"/>
      <c r="H112" s="64"/>
      <c r="K112" s="71"/>
    </row>
    <row r="113">
      <c r="A113" s="66"/>
      <c r="E113" s="67" t="s">
        <v>57</v>
      </c>
      <c r="H113" s="31">
        <f>H111/12</f>
        <v>277500</v>
      </c>
      <c r="K113" s="71"/>
    </row>
    <row r="114">
      <c r="A114" s="66"/>
      <c r="E114" s="22"/>
      <c r="F114" s="22"/>
      <c r="G114" s="22"/>
      <c r="H114" s="22"/>
      <c r="K114" s="71"/>
    </row>
    <row r="115">
      <c r="A115" s="66"/>
      <c r="E115" s="22"/>
      <c r="F115" s="22"/>
      <c r="G115" s="22"/>
      <c r="H115" s="22"/>
      <c r="K115" s="71"/>
    </row>
    <row r="116">
      <c r="A116" s="66"/>
      <c r="E116" s="62" t="s">
        <v>58</v>
      </c>
      <c r="F116" s="22"/>
      <c r="G116" s="31">
        <f>3.5%*H100</f>
        <v>299250</v>
      </c>
      <c r="H116" s="22"/>
      <c r="K116" s="71"/>
    </row>
    <row r="117">
      <c r="A117" s="66"/>
      <c r="E117" s="62" t="s">
        <v>59</v>
      </c>
      <c r="F117" s="22"/>
      <c r="G117" s="31">
        <f>1.5%*H100</f>
        <v>128250</v>
      </c>
      <c r="H117" s="22"/>
      <c r="K117" s="71"/>
    </row>
    <row r="118">
      <c r="A118" s="72"/>
      <c r="B118" s="73"/>
      <c r="C118" s="73"/>
      <c r="D118" s="73"/>
      <c r="E118" s="74" t="s">
        <v>60</v>
      </c>
      <c r="F118" s="75"/>
      <c r="G118" s="75"/>
      <c r="H118" s="76">
        <f>H100-H113-G116-G117</f>
        <v>7845000</v>
      </c>
      <c r="I118" s="73"/>
      <c r="J118" s="73"/>
      <c r="K118" s="77"/>
    </row>
    <row r="121">
      <c r="A121" s="50">
        <v>5.0</v>
      </c>
      <c r="B121" s="51" t="s">
        <v>46</v>
      </c>
      <c r="C121" s="52"/>
      <c r="D121" s="52"/>
      <c r="E121" s="53" t="s">
        <v>47</v>
      </c>
      <c r="F121" s="52"/>
      <c r="G121" s="52"/>
      <c r="H121" s="52"/>
      <c r="I121" s="54" t="s">
        <v>48</v>
      </c>
      <c r="J121" s="52"/>
      <c r="K121" s="55"/>
    </row>
    <row r="122">
      <c r="A122" s="56"/>
      <c r="B122" s="57" t="s">
        <v>49</v>
      </c>
      <c r="C122" s="58" t="s">
        <v>66</v>
      </c>
      <c r="D122" s="58"/>
      <c r="E122" s="22"/>
      <c r="F122" s="22"/>
      <c r="G122" s="22"/>
      <c r="H122" s="22"/>
      <c r="I122" s="59"/>
      <c r="J122" s="60" t="s">
        <v>11</v>
      </c>
      <c r="K122" s="61">
        <f>H123</f>
        <v>3440000</v>
      </c>
    </row>
    <row r="123">
      <c r="A123" s="56"/>
      <c r="B123" s="57" t="s">
        <v>51</v>
      </c>
      <c r="C123" s="58" t="s">
        <v>8</v>
      </c>
      <c r="D123" s="58"/>
      <c r="E123" s="62" t="s">
        <v>11</v>
      </c>
      <c r="F123" s="22"/>
      <c r="G123" s="22"/>
      <c r="H123" s="29">
        <v>3440000.0</v>
      </c>
      <c r="I123" s="59"/>
      <c r="J123" s="60" t="s">
        <v>37</v>
      </c>
      <c r="K123" s="63">
        <f>H125</f>
        <v>344000</v>
      </c>
    </row>
    <row r="124">
      <c r="A124" s="56"/>
      <c r="B124" s="57" t="s">
        <v>52</v>
      </c>
      <c r="C124" s="58" t="s">
        <v>33</v>
      </c>
      <c r="D124" s="58"/>
      <c r="E124" s="62" t="s">
        <v>12</v>
      </c>
      <c r="F124" s="22"/>
      <c r="G124" s="22"/>
      <c r="H124" s="64">
        <f>IF(C127="Kawin",5%*H123,0)</f>
        <v>172000</v>
      </c>
      <c r="I124" s="59"/>
      <c r="J124" s="60" t="s">
        <v>38</v>
      </c>
      <c r="K124" s="63">
        <f>H124</f>
        <v>172000</v>
      </c>
    </row>
    <row r="125">
      <c r="A125" s="56"/>
      <c r="B125" s="57" t="s">
        <v>53</v>
      </c>
      <c r="C125" s="58" t="s">
        <v>9</v>
      </c>
      <c r="D125" s="58"/>
      <c r="E125" s="62" t="s">
        <v>13</v>
      </c>
      <c r="F125" s="22"/>
      <c r="G125" s="22"/>
      <c r="H125" s="64">
        <f>(VLOOKUP(C123,$Y$1:$Z$4,2,false))*H123</f>
        <v>344000</v>
      </c>
      <c r="I125" s="59"/>
      <c r="J125" s="60" t="s">
        <v>39</v>
      </c>
      <c r="K125" s="61">
        <f>H127</f>
        <v>258000</v>
      </c>
    </row>
    <row r="126">
      <c r="A126" s="56"/>
      <c r="B126" s="57" t="s">
        <v>2</v>
      </c>
      <c r="C126" s="58">
        <v>2.0</v>
      </c>
      <c r="D126" s="58"/>
      <c r="E126" s="62" t="s">
        <v>14</v>
      </c>
      <c r="F126" s="22"/>
      <c r="G126" s="22"/>
      <c r="H126" s="29">
        <f>VLOOKUP(C125,$W$1:$X$4,2,false)</f>
        <v>0</v>
      </c>
      <c r="I126" s="59"/>
      <c r="J126" s="60" t="s">
        <v>40</v>
      </c>
      <c r="K126" s="61">
        <f>H126</f>
        <v>0</v>
      </c>
    </row>
    <row r="127">
      <c r="A127" s="56"/>
      <c r="B127" s="57" t="s">
        <v>54</v>
      </c>
      <c r="C127" s="58" t="s">
        <v>55</v>
      </c>
      <c r="D127" s="58"/>
      <c r="E127" s="62" t="s">
        <v>15</v>
      </c>
      <c r="F127" s="22"/>
      <c r="G127" s="22"/>
      <c r="H127" s="29">
        <f>(IF(C128&gt;4,4*2.5%*H123,C128*2.5%*H123))</f>
        <v>258000</v>
      </c>
      <c r="I127" s="59"/>
      <c r="J127" s="60" t="s">
        <v>41</v>
      </c>
      <c r="K127" s="61">
        <f>H128</f>
        <v>0</v>
      </c>
    </row>
    <row r="128">
      <c r="A128" s="56"/>
      <c r="B128" s="57" t="s">
        <v>56</v>
      </c>
      <c r="C128" s="58">
        <v>3.0</v>
      </c>
      <c r="D128" s="58"/>
      <c r="E128" s="62" t="s">
        <v>16</v>
      </c>
      <c r="F128" s="22"/>
      <c r="G128" s="22"/>
      <c r="H128" s="29">
        <f>IF(OR(C124="Jakarta",C124="Bandung"),250000,0)</f>
        <v>0</v>
      </c>
      <c r="I128" s="59"/>
      <c r="J128" s="60" t="s">
        <v>17</v>
      </c>
      <c r="K128" s="65">
        <f>SUM(K122:K127)</f>
        <v>4214000</v>
      </c>
    </row>
    <row r="129">
      <c r="A129" s="66"/>
      <c r="E129" s="67" t="s">
        <v>17</v>
      </c>
      <c r="H129" s="68">
        <f>SUM(H123:H128)</f>
        <v>4214000</v>
      </c>
      <c r="I129" s="59"/>
      <c r="J129" s="60" t="s">
        <v>42</v>
      </c>
      <c r="K129" s="63">
        <f>H142</f>
        <v>10700</v>
      </c>
    </row>
    <row r="130">
      <c r="A130" s="66"/>
      <c r="E130" s="22"/>
      <c r="F130" s="22"/>
      <c r="G130" s="22"/>
      <c r="H130" s="64"/>
      <c r="I130" s="59"/>
      <c r="J130" s="60" t="s">
        <v>43</v>
      </c>
      <c r="K130" s="65">
        <f t="shared" ref="K130:K131" si="5">G145</f>
        <v>147490</v>
      </c>
    </row>
    <row r="131">
      <c r="A131" s="66"/>
      <c r="E131" s="67" t="s">
        <v>18</v>
      </c>
      <c r="H131" s="31">
        <f>H129*12</f>
        <v>50568000</v>
      </c>
      <c r="I131" s="59"/>
      <c r="J131" s="60" t="s">
        <v>44</v>
      </c>
      <c r="K131" s="65">
        <f t="shared" si="5"/>
        <v>63210</v>
      </c>
    </row>
    <row r="132">
      <c r="A132" s="66"/>
      <c r="E132" s="22"/>
      <c r="F132" s="22"/>
      <c r="G132" s="22"/>
      <c r="H132" s="64"/>
      <c r="I132" s="59"/>
      <c r="J132" s="69" t="s">
        <v>45</v>
      </c>
      <c r="K132" s="70">
        <f>K128-K129-K130-K131</f>
        <v>3992600</v>
      </c>
    </row>
    <row r="133">
      <c r="A133" s="66"/>
      <c r="E133" s="62" t="s">
        <v>19</v>
      </c>
      <c r="G133" s="29">
        <f>IF(H129&gt;4000000,36000000,0)</f>
        <v>36000000</v>
      </c>
      <c r="H133" s="64"/>
      <c r="K133" s="71"/>
    </row>
    <row r="134">
      <c r="A134" s="66"/>
      <c r="E134" s="62" t="s">
        <v>20</v>
      </c>
      <c r="G134" s="29">
        <f>IF(H131&gt;4000000,IF(C127="Kawin",3000000,0),0)</f>
        <v>3000000</v>
      </c>
      <c r="H134" s="64"/>
      <c r="K134" s="71"/>
    </row>
    <row r="135">
      <c r="A135" s="66"/>
      <c r="E135" s="62" t="s">
        <v>21</v>
      </c>
      <c r="G135" s="29">
        <f>IF(H129&gt;4000000,(IF(C128&gt;3,3*3000000,C128*3000000)),0)</f>
        <v>9000000</v>
      </c>
      <c r="H135" s="64"/>
      <c r="K135" s="71"/>
    </row>
    <row r="136">
      <c r="A136" s="66"/>
      <c r="E136" s="67" t="s">
        <v>22</v>
      </c>
      <c r="G136" s="68">
        <f>SUM(G133:G135)</f>
        <v>48000000</v>
      </c>
      <c r="H136" s="64"/>
      <c r="K136" s="71"/>
    </row>
    <row r="137">
      <c r="A137" s="66"/>
      <c r="E137" s="22"/>
      <c r="F137" s="22"/>
      <c r="G137" s="22"/>
      <c r="H137" s="64"/>
      <c r="K137" s="71"/>
    </row>
    <row r="138">
      <c r="A138" s="66"/>
      <c r="E138" s="67" t="s">
        <v>23</v>
      </c>
      <c r="H138" s="68">
        <f>H131-G136</f>
        <v>2568000</v>
      </c>
      <c r="K138" s="71"/>
    </row>
    <row r="139">
      <c r="A139" s="66"/>
      <c r="E139" s="22"/>
      <c r="F139" s="22"/>
      <c r="G139" s="22"/>
      <c r="H139" s="64"/>
      <c r="K139" s="71"/>
    </row>
    <row r="140">
      <c r="A140" s="66"/>
      <c r="E140" s="67" t="s">
        <v>24</v>
      </c>
      <c r="H140" s="31">
        <f>H138*5%</f>
        <v>128400</v>
      </c>
      <c r="K140" s="71"/>
    </row>
    <row r="141">
      <c r="A141" s="66"/>
      <c r="E141" s="22"/>
      <c r="F141" s="22"/>
      <c r="G141" s="22"/>
      <c r="H141" s="64"/>
      <c r="K141" s="71"/>
    </row>
    <row r="142">
      <c r="A142" s="66"/>
      <c r="E142" s="67" t="s">
        <v>57</v>
      </c>
      <c r="H142" s="31">
        <f>H140/12</f>
        <v>10700</v>
      </c>
      <c r="K142" s="71"/>
    </row>
    <row r="143">
      <c r="A143" s="66"/>
      <c r="E143" s="22"/>
      <c r="F143" s="22"/>
      <c r="G143" s="22"/>
      <c r="H143" s="22"/>
      <c r="K143" s="71"/>
    </row>
    <row r="144">
      <c r="A144" s="66"/>
      <c r="E144" s="22"/>
      <c r="F144" s="22"/>
      <c r="G144" s="22"/>
      <c r="H144" s="22"/>
      <c r="K144" s="71"/>
    </row>
    <row r="145">
      <c r="A145" s="66"/>
      <c r="E145" s="62" t="s">
        <v>58</v>
      </c>
      <c r="F145" s="22"/>
      <c r="G145" s="31">
        <f>3.5%*H129</f>
        <v>147490</v>
      </c>
      <c r="H145" s="22"/>
      <c r="K145" s="71"/>
    </row>
    <row r="146">
      <c r="A146" s="66"/>
      <c r="E146" s="62" t="s">
        <v>59</v>
      </c>
      <c r="F146" s="22"/>
      <c r="G146" s="31">
        <f>1.5%*H129</f>
        <v>63210</v>
      </c>
      <c r="H146" s="22"/>
      <c r="K146" s="71"/>
    </row>
    <row r="147">
      <c r="A147" s="72"/>
      <c r="B147" s="73"/>
      <c r="C147" s="73"/>
      <c r="D147" s="73"/>
      <c r="E147" s="74" t="s">
        <v>60</v>
      </c>
      <c r="F147" s="75"/>
      <c r="G147" s="75"/>
      <c r="H147" s="76">
        <f>H129-H142-G145-G146</f>
        <v>3992600</v>
      </c>
      <c r="I147" s="73"/>
      <c r="J147" s="73"/>
      <c r="K147" s="77"/>
    </row>
    <row r="150">
      <c r="A150" s="50">
        <v>6.0</v>
      </c>
      <c r="B150" s="51" t="s">
        <v>46</v>
      </c>
      <c r="C150" s="52"/>
      <c r="D150" s="52"/>
      <c r="E150" s="53" t="s">
        <v>47</v>
      </c>
      <c r="F150" s="52"/>
      <c r="G150" s="52"/>
      <c r="H150" s="52"/>
      <c r="I150" s="54" t="s">
        <v>48</v>
      </c>
      <c r="J150" s="52"/>
      <c r="K150" s="55"/>
    </row>
    <row r="151">
      <c r="A151" s="56"/>
      <c r="B151" s="57" t="s">
        <v>49</v>
      </c>
      <c r="C151" s="58" t="s">
        <v>67</v>
      </c>
      <c r="D151" s="58"/>
      <c r="E151" s="22"/>
      <c r="F151" s="22"/>
      <c r="G151" s="22"/>
      <c r="H151" s="22"/>
      <c r="I151" s="59"/>
      <c r="J151" s="60" t="s">
        <v>11</v>
      </c>
      <c r="K151" s="61">
        <f>H152</f>
        <v>6720000</v>
      </c>
    </row>
    <row r="152">
      <c r="A152" s="56"/>
      <c r="B152" s="57" t="s">
        <v>51</v>
      </c>
      <c r="C152" s="58" t="s">
        <v>1</v>
      </c>
      <c r="D152" s="58"/>
      <c r="E152" s="62" t="s">
        <v>11</v>
      </c>
      <c r="F152" s="22"/>
      <c r="G152" s="22"/>
      <c r="H152" s="29">
        <v>6720000.0</v>
      </c>
      <c r="I152" s="59"/>
      <c r="J152" s="60" t="s">
        <v>37</v>
      </c>
      <c r="K152" s="63">
        <f>H154</f>
        <v>672000</v>
      </c>
    </row>
    <row r="153">
      <c r="A153" s="56"/>
      <c r="B153" s="57" t="s">
        <v>52</v>
      </c>
      <c r="C153" s="58" t="s">
        <v>32</v>
      </c>
      <c r="D153" s="58"/>
      <c r="E153" s="62" t="s">
        <v>12</v>
      </c>
      <c r="F153" s="22"/>
      <c r="G153" s="22"/>
      <c r="H153" s="64">
        <f>IF(C156="Kawin",5%*H152,0)</f>
        <v>336000</v>
      </c>
      <c r="I153" s="59"/>
      <c r="J153" s="60" t="s">
        <v>38</v>
      </c>
      <c r="K153" s="63">
        <f>H153</f>
        <v>336000</v>
      </c>
    </row>
    <row r="154">
      <c r="A154" s="56"/>
      <c r="B154" s="57" t="s">
        <v>53</v>
      </c>
      <c r="C154" s="58" t="s">
        <v>3</v>
      </c>
      <c r="D154" s="58"/>
      <c r="E154" s="62" t="s">
        <v>13</v>
      </c>
      <c r="F154" s="22"/>
      <c r="G154" s="22"/>
      <c r="H154" s="64">
        <f>(VLOOKUP(C152,$Y$1:$Z$4,2,false))*H152</f>
        <v>672000</v>
      </c>
      <c r="I154" s="59"/>
      <c r="J154" s="60" t="s">
        <v>39</v>
      </c>
      <c r="K154" s="61">
        <f>H156</f>
        <v>168000</v>
      </c>
    </row>
    <row r="155">
      <c r="A155" s="56"/>
      <c r="B155" s="57" t="s">
        <v>2</v>
      </c>
      <c r="C155" s="58">
        <v>3.0</v>
      </c>
      <c r="D155" s="58"/>
      <c r="E155" s="62" t="s">
        <v>14</v>
      </c>
      <c r="F155" s="22"/>
      <c r="G155" s="22"/>
      <c r="H155" s="29">
        <f>VLOOKUP(C154,$W$1:$X$4,2,false)</f>
        <v>250000</v>
      </c>
      <c r="I155" s="59"/>
      <c r="J155" s="60" t="s">
        <v>40</v>
      </c>
      <c r="K155" s="61">
        <f>H155</f>
        <v>250000</v>
      </c>
    </row>
    <row r="156">
      <c r="A156" s="56"/>
      <c r="B156" s="57" t="s">
        <v>54</v>
      </c>
      <c r="C156" s="58" t="s">
        <v>55</v>
      </c>
      <c r="D156" s="58"/>
      <c r="E156" s="62" t="s">
        <v>15</v>
      </c>
      <c r="F156" s="22"/>
      <c r="G156" s="22"/>
      <c r="H156" s="29">
        <f>(IF(C157&gt;4,4*2.5%*H152,C157*2.5%*H152))</f>
        <v>168000</v>
      </c>
      <c r="I156" s="59"/>
      <c r="J156" s="60" t="s">
        <v>41</v>
      </c>
      <c r="K156" s="61">
        <f>H157</f>
        <v>0</v>
      </c>
    </row>
    <row r="157">
      <c r="A157" s="56"/>
      <c r="B157" s="57" t="s">
        <v>56</v>
      </c>
      <c r="C157" s="58">
        <v>1.0</v>
      </c>
      <c r="D157" s="58"/>
      <c r="E157" s="62" t="s">
        <v>16</v>
      </c>
      <c r="F157" s="22"/>
      <c r="G157" s="22"/>
      <c r="H157" s="29">
        <f>IF(OR(C153="Jakarta",C153="Bandung"),250000,0)</f>
        <v>0</v>
      </c>
      <c r="I157" s="59"/>
      <c r="J157" s="60" t="s">
        <v>17</v>
      </c>
      <c r="K157" s="65">
        <f>SUM(K151:K156)</f>
        <v>8146000</v>
      </c>
    </row>
    <row r="158">
      <c r="A158" s="66"/>
      <c r="E158" s="67" t="s">
        <v>17</v>
      </c>
      <c r="H158" s="68">
        <f>SUM(H152:H157)</f>
        <v>8146000</v>
      </c>
      <c r="I158" s="59"/>
      <c r="J158" s="60" t="s">
        <v>42</v>
      </c>
      <c r="K158" s="63">
        <f>H171</f>
        <v>232300</v>
      </c>
    </row>
    <row r="159">
      <c r="A159" s="66"/>
      <c r="E159" s="22"/>
      <c r="F159" s="22"/>
      <c r="G159" s="22"/>
      <c r="H159" s="64"/>
      <c r="I159" s="59"/>
      <c r="J159" s="60" t="s">
        <v>43</v>
      </c>
      <c r="K159" s="65">
        <f t="shared" ref="K159:K160" si="6">G174</f>
        <v>285110</v>
      </c>
    </row>
    <row r="160">
      <c r="A160" s="66"/>
      <c r="E160" s="67" t="s">
        <v>18</v>
      </c>
      <c r="H160" s="31">
        <f>H158*12</f>
        <v>97752000</v>
      </c>
      <c r="I160" s="59"/>
      <c r="J160" s="60" t="s">
        <v>44</v>
      </c>
      <c r="K160" s="65">
        <f t="shared" si="6"/>
        <v>122190</v>
      </c>
    </row>
    <row r="161">
      <c r="A161" s="66"/>
      <c r="E161" s="22"/>
      <c r="F161" s="22"/>
      <c r="G161" s="22"/>
      <c r="H161" s="64"/>
      <c r="I161" s="59"/>
      <c r="J161" s="69" t="s">
        <v>45</v>
      </c>
      <c r="K161" s="70">
        <f>K157-K158-K159-K160</f>
        <v>7506400</v>
      </c>
    </row>
    <row r="162">
      <c r="A162" s="66"/>
      <c r="E162" s="62" t="s">
        <v>19</v>
      </c>
      <c r="G162" s="29">
        <f>IF(H158&gt;4000000,36000000,0)</f>
        <v>36000000</v>
      </c>
      <c r="H162" s="64"/>
      <c r="K162" s="71"/>
    </row>
    <row r="163">
      <c r="A163" s="66"/>
      <c r="E163" s="62" t="s">
        <v>20</v>
      </c>
      <c r="G163" s="29">
        <f>IF(H160&gt;4000000,IF(C156="Kawin",3000000,0),0)</f>
        <v>3000000</v>
      </c>
      <c r="H163" s="64"/>
      <c r="K163" s="71"/>
    </row>
    <row r="164">
      <c r="A164" s="66"/>
      <c r="E164" s="62" t="s">
        <v>21</v>
      </c>
      <c r="G164" s="29">
        <f>IF(H158&gt;4000000,(IF(C157&gt;3,3*3000000,C157*3000000)),0)</f>
        <v>3000000</v>
      </c>
      <c r="H164" s="64"/>
      <c r="K164" s="71"/>
    </row>
    <row r="165">
      <c r="A165" s="66"/>
      <c r="E165" s="67" t="s">
        <v>22</v>
      </c>
      <c r="G165" s="68">
        <f>SUM(G162:G164)</f>
        <v>42000000</v>
      </c>
      <c r="H165" s="64"/>
      <c r="K165" s="71"/>
    </row>
    <row r="166">
      <c r="A166" s="66"/>
      <c r="E166" s="22"/>
      <c r="F166" s="22"/>
      <c r="G166" s="22"/>
      <c r="H166" s="64"/>
      <c r="K166" s="71"/>
    </row>
    <row r="167">
      <c r="A167" s="66"/>
      <c r="E167" s="67" t="s">
        <v>23</v>
      </c>
      <c r="H167" s="68">
        <f>H160-G165</f>
        <v>55752000</v>
      </c>
      <c r="K167" s="71"/>
    </row>
    <row r="168">
      <c r="A168" s="66"/>
      <c r="E168" s="22"/>
      <c r="F168" s="22"/>
      <c r="G168" s="22"/>
      <c r="H168" s="64"/>
      <c r="K168" s="71"/>
    </row>
    <row r="169">
      <c r="A169" s="66"/>
      <c r="E169" s="67" t="s">
        <v>24</v>
      </c>
      <c r="H169" s="31">
        <f>H167*5%</f>
        <v>2787600</v>
      </c>
      <c r="K169" s="71"/>
    </row>
    <row r="170">
      <c r="A170" s="66"/>
      <c r="E170" s="22"/>
      <c r="F170" s="22"/>
      <c r="G170" s="22"/>
      <c r="H170" s="64"/>
      <c r="K170" s="71"/>
    </row>
    <row r="171">
      <c r="A171" s="66"/>
      <c r="E171" s="67" t="s">
        <v>57</v>
      </c>
      <c r="H171" s="31">
        <f>H169/12</f>
        <v>232300</v>
      </c>
      <c r="K171" s="71"/>
    </row>
    <row r="172">
      <c r="A172" s="66"/>
      <c r="E172" s="22"/>
      <c r="F172" s="22"/>
      <c r="G172" s="22"/>
      <c r="H172" s="22"/>
      <c r="K172" s="71"/>
    </row>
    <row r="173">
      <c r="A173" s="66"/>
      <c r="E173" s="22"/>
      <c r="F173" s="22"/>
      <c r="G173" s="22"/>
      <c r="H173" s="22"/>
      <c r="K173" s="71"/>
    </row>
    <row r="174">
      <c r="A174" s="66"/>
      <c r="E174" s="62" t="s">
        <v>58</v>
      </c>
      <c r="F174" s="22"/>
      <c r="G174" s="31">
        <f>3.5%*H158</f>
        <v>285110</v>
      </c>
      <c r="H174" s="22"/>
      <c r="K174" s="71"/>
    </row>
    <row r="175">
      <c r="A175" s="66"/>
      <c r="E175" s="62" t="s">
        <v>59</v>
      </c>
      <c r="F175" s="22"/>
      <c r="G175" s="31">
        <f>1.5%*H158</f>
        <v>122190</v>
      </c>
      <c r="H175" s="22"/>
      <c r="K175" s="71"/>
    </row>
    <row r="176">
      <c r="A176" s="72"/>
      <c r="B176" s="73"/>
      <c r="C176" s="73"/>
      <c r="D176" s="73"/>
      <c r="E176" s="74" t="s">
        <v>60</v>
      </c>
      <c r="F176" s="75"/>
      <c r="G176" s="75"/>
      <c r="H176" s="76">
        <f>H158-H171-G174-G175</f>
        <v>7506400</v>
      </c>
      <c r="I176" s="73"/>
      <c r="J176" s="73"/>
      <c r="K176" s="77"/>
    </row>
    <row r="179">
      <c r="A179" s="50">
        <v>7.0</v>
      </c>
      <c r="B179" s="51" t="s">
        <v>46</v>
      </c>
      <c r="C179" s="52"/>
      <c r="D179" s="52"/>
      <c r="E179" s="53" t="s">
        <v>47</v>
      </c>
      <c r="F179" s="52"/>
      <c r="G179" s="52"/>
      <c r="H179" s="52"/>
      <c r="I179" s="54" t="s">
        <v>48</v>
      </c>
      <c r="J179" s="52"/>
      <c r="K179" s="55"/>
    </row>
    <row r="180">
      <c r="A180" s="56"/>
      <c r="B180" s="57" t="s">
        <v>49</v>
      </c>
      <c r="C180" s="58" t="s">
        <v>68</v>
      </c>
      <c r="D180" s="58"/>
      <c r="E180" s="22"/>
      <c r="F180" s="22"/>
      <c r="G180" s="22"/>
      <c r="H180" s="22"/>
      <c r="I180" s="59"/>
      <c r="J180" s="60" t="s">
        <v>11</v>
      </c>
      <c r="K180" s="61">
        <f>H181</f>
        <v>2400000</v>
      </c>
    </row>
    <row r="181">
      <c r="A181" s="56"/>
      <c r="B181" s="57" t="s">
        <v>51</v>
      </c>
      <c r="C181" s="58" t="s">
        <v>1</v>
      </c>
      <c r="D181" s="58"/>
      <c r="E181" s="62" t="s">
        <v>11</v>
      </c>
      <c r="F181" s="22"/>
      <c r="G181" s="22"/>
      <c r="H181" s="29">
        <v>2400000.0</v>
      </c>
      <c r="I181" s="59"/>
      <c r="J181" s="60" t="s">
        <v>37</v>
      </c>
      <c r="K181" s="63">
        <f>H183</f>
        <v>240000</v>
      </c>
    </row>
    <row r="182">
      <c r="A182" s="56"/>
      <c r="B182" s="57" t="s">
        <v>52</v>
      </c>
      <c r="C182" s="58" t="s">
        <v>30</v>
      </c>
      <c r="D182" s="58"/>
      <c r="E182" s="62" t="s">
        <v>12</v>
      </c>
      <c r="F182" s="22"/>
      <c r="G182" s="22"/>
      <c r="H182" s="64">
        <f>IF(C185="Kawin",5%*H181,0)</f>
        <v>0</v>
      </c>
      <c r="I182" s="59"/>
      <c r="J182" s="60" t="s">
        <v>38</v>
      </c>
      <c r="K182" s="63">
        <f>H182</f>
        <v>0</v>
      </c>
    </row>
    <row r="183">
      <c r="A183" s="56"/>
      <c r="B183" s="57" t="s">
        <v>53</v>
      </c>
      <c r="C183" s="58" t="s">
        <v>3</v>
      </c>
      <c r="D183" s="58"/>
      <c r="E183" s="62" t="s">
        <v>13</v>
      </c>
      <c r="F183" s="22"/>
      <c r="G183" s="22"/>
      <c r="H183" s="64">
        <f>(VLOOKUP(C181,$Y$1:$Z$4,2,false))*H181</f>
        <v>240000</v>
      </c>
      <c r="I183" s="59"/>
      <c r="J183" s="60" t="s">
        <v>39</v>
      </c>
      <c r="K183" s="61">
        <f>H185</f>
        <v>60000</v>
      </c>
    </row>
    <row r="184">
      <c r="A184" s="56"/>
      <c r="B184" s="57" t="s">
        <v>2</v>
      </c>
      <c r="C184" s="58">
        <v>0.0</v>
      </c>
      <c r="D184" s="58"/>
      <c r="E184" s="62" t="s">
        <v>14</v>
      </c>
      <c r="F184" s="22"/>
      <c r="G184" s="22"/>
      <c r="H184" s="29">
        <f>VLOOKUP(C183,$W$1:$X$4,2,false)</f>
        <v>250000</v>
      </c>
      <c r="I184" s="59"/>
      <c r="J184" s="60" t="s">
        <v>40</v>
      </c>
      <c r="K184" s="61">
        <f>H184</f>
        <v>250000</v>
      </c>
    </row>
    <row r="185">
      <c r="A185" s="56"/>
      <c r="B185" s="57" t="s">
        <v>54</v>
      </c>
      <c r="C185" s="58" t="s">
        <v>63</v>
      </c>
      <c r="D185" s="58"/>
      <c r="E185" s="62" t="s">
        <v>15</v>
      </c>
      <c r="F185" s="22"/>
      <c r="G185" s="22"/>
      <c r="H185" s="29">
        <f>(IF(C186&gt;4,4*2.5%*H181,C186*2.5%*H181))</f>
        <v>60000</v>
      </c>
      <c r="I185" s="59"/>
      <c r="J185" s="60" t="s">
        <v>41</v>
      </c>
      <c r="K185" s="61">
        <f>H186</f>
        <v>0</v>
      </c>
    </row>
    <row r="186">
      <c r="A186" s="56"/>
      <c r="B186" s="57" t="s">
        <v>56</v>
      </c>
      <c r="C186" s="58">
        <v>1.0</v>
      </c>
      <c r="D186" s="58"/>
      <c r="E186" s="62" t="s">
        <v>16</v>
      </c>
      <c r="F186" s="22"/>
      <c r="G186" s="22"/>
      <c r="H186" s="29">
        <f>IF(OR(C182="Jakarta",C182="Bandung"),250000,0)</f>
        <v>0</v>
      </c>
      <c r="I186" s="59"/>
      <c r="J186" s="60" t="s">
        <v>17</v>
      </c>
      <c r="K186" s="65">
        <f>SUM(K180:K185)</f>
        <v>2950000</v>
      </c>
    </row>
    <row r="187">
      <c r="A187" s="66"/>
      <c r="E187" s="67" t="s">
        <v>17</v>
      </c>
      <c r="H187" s="68">
        <f>SUM(H181:H186)</f>
        <v>2950000</v>
      </c>
      <c r="I187" s="59"/>
      <c r="J187" s="60" t="s">
        <v>42</v>
      </c>
      <c r="K187" s="63">
        <f>H200</f>
        <v>0</v>
      </c>
    </row>
    <row r="188">
      <c r="A188" s="66"/>
      <c r="E188" s="22"/>
      <c r="F188" s="22"/>
      <c r="G188" s="22"/>
      <c r="H188" s="64"/>
      <c r="I188" s="59"/>
      <c r="J188" s="60" t="s">
        <v>43</v>
      </c>
      <c r="K188" s="65">
        <f t="shared" ref="K188:K189" si="7">G203</f>
        <v>103250</v>
      </c>
    </row>
    <row r="189">
      <c r="A189" s="66"/>
      <c r="E189" s="67" t="s">
        <v>18</v>
      </c>
      <c r="H189" s="31">
        <f>H187*12</f>
        <v>35400000</v>
      </c>
      <c r="I189" s="59"/>
      <c r="J189" s="60" t="s">
        <v>44</v>
      </c>
      <c r="K189" s="65">
        <f t="shared" si="7"/>
        <v>44250</v>
      </c>
    </row>
    <row r="190">
      <c r="A190" s="66"/>
      <c r="E190" s="22"/>
      <c r="F190" s="22"/>
      <c r="G190" s="22"/>
      <c r="H190" s="64"/>
      <c r="I190" s="59"/>
      <c r="J190" s="69" t="s">
        <v>45</v>
      </c>
      <c r="K190" s="70">
        <f>K186-K187-K188-K189</f>
        <v>2802500</v>
      </c>
    </row>
    <row r="191">
      <c r="A191" s="66"/>
      <c r="E191" s="62" t="s">
        <v>19</v>
      </c>
      <c r="G191" s="29">
        <f>IF(H187&gt;4000000,36000000,0)</f>
        <v>0</v>
      </c>
      <c r="H191" s="64"/>
      <c r="K191" s="71"/>
    </row>
    <row r="192">
      <c r="A192" s="66"/>
      <c r="E192" s="62" t="s">
        <v>20</v>
      </c>
      <c r="G192" s="29">
        <f>IF(H189&gt;4000000,IF(C185="Kawin",3000000,0),0)</f>
        <v>0</v>
      </c>
      <c r="H192" s="64"/>
      <c r="K192" s="71"/>
    </row>
    <row r="193">
      <c r="A193" s="66"/>
      <c r="E193" s="62" t="s">
        <v>21</v>
      </c>
      <c r="G193" s="29">
        <f>IF(H187&gt;4000000,(IF(C186&gt;3,3*3000000,C186*3000000)),0)</f>
        <v>0</v>
      </c>
      <c r="H193" s="64"/>
      <c r="K193" s="71"/>
    </row>
    <row r="194">
      <c r="A194" s="66"/>
      <c r="E194" s="67" t="s">
        <v>22</v>
      </c>
      <c r="G194" s="68">
        <f>SUM(G191:G193)</f>
        <v>0</v>
      </c>
      <c r="H194" s="64"/>
      <c r="K194" s="71"/>
    </row>
    <row r="195">
      <c r="A195" s="66"/>
      <c r="E195" s="22"/>
      <c r="F195" s="22"/>
      <c r="G195" s="22"/>
      <c r="H195" s="64"/>
      <c r="K195" s="71"/>
    </row>
    <row r="196">
      <c r="A196" s="66"/>
      <c r="E196" s="67" t="s">
        <v>23</v>
      </c>
      <c r="H196" s="68">
        <f>H189-G194</f>
        <v>35400000</v>
      </c>
      <c r="K196" s="71"/>
    </row>
    <row r="197">
      <c r="A197" s="66"/>
      <c r="E197" s="22"/>
      <c r="F197" s="22"/>
      <c r="G197" s="22"/>
      <c r="H197" s="64"/>
      <c r="K197" s="71"/>
    </row>
    <row r="198">
      <c r="A198" s="66"/>
      <c r="E198" s="67" t="s">
        <v>24</v>
      </c>
      <c r="H198" s="31">
        <f>H196*5%</f>
        <v>1770000</v>
      </c>
      <c r="K198" s="71"/>
    </row>
    <row r="199">
      <c r="A199" s="66"/>
      <c r="E199" s="22"/>
      <c r="F199" s="22"/>
      <c r="G199" s="22"/>
      <c r="H199" s="64"/>
      <c r="K199" s="71"/>
    </row>
    <row r="200">
      <c r="A200" s="66"/>
      <c r="E200" s="67" t="s">
        <v>57</v>
      </c>
      <c r="H200" s="31">
        <f>if(H187&gt;4000000,H198/12,0)</f>
        <v>0</v>
      </c>
      <c r="K200" s="71"/>
    </row>
    <row r="201">
      <c r="A201" s="66"/>
      <c r="E201" s="22"/>
      <c r="F201" s="22"/>
      <c r="G201" s="22"/>
      <c r="H201" s="22"/>
      <c r="K201" s="71"/>
    </row>
    <row r="202">
      <c r="A202" s="66"/>
      <c r="E202" s="22"/>
      <c r="F202" s="22"/>
      <c r="G202" s="22"/>
      <c r="H202" s="22"/>
      <c r="K202" s="71"/>
    </row>
    <row r="203">
      <c r="A203" s="66"/>
      <c r="E203" s="62" t="s">
        <v>58</v>
      </c>
      <c r="F203" s="22"/>
      <c r="G203" s="31">
        <f>3.5%*H187</f>
        <v>103250</v>
      </c>
      <c r="H203" s="22"/>
      <c r="K203" s="71"/>
    </row>
    <row r="204">
      <c r="A204" s="66"/>
      <c r="E204" s="62" t="s">
        <v>59</v>
      </c>
      <c r="F204" s="22"/>
      <c r="G204" s="31">
        <f>1.5%*H187</f>
        <v>44250</v>
      </c>
      <c r="H204" s="22"/>
      <c r="K204" s="71"/>
    </row>
    <row r="205">
      <c r="A205" s="72"/>
      <c r="B205" s="73"/>
      <c r="C205" s="73"/>
      <c r="D205" s="73"/>
      <c r="E205" s="74" t="s">
        <v>60</v>
      </c>
      <c r="F205" s="75"/>
      <c r="G205" s="75"/>
      <c r="H205" s="76">
        <f>H187-H200-G203-G204</f>
        <v>2802500</v>
      </c>
      <c r="I205" s="73"/>
      <c r="J205" s="73"/>
      <c r="K205" s="77"/>
    </row>
  </sheetData>
  <mergeCells count="84">
    <mergeCell ref="E73:G73"/>
    <mergeCell ref="E75:F75"/>
    <mergeCell ref="E76:F76"/>
    <mergeCell ref="E77:F77"/>
    <mergeCell ref="E78:F78"/>
    <mergeCell ref="E80:G80"/>
    <mergeCell ref="E82:G82"/>
    <mergeCell ref="E100:G100"/>
    <mergeCell ref="E102:G102"/>
    <mergeCell ref="E104:F104"/>
    <mergeCell ref="E105:F105"/>
    <mergeCell ref="E106:F106"/>
    <mergeCell ref="E107:F107"/>
    <mergeCell ref="E109:G109"/>
    <mergeCell ref="E129:G129"/>
    <mergeCell ref="E131:G131"/>
    <mergeCell ref="E133:F133"/>
    <mergeCell ref="E134:F134"/>
    <mergeCell ref="E135:F135"/>
    <mergeCell ref="E136:F136"/>
    <mergeCell ref="E138:G138"/>
    <mergeCell ref="E169:G169"/>
    <mergeCell ref="E171:G171"/>
    <mergeCell ref="B179:D179"/>
    <mergeCell ref="E179:H179"/>
    <mergeCell ref="I179:K179"/>
    <mergeCell ref="E158:G158"/>
    <mergeCell ref="E160:G160"/>
    <mergeCell ref="E162:F162"/>
    <mergeCell ref="E163:F163"/>
    <mergeCell ref="E164:F164"/>
    <mergeCell ref="E165:F165"/>
    <mergeCell ref="E167:G167"/>
    <mergeCell ref="E198:G198"/>
    <mergeCell ref="E200:G200"/>
    <mergeCell ref="E187:G187"/>
    <mergeCell ref="E189:G189"/>
    <mergeCell ref="E191:F191"/>
    <mergeCell ref="E192:F192"/>
    <mergeCell ref="E193:F193"/>
    <mergeCell ref="E194:F194"/>
    <mergeCell ref="E196:G196"/>
    <mergeCell ref="B5:D5"/>
    <mergeCell ref="E5:H5"/>
    <mergeCell ref="I5:K5"/>
    <mergeCell ref="E13:G13"/>
    <mergeCell ref="E15:G15"/>
    <mergeCell ref="E17:F17"/>
    <mergeCell ref="E18:F18"/>
    <mergeCell ref="E19:F19"/>
    <mergeCell ref="E20:F20"/>
    <mergeCell ref="E22:G22"/>
    <mergeCell ref="E24:G24"/>
    <mergeCell ref="E26:G26"/>
    <mergeCell ref="B34:D34"/>
    <mergeCell ref="I34:K34"/>
    <mergeCell ref="E34:H34"/>
    <mergeCell ref="E42:G42"/>
    <mergeCell ref="E44:G44"/>
    <mergeCell ref="E46:F46"/>
    <mergeCell ref="E47:F47"/>
    <mergeCell ref="E48:F48"/>
    <mergeCell ref="E49:F49"/>
    <mergeCell ref="E51:G51"/>
    <mergeCell ref="E53:G53"/>
    <mergeCell ref="E55:G55"/>
    <mergeCell ref="B63:D63"/>
    <mergeCell ref="E63:H63"/>
    <mergeCell ref="I63:K63"/>
    <mergeCell ref="E71:G71"/>
    <mergeCell ref="E84:G84"/>
    <mergeCell ref="B92:D92"/>
    <mergeCell ref="E92:H92"/>
    <mergeCell ref="I92:K92"/>
    <mergeCell ref="E111:G111"/>
    <mergeCell ref="E113:G113"/>
    <mergeCell ref="B121:D121"/>
    <mergeCell ref="E121:H121"/>
    <mergeCell ref="I121:K121"/>
    <mergeCell ref="E140:G140"/>
    <mergeCell ref="E142:G142"/>
    <mergeCell ref="B150:D150"/>
    <mergeCell ref="E150:H150"/>
    <mergeCell ref="I150:K150"/>
  </mergeCells>
  <drawing r:id="rId1"/>
</worksheet>
</file>