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deich\OneDrive\Desktop\"/>
    </mc:Choice>
  </mc:AlternateContent>
  <xr:revisionPtr revIDLastSave="0" documentId="13_ncr:1_{2BBB9817-779E-418E-B05C-F6CBB39BCD57}" xr6:coauthVersionLast="47" xr6:coauthVersionMax="47" xr10:uidLastSave="{00000000-0000-0000-0000-000000000000}"/>
  <bookViews>
    <workbookView xWindow="-120" yWindow="-120" windowWidth="24240" windowHeight="17640" tabRatio="720" xr2:uid="{00000000-000D-0000-FFFF-FFFF00000000}"/>
  </bookViews>
  <sheets>
    <sheet name="GuV" sheetId="1" r:id="rId1"/>
    <sheet name="Umsatz" sheetId="14" r:id="rId2"/>
    <sheet name="Kapitalbedarf" sheetId="8" r:id="rId3"/>
    <sheet name="Personalplanung" sheetId="13" r:id="rId4"/>
    <sheet name="Liquidität" sheetId="3" r:id="rId5"/>
    <sheet name="Investitionen" sheetId="4" r:id="rId6"/>
    <sheet name="Lebenshaltung" sheetId="5" r:id="rId7"/>
    <sheet name="Helper_BP" sheetId="9" r:id="rId8"/>
    <sheet name="GuV_BP" sheetId="10" r:id="rId9"/>
    <sheet name="Liquidität_BP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8" l="1"/>
  <c r="D5" i="8"/>
  <c r="G23" i="12"/>
  <c r="F23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1" i="12"/>
  <c r="F11" i="12"/>
  <c r="G10" i="12"/>
  <c r="F10" i="12"/>
  <c r="G9" i="12"/>
  <c r="F9" i="12"/>
  <c r="G8" i="12"/>
  <c r="F8" i="12"/>
  <c r="G7" i="12"/>
  <c r="F7" i="12"/>
  <c r="E23" i="12"/>
  <c r="E21" i="12"/>
  <c r="E20" i="12"/>
  <c r="E19" i="12"/>
  <c r="E18" i="12"/>
  <c r="E17" i="12"/>
  <c r="E16" i="12"/>
  <c r="E15" i="12"/>
  <c r="E14" i="12"/>
  <c r="E13" i="12"/>
  <c r="E11" i="12"/>
  <c r="E10" i="12"/>
  <c r="E9" i="12"/>
  <c r="E8" i="12"/>
  <c r="E7" i="12"/>
  <c r="D21" i="12"/>
  <c r="D20" i="12"/>
  <c r="D19" i="12"/>
  <c r="D18" i="12"/>
  <c r="D17" i="12"/>
  <c r="D16" i="12"/>
  <c r="D15" i="12"/>
  <c r="D11" i="12"/>
  <c r="D10" i="12"/>
  <c r="D9" i="12"/>
  <c r="D8" i="12"/>
  <c r="D7" i="12"/>
  <c r="D5" i="12"/>
  <c r="Y21" i="3"/>
  <c r="X21" i="3"/>
  <c r="L21" i="3"/>
  <c r="M21" i="3"/>
  <c r="N21" i="3"/>
  <c r="O21" i="3"/>
  <c r="P21" i="3"/>
  <c r="Q21" i="3"/>
  <c r="R21" i="3"/>
  <c r="S21" i="3"/>
  <c r="T21" i="3"/>
  <c r="U21" i="3"/>
  <c r="V21" i="3"/>
  <c r="K21" i="3"/>
  <c r="L13" i="3"/>
  <c r="R13" i="3"/>
  <c r="Y20" i="3"/>
  <c r="X20" i="3"/>
  <c r="Y18" i="3"/>
  <c r="X18" i="3"/>
  <c r="V18" i="3"/>
  <c r="U18" i="3"/>
  <c r="T18" i="3"/>
  <c r="S18" i="3"/>
  <c r="R18" i="3"/>
  <c r="Q18" i="3"/>
  <c r="P18" i="3"/>
  <c r="O18" i="3"/>
  <c r="N18" i="3"/>
  <c r="M18" i="3"/>
  <c r="L18" i="3"/>
  <c r="K18" i="3"/>
  <c r="W18" i="3" s="1"/>
  <c r="I18" i="3"/>
  <c r="H18" i="3"/>
  <c r="G18" i="3"/>
  <c r="F18" i="3"/>
  <c r="J18" i="3" s="1"/>
  <c r="E18" i="3"/>
  <c r="D18" i="3"/>
  <c r="J5" i="3"/>
  <c r="Y16" i="3"/>
  <c r="X16" i="3"/>
  <c r="V16" i="3"/>
  <c r="U16" i="3"/>
  <c r="T16" i="3"/>
  <c r="S16" i="3"/>
  <c r="R16" i="3"/>
  <c r="Q16" i="3"/>
  <c r="P16" i="3"/>
  <c r="O16" i="3"/>
  <c r="N16" i="3"/>
  <c r="M16" i="3"/>
  <c r="L16" i="3"/>
  <c r="K16" i="3"/>
  <c r="W16" i="3" s="1"/>
  <c r="I16" i="3"/>
  <c r="H16" i="3"/>
  <c r="G16" i="3"/>
  <c r="F16" i="3"/>
  <c r="E16" i="3"/>
  <c r="D16" i="3"/>
  <c r="Y9" i="3"/>
  <c r="X9" i="3"/>
  <c r="V9" i="3"/>
  <c r="U9" i="3"/>
  <c r="T9" i="3"/>
  <c r="T7" i="3" s="1"/>
  <c r="S9" i="3"/>
  <c r="R9" i="3"/>
  <c r="Q9" i="3"/>
  <c r="Q7" i="3" s="1"/>
  <c r="P9" i="3"/>
  <c r="O9" i="3"/>
  <c r="N9" i="3"/>
  <c r="N7" i="3" s="1"/>
  <c r="M9" i="3"/>
  <c r="L9" i="3"/>
  <c r="K9" i="3"/>
  <c r="W9" i="3" s="1"/>
  <c r="I9" i="3"/>
  <c r="I7" i="3" s="1"/>
  <c r="H9" i="3"/>
  <c r="G9" i="3"/>
  <c r="G7" i="3" s="1"/>
  <c r="F9" i="3"/>
  <c r="E9" i="3"/>
  <c r="D9" i="3"/>
  <c r="V20" i="3"/>
  <c r="U20" i="3"/>
  <c r="T20" i="3"/>
  <c r="S20" i="3"/>
  <c r="R20" i="3"/>
  <c r="Q20" i="3"/>
  <c r="P20" i="3"/>
  <c r="O20" i="3"/>
  <c r="N20" i="3"/>
  <c r="M20" i="3"/>
  <c r="L20" i="3"/>
  <c r="U40" i="1"/>
  <c r="T40" i="1"/>
  <c r="R40" i="1"/>
  <c r="Q40" i="1"/>
  <c r="O40" i="1"/>
  <c r="N40" i="1"/>
  <c r="L40" i="1"/>
  <c r="K40" i="1"/>
  <c r="H40" i="1"/>
  <c r="H20" i="3" s="1"/>
  <c r="H13" i="3" s="1"/>
  <c r="G40" i="1"/>
  <c r="K20" i="3"/>
  <c r="I20" i="3"/>
  <c r="G20" i="3"/>
  <c r="G13" i="3" s="1"/>
  <c r="F20" i="3"/>
  <c r="Y14" i="3"/>
  <c r="X14" i="3"/>
  <c r="K14" i="3"/>
  <c r="T14" i="3"/>
  <c r="Q14" i="3"/>
  <c r="N14" i="3"/>
  <c r="G14" i="3"/>
  <c r="Y17" i="3"/>
  <c r="X17" i="3"/>
  <c r="V17" i="3"/>
  <c r="U17" i="3"/>
  <c r="T17" i="3"/>
  <c r="S17" i="3"/>
  <c r="R17" i="3"/>
  <c r="Q17" i="3"/>
  <c r="P17" i="3"/>
  <c r="O17" i="3"/>
  <c r="N17" i="3"/>
  <c r="M17" i="3"/>
  <c r="W17" i="3" s="1"/>
  <c r="L17" i="3"/>
  <c r="K17" i="3"/>
  <c r="E17" i="3"/>
  <c r="J17" i="3" s="1"/>
  <c r="F17" i="3"/>
  <c r="G17" i="3"/>
  <c r="H17" i="3"/>
  <c r="I17" i="3"/>
  <c r="D17" i="3"/>
  <c r="E20" i="3"/>
  <c r="D20" i="3"/>
  <c r="W19" i="3"/>
  <c r="W11" i="3"/>
  <c r="W10" i="3"/>
  <c r="W8" i="3"/>
  <c r="W15" i="3"/>
  <c r="Y15" i="3"/>
  <c r="X15" i="3"/>
  <c r="V15" i="3"/>
  <c r="U15" i="3"/>
  <c r="T15" i="3"/>
  <c r="S15" i="3"/>
  <c r="R15" i="3"/>
  <c r="Q15" i="3"/>
  <c r="P15" i="3"/>
  <c r="O15" i="3"/>
  <c r="N15" i="3"/>
  <c r="M15" i="3"/>
  <c r="L15" i="3"/>
  <c r="K15" i="3"/>
  <c r="I15" i="3"/>
  <c r="H15" i="3"/>
  <c r="G15" i="3"/>
  <c r="F15" i="3"/>
  <c r="E15" i="3"/>
  <c r="D15" i="3"/>
  <c r="K7" i="3"/>
  <c r="J21" i="3"/>
  <c r="J19" i="3"/>
  <c r="J11" i="3"/>
  <c r="J10" i="3"/>
  <c r="J8" i="3"/>
  <c r="H37" i="5"/>
  <c r="G37" i="5"/>
  <c r="F37" i="5"/>
  <c r="E37" i="5"/>
  <c r="D37" i="5"/>
  <c r="E7" i="5"/>
  <c r="E14" i="5"/>
  <c r="F14" i="5" s="1"/>
  <c r="E13" i="5"/>
  <c r="E12" i="5"/>
  <c r="D15" i="14"/>
  <c r="F18" i="14"/>
  <c r="G18" i="14"/>
  <c r="E18" i="14"/>
  <c r="F8" i="14"/>
  <c r="G8" i="14"/>
  <c r="E8" i="14"/>
  <c r="G51" i="10"/>
  <c r="F51" i="10"/>
  <c r="E51" i="10"/>
  <c r="D51" i="10"/>
  <c r="G46" i="10"/>
  <c r="F46" i="10"/>
  <c r="E46" i="10"/>
  <c r="D46" i="10"/>
  <c r="G38" i="10"/>
  <c r="F38" i="10"/>
  <c r="E38" i="10"/>
  <c r="D38" i="10"/>
  <c r="D15" i="10"/>
  <c r="D14" i="10"/>
  <c r="D13" i="10" s="1"/>
  <c r="D11" i="10" s="1"/>
  <c r="G9" i="10"/>
  <c r="F9" i="10"/>
  <c r="E9" i="10"/>
  <c r="D9" i="10"/>
  <c r="D6" i="10"/>
  <c r="D12" i="8"/>
  <c r="D30" i="1" s="1"/>
  <c r="Y18" i="1"/>
  <c r="X18" i="1"/>
  <c r="L18" i="1"/>
  <c r="M18" i="1"/>
  <c r="N18" i="1"/>
  <c r="O18" i="1"/>
  <c r="P18" i="1"/>
  <c r="Q18" i="1"/>
  <c r="R18" i="1"/>
  <c r="S18" i="1"/>
  <c r="T18" i="1"/>
  <c r="U18" i="1"/>
  <c r="V18" i="1"/>
  <c r="K18" i="1"/>
  <c r="E18" i="1"/>
  <c r="F18" i="1"/>
  <c r="G18" i="1"/>
  <c r="H18" i="1"/>
  <c r="I18" i="1"/>
  <c r="D18" i="1"/>
  <c r="G37" i="4"/>
  <c r="F36" i="4"/>
  <c r="E35" i="4"/>
  <c r="I27" i="1"/>
  <c r="F27" i="1"/>
  <c r="X19" i="1"/>
  <c r="Y19" i="1" s="1"/>
  <c r="Y44" i="1"/>
  <c r="X36" i="1"/>
  <c r="Y36" i="1" s="1"/>
  <c r="E29" i="1"/>
  <c r="F29" i="1" s="1"/>
  <c r="G29" i="1" s="1"/>
  <c r="H29" i="1" s="1"/>
  <c r="I29" i="1" s="1"/>
  <c r="K29" i="1" s="1"/>
  <c r="L29" i="1" s="1"/>
  <c r="M29" i="1" s="1"/>
  <c r="N29" i="1" s="1"/>
  <c r="O29" i="1" s="1"/>
  <c r="P29" i="1" s="1"/>
  <c r="R29" i="1" s="1"/>
  <c r="S29" i="1" s="1"/>
  <c r="T29" i="1" s="1"/>
  <c r="U29" i="1" s="1"/>
  <c r="V29" i="1" s="1"/>
  <c r="X27" i="1"/>
  <c r="G27" i="1"/>
  <c r="D27" i="1"/>
  <c r="E27" i="1" s="1"/>
  <c r="L27" i="1"/>
  <c r="M27" i="1" s="1"/>
  <c r="N27" i="1" s="1"/>
  <c r="O27" i="1" s="1"/>
  <c r="P27" i="1" s="1"/>
  <c r="R27" i="1" s="1"/>
  <c r="S27" i="1" s="1"/>
  <c r="T27" i="1" s="1"/>
  <c r="U27" i="1" s="1"/>
  <c r="V27" i="1" s="1"/>
  <c r="Y27" i="1" s="1"/>
  <c r="X22" i="1"/>
  <c r="Y22" i="1" s="1"/>
  <c r="E23" i="1"/>
  <c r="F23" i="1" s="1"/>
  <c r="G23" i="1" s="1"/>
  <c r="H23" i="1" s="1"/>
  <c r="I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X23" i="1" s="1"/>
  <c r="Y23" i="1" s="1"/>
  <c r="Y25" i="1"/>
  <c r="E12" i="14"/>
  <c r="E6" i="14" s="1"/>
  <c r="F12" i="14"/>
  <c r="F7" i="14"/>
  <c r="Y6" i="1"/>
  <c r="G6" i="10" s="1"/>
  <c r="F20" i="14"/>
  <c r="G5" i="14"/>
  <c r="D8" i="14"/>
  <c r="G12" i="14"/>
  <c r="G6" i="14" s="1"/>
  <c r="D12" i="14"/>
  <c r="D7" i="14" s="1"/>
  <c r="D18" i="14"/>
  <c r="G15" i="14"/>
  <c r="F15" i="14"/>
  <c r="E15" i="14"/>
  <c r="F9" i="14"/>
  <c r="E9" i="14"/>
  <c r="D9" i="1"/>
  <c r="E9" i="1" s="1"/>
  <c r="F9" i="1" s="1"/>
  <c r="T9" i="1"/>
  <c r="Q9" i="1"/>
  <c r="N9" i="1"/>
  <c r="Y9" i="1"/>
  <c r="X9" i="1"/>
  <c r="K9" i="1"/>
  <c r="L9" i="1" s="1"/>
  <c r="M9" i="1" s="1"/>
  <c r="G9" i="1"/>
  <c r="H9" i="1" s="1"/>
  <c r="I9" i="1" s="1"/>
  <c r="J6" i="1"/>
  <c r="W44" i="1"/>
  <c r="W36" i="1"/>
  <c r="W32" i="1"/>
  <c r="W28" i="1"/>
  <c r="W25" i="1"/>
  <c r="W24" i="1"/>
  <c r="W22" i="1"/>
  <c r="W21" i="1"/>
  <c r="W20" i="1"/>
  <c r="W19" i="1"/>
  <c r="J44" i="1"/>
  <c r="J36" i="1"/>
  <c r="J32" i="1"/>
  <c r="J28" i="1"/>
  <c r="J25" i="1"/>
  <c r="J24" i="1"/>
  <c r="J22" i="1"/>
  <c r="J21" i="1"/>
  <c r="J20" i="1"/>
  <c r="J19" i="1"/>
  <c r="J15" i="1"/>
  <c r="J14" i="1"/>
  <c r="E14" i="13"/>
  <c r="F14" i="13" s="1"/>
  <c r="G14" i="13" s="1"/>
  <c r="E8" i="13"/>
  <c r="F8" i="13" s="1"/>
  <c r="G8" i="13" s="1"/>
  <c r="E18" i="13"/>
  <c r="F18" i="13"/>
  <c r="G18" i="13"/>
  <c r="D18" i="13"/>
  <c r="D17" i="13"/>
  <c r="D11" i="13"/>
  <c r="E11" i="13"/>
  <c r="F11" i="13" s="1"/>
  <c r="G11" i="13" s="1"/>
  <c r="Y7" i="3"/>
  <c r="X7" i="3"/>
  <c r="L7" i="3"/>
  <c r="M7" i="3"/>
  <c r="O7" i="3"/>
  <c r="P7" i="3"/>
  <c r="R7" i="3"/>
  <c r="S7" i="3"/>
  <c r="U7" i="3"/>
  <c r="V7" i="3"/>
  <c r="M13" i="3"/>
  <c r="O13" i="3"/>
  <c r="F7" i="3"/>
  <c r="H7" i="3"/>
  <c r="E7" i="3"/>
  <c r="D11" i="8"/>
  <c r="E33" i="4"/>
  <c r="F33" i="4"/>
  <c r="G33" i="4"/>
  <c r="D34" i="4"/>
  <c r="D33" i="4" s="1"/>
  <c r="G31" i="4"/>
  <c r="E13" i="1"/>
  <c r="F13" i="1"/>
  <c r="G13" i="1"/>
  <c r="H13" i="1"/>
  <c r="I13" i="1"/>
  <c r="K13" i="1"/>
  <c r="L13" i="1"/>
  <c r="M13" i="1"/>
  <c r="D13" i="1"/>
  <c r="G8" i="4"/>
  <c r="F8" i="4"/>
  <c r="F11" i="4" s="1"/>
  <c r="E8" i="4"/>
  <c r="D8" i="4"/>
  <c r="E5" i="4"/>
  <c r="F29" i="4" s="1"/>
  <c r="F5" i="4"/>
  <c r="G30" i="4" s="1"/>
  <c r="G5" i="4"/>
  <c r="G11" i="4" s="1"/>
  <c r="D5" i="4"/>
  <c r="K12" i="4"/>
  <c r="K5" i="4"/>
  <c r="E33" i="5"/>
  <c r="E32" i="5"/>
  <c r="F32" i="5" s="1"/>
  <c r="E30" i="5"/>
  <c r="F30" i="5" s="1"/>
  <c r="E29" i="5"/>
  <c r="F29" i="5" s="1"/>
  <c r="E28" i="5"/>
  <c r="F28" i="5" s="1"/>
  <c r="E23" i="5"/>
  <c r="F23" i="5" s="1"/>
  <c r="E24" i="5"/>
  <c r="F24" i="5" s="1"/>
  <c r="F33" i="5"/>
  <c r="F25" i="5"/>
  <c r="F19" i="5"/>
  <c r="F18" i="5"/>
  <c r="F15" i="5"/>
  <c r="F13" i="5"/>
  <c r="F12" i="5"/>
  <c r="E20" i="5"/>
  <c r="F20" i="5" s="1"/>
  <c r="E6" i="5"/>
  <c r="U13" i="3" l="1"/>
  <c r="U23" i="3" s="1"/>
  <c r="W21" i="3"/>
  <c r="V13" i="3"/>
  <c r="V23" i="3" s="1"/>
  <c r="J16" i="3"/>
  <c r="X13" i="3"/>
  <c r="X23" i="3" s="1"/>
  <c r="W20" i="3"/>
  <c r="W13" i="3" s="1"/>
  <c r="P13" i="3"/>
  <c r="S13" i="3"/>
  <c r="S23" i="3" s="1"/>
  <c r="F13" i="3"/>
  <c r="F23" i="3" s="1"/>
  <c r="I13" i="3"/>
  <c r="I23" i="3" s="1"/>
  <c r="K13" i="3"/>
  <c r="K23" i="3" s="1"/>
  <c r="T13" i="3"/>
  <c r="T23" i="3" s="1"/>
  <c r="Q13" i="3"/>
  <c r="Q23" i="3" s="1"/>
  <c r="W14" i="3"/>
  <c r="N13" i="3"/>
  <c r="N23" i="3" s="1"/>
  <c r="Y13" i="3"/>
  <c r="Y23" i="3" s="1"/>
  <c r="E13" i="3"/>
  <c r="E23" i="3" s="1"/>
  <c r="J20" i="3"/>
  <c r="W7" i="3"/>
  <c r="R23" i="3"/>
  <c r="O23" i="3"/>
  <c r="L23" i="3"/>
  <c r="J15" i="3"/>
  <c r="H23" i="3"/>
  <c r="J9" i="3"/>
  <c r="J7" i="3" s="1"/>
  <c r="D7" i="3"/>
  <c r="F30" i="1"/>
  <c r="G30" i="1" s="1"/>
  <c r="H30" i="1" s="1"/>
  <c r="I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X30" i="1" s="1"/>
  <c r="Y30" i="1" s="1"/>
  <c r="D11" i="4"/>
  <c r="W29" i="1"/>
  <c r="X29" i="1"/>
  <c r="Y29" i="1" s="1"/>
  <c r="J29" i="1"/>
  <c r="H27" i="1"/>
  <c r="W27" i="1"/>
  <c r="W23" i="1"/>
  <c r="J23" i="1"/>
  <c r="D14" i="14"/>
  <c r="E5" i="14"/>
  <c r="G7" i="14"/>
  <c r="D6" i="14"/>
  <c r="F6" i="14"/>
  <c r="F5" i="14" s="1"/>
  <c r="X6" i="1" s="1"/>
  <c r="F6" i="10" s="1"/>
  <c r="E7" i="14"/>
  <c r="D5" i="14"/>
  <c r="G14" i="14"/>
  <c r="Y7" i="1" s="1"/>
  <c r="G7" i="10" s="1"/>
  <c r="F14" i="14"/>
  <c r="X7" i="1" s="1"/>
  <c r="F7" i="10" s="1"/>
  <c r="E14" i="14"/>
  <c r="G9" i="14"/>
  <c r="J13" i="1"/>
  <c r="O9" i="1"/>
  <c r="P9" i="1" s="1"/>
  <c r="R9" i="1" s="1"/>
  <c r="S9" i="1" s="1"/>
  <c r="U9" i="1" s="1"/>
  <c r="V9" i="1" s="1"/>
  <c r="J9" i="1"/>
  <c r="E17" i="13"/>
  <c r="G17" i="13"/>
  <c r="Y14" i="1" s="1"/>
  <c r="F17" i="13"/>
  <c r="X14" i="1" s="1"/>
  <c r="P23" i="3"/>
  <c r="M23" i="3"/>
  <c r="G23" i="3"/>
  <c r="D28" i="4"/>
  <c r="D27" i="4" s="1"/>
  <c r="E28" i="4"/>
  <c r="E29" i="4"/>
  <c r="F30" i="4"/>
  <c r="G28" i="4"/>
  <c r="G29" i="4"/>
  <c r="F28" i="4"/>
  <c r="E11" i="4"/>
  <c r="D17" i="8" s="1"/>
  <c r="D14" i="3" s="1"/>
  <c r="J14" i="3" s="1"/>
  <c r="D14" i="12" s="1"/>
  <c r="K17" i="4"/>
  <c r="D13" i="3" l="1"/>
  <c r="J13" i="3"/>
  <c r="W23" i="3"/>
  <c r="D23" i="3"/>
  <c r="S6" i="1"/>
  <c r="Q6" i="1"/>
  <c r="N6" i="1"/>
  <c r="W6" i="1" s="1"/>
  <c r="E6" i="10" s="1"/>
  <c r="V6" i="1"/>
  <c r="T6" i="1"/>
  <c r="P6" i="1"/>
  <c r="R6" i="1"/>
  <c r="U6" i="1"/>
  <c r="O6" i="1"/>
  <c r="D22" i="14"/>
  <c r="F7" i="1"/>
  <c r="F5" i="1" s="1"/>
  <c r="F31" i="1" s="1"/>
  <c r="E7" i="1"/>
  <c r="E5" i="1" s="1"/>
  <c r="E31" i="1" s="1"/>
  <c r="G7" i="1"/>
  <c r="G5" i="1" s="1"/>
  <c r="H7" i="1"/>
  <c r="H5" i="1" s="1"/>
  <c r="H31" i="1" s="1"/>
  <c r="D7" i="1"/>
  <c r="I7" i="1"/>
  <c r="I5" i="1" s="1"/>
  <c r="I11" i="1" s="1"/>
  <c r="R7" i="1"/>
  <c r="Q7" i="1"/>
  <c r="Q5" i="1" s="1"/>
  <c r="P7" i="1"/>
  <c r="K7" i="1"/>
  <c r="K5" i="1" s="1"/>
  <c r="K11" i="1" s="1"/>
  <c r="U7" i="1"/>
  <c r="S7" i="1"/>
  <c r="N7" i="1"/>
  <c r="M7" i="1"/>
  <c r="M5" i="1" s="1"/>
  <c r="M11" i="1" s="1"/>
  <c r="V7" i="1"/>
  <c r="T7" i="1"/>
  <c r="O7" i="1"/>
  <c r="L7" i="1"/>
  <c r="Q14" i="1"/>
  <c r="Q15" i="1" s="1"/>
  <c r="T14" i="1"/>
  <c r="T15" i="1" s="1"/>
  <c r="V14" i="1"/>
  <c r="R14" i="1"/>
  <c r="R15" i="1" s="1"/>
  <c r="U14" i="1"/>
  <c r="U15" i="1" s="1"/>
  <c r="P14" i="1"/>
  <c r="P15" i="1" s="1"/>
  <c r="S14" i="1"/>
  <c r="S15" i="1" s="1"/>
  <c r="X15" i="1"/>
  <c r="F14" i="10"/>
  <c r="Y15" i="1"/>
  <c r="G15" i="10" s="1"/>
  <c r="G14" i="10"/>
  <c r="F11" i="1"/>
  <c r="M31" i="1"/>
  <c r="H11" i="1"/>
  <c r="I31" i="1"/>
  <c r="G27" i="4"/>
  <c r="G39" i="4" s="1"/>
  <c r="W30" i="1"/>
  <c r="J30" i="1"/>
  <c r="M26" i="1"/>
  <c r="J27" i="1"/>
  <c r="Y13" i="1"/>
  <c r="O13" i="1"/>
  <c r="V15" i="1"/>
  <c r="V13" i="1" s="1"/>
  <c r="S13" i="1"/>
  <c r="U13" i="1"/>
  <c r="P13" i="1"/>
  <c r="T13" i="1"/>
  <c r="E22" i="14"/>
  <c r="W9" i="1"/>
  <c r="F27" i="4"/>
  <c r="F39" i="4" s="1"/>
  <c r="E27" i="4"/>
  <c r="E39" i="4" s="1"/>
  <c r="J23" i="3" l="1"/>
  <c r="D13" i="12"/>
  <c r="I26" i="1"/>
  <c r="O5" i="1"/>
  <c r="O31" i="1" s="1"/>
  <c r="E11" i="1"/>
  <c r="G31" i="1"/>
  <c r="G11" i="1"/>
  <c r="G26" i="1"/>
  <c r="H26" i="1"/>
  <c r="D5" i="1"/>
  <c r="J7" i="1"/>
  <c r="K31" i="1"/>
  <c r="K26" i="1"/>
  <c r="R13" i="1"/>
  <c r="G13" i="10"/>
  <c r="X13" i="1"/>
  <c r="F15" i="10"/>
  <c r="F13" i="10" s="1"/>
  <c r="O11" i="1"/>
  <c r="O26" i="1"/>
  <c r="Q11" i="1"/>
  <c r="Q31" i="1"/>
  <c r="Y49" i="1"/>
  <c r="Q26" i="1"/>
  <c r="W14" i="1"/>
  <c r="E14" i="10" s="1"/>
  <c r="Q13" i="1"/>
  <c r="G22" i="14"/>
  <c r="F22" i="14"/>
  <c r="L5" i="1"/>
  <c r="U5" i="1"/>
  <c r="S5" i="1"/>
  <c r="X49" i="1"/>
  <c r="J25" i="3" l="1"/>
  <c r="D23" i="12"/>
  <c r="J26" i="1"/>
  <c r="D7" i="10"/>
  <c r="J5" i="1"/>
  <c r="D31" i="1"/>
  <c r="J31" i="1" s="1"/>
  <c r="D11" i="1"/>
  <c r="F11" i="10"/>
  <c r="G11" i="10"/>
  <c r="S11" i="1"/>
  <c r="S31" i="1"/>
  <c r="U11" i="1"/>
  <c r="U31" i="1"/>
  <c r="L11" i="1"/>
  <c r="L31" i="1"/>
  <c r="W18" i="1"/>
  <c r="U26" i="1"/>
  <c r="L26" i="1"/>
  <c r="L17" i="1" s="1"/>
  <c r="L34" i="1" s="1"/>
  <c r="L38" i="1" s="1"/>
  <c r="S26" i="1"/>
  <c r="N13" i="1"/>
  <c r="W15" i="1"/>
  <c r="N5" i="1"/>
  <c r="O49" i="1"/>
  <c r="O17" i="1"/>
  <c r="O34" i="1" s="1"/>
  <c r="O38" i="1" s="1"/>
  <c r="V49" i="1"/>
  <c r="S49" i="1"/>
  <c r="P49" i="1"/>
  <c r="L49" i="1"/>
  <c r="K17" i="1"/>
  <c r="K34" i="1" s="1"/>
  <c r="K38" i="1" s="1"/>
  <c r="K49" i="1"/>
  <c r="T49" i="1"/>
  <c r="U49" i="1"/>
  <c r="Q17" i="1"/>
  <c r="Q34" i="1" s="1"/>
  <c r="Q38" i="1" s="1"/>
  <c r="Q49" i="1"/>
  <c r="N49" i="1"/>
  <c r="R49" i="1"/>
  <c r="M49" i="1"/>
  <c r="M17" i="1"/>
  <c r="M34" i="1" s="1"/>
  <c r="M38" i="1" s="1"/>
  <c r="K5" i="3" l="1"/>
  <c r="K25" i="3" s="1"/>
  <c r="L5" i="3" s="1"/>
  <c r="L25" i="3" s="1"/>
  <c r="M5" i="3" s="1"/>
  <c r="M25" i="3" s="1"/>
  <c r="N5" i="3" s="1"/>
  <c r="N25" i="3" s="1"/>
  <c r="O5" i="3" s="1"/>
  <c r="O25" i="3" s="1"/>
  <c r="P5" i="3" s="1"/>
  <c r="P25" i="3" s="1"/>
  <c r="Q5" i="3" s="1"/>
  <c r="Q25" i="3" s="1"/>
  <c r="R5" i="3" s="1"/>
  <c r="R25" i="3" s="1"/>
  <c r="S5" i="3" s="1"/>
  <c r="S25" i="3" s="1"/>
  <c r="T5" i="3" s="1"/>
  <c r="T25" i="3" s="1"/>
  <c r="U5" i="3" s="1"/>
  <c r="U25" i="3" s="1"/>
  <c r="V5" i="3" s="1"/>
  <c r="V25" i="3" s="1"/>
  <c r="D25" i="12"/>
  <c r="W5" i="3"/>
  <c r="D5" i="10"/>
  <c r="J11" i="1"/>
  <c r="W13" i="1"/>
  <c r="E15" i="10"/>
  <c r="E13" i="10" s="1"/>
  <c r="E11" i="10" s="1"/>
  <c r="S17" i="1"/>
  <c r="S34" i="1" s="1"/>
  <c r="S38" i="1" s="1"/>
  <c r="S42" i="1" s="1"/>
  <c r="S46" i="1" s="1"/>
  <c r="U17" i="1"/>
  <c r="U34" i="1" s="1"/>
  <c r="U38" i="1" s="1"/>
  <c r="U42" i="1" s="1"/>
  <c r="U46" i="1" s="1"/>
  <c r="N11" i="1"/>
  <c r="N31" i="1"/>
  <c r="N26" i="1"/>
  <c r="P5" i="1"/>
  <c r="M42" i="1"/>
  <c r="M46" i="1" s="1"/>
  <c r="W49" i="1"/>
  <c r="Q42" i="1"/>
  <c r="Q46" i="1" s="1"/>
  <c r="O42" i="1"/>
  <c r="O46" i="1" s="1"/>
  <c r="L42" i="1"/>
  <c r="L46" i="1" s="1"/>
  <c r="K42" i="1"/>
  <c r="K46" i="1" s="1"/>
  <c r="G15" i="5"/>
  <c r="H15" i="5" s="1"/>
  <c r="G14" i="5"/>
  <c r="H14" i="5" s="1"/>
  <c r="G13" i="5"/>
  <c r="H13" i="5" s="1"/>
  <c r="G12" i="5"/>
  <c r="H12" i="5" s="1"/>
  <c r="F11" i="5"/>
  <c r="D12" i="5"/>
  <c r="E11" i="5"/>
  <c r="D9" i="5"/>
  <c r="F7" i="5"/>
  <c r="G7" i="5" s="1"/>
  <c r="H7" i="5" s="1"/>
  <c r="F6" i="5"/>
  <c r="G6" i="5" s="1"/>
  <c r="E9" i="5"/>
  <c r="E8" i="5"/>
  <c r="F8" i="5" s="1"/>
  <c r="G8" i="5" s="1"/>
  <c r="H8" i="5" s="1"/>
  <c r="D33" i="5"/>
  <c r="D32" i="5"/>
  <c r="D30" i="5"/>
  <c r="D29" i="5"/>
  <c r="D28" i="5"/>
  <c r="D25" i="5"/>
  <c r="D24" i="5"/>
  <c r="D23" i="5"/>
  <c r="D20" i="5"/>
  <c r="D19" i="5"/>
  <c r="D18" i="5"/>
  <c r="D15" i="5"/>
  <c r="D14" i="5"/>
  <c r="D13" i="5"/>
  <c r="D8" i="5"/>
  <c r="D7" i="5"/>
  <c r="D6" i="5"/>
  <c r="E27" i="5"/>
  <c r="E17" i="5"/>
  <c r="E22" i="5"/>
  <c r="G33" i="5"/>
  <c r="H33" i="5" s="1"/>
  <c r="G32" i="5"/>
  <c r="H32" i="5" s="1"/>
  <c r="G30" i="5"/>
  <c r="H30" i="5" s="1"/>
  <c r="G29" i="5"/>
  <c r="H29" i="5" s="1"/>
  <c r="G28" i="5"/>
  <c r="H28" i="5" s="1"/>
  <c r="G25" i="5"/>
  <c r="H25" i="5" s="1"/>
  <c r="G24" i="5"/>
  <c r="H24" i="5" s="1"/>
  <c r="G23" i="5"/>
  <c r="H23" i="5" s="1"/>
  <c r="G20" i="5"/>
  <c r="H20" i="5" s="1"/>
  <c r="G19" i="5"/>
  <c r="H19" i="5" s="1"/>
  <c r="G18" i="5"/>
  <c r="H18" i="5" s="1"/>
  <c r="W25" i="3" l="1"/>
  <c r="E5" i="12"/>
  <c r="P11" i="1"/>
  <c r="P31" i="1"/>
  <c r="N17" i="1"/>
  <c r="N34" i="1" s="1"/>
  <c r="N38" i="1" s="1"/>
  <c r="N42" i="1" s="1"/>
  <c r="N46" i="1" s="1"/>
  <c r="P26" i="1"/>
  <c r="R5" i="1"/>
  <c r="E5" i="5"/>
  <c r="E35" i="5" s="1"/>
  <c r="E39" i="5" s="1"/>
  <c r="D11" i="5"/>
  <c r="D5" i="5"/>
  <c r="F9" i="5"/>
  <c r="D27" i="5"/>
  <c r="H22" i="5"/>
  <c r="H27" i="5"/>
  <c r="H17" i="5"/>
  <c r="H11" i="5"/>
  <c r="H6" i="5"/>
  <c r="F22" i="5"/>
  <c r="G11" i="5"/>
  <c r="F17" i="5"/>
  <c r="G22" i="5"/>
  <c r="G17" i="5"/>
  <c r="F27" i="5"/>
  <c r="D17" i="5"/>
  <c r="D22" i="5"/>
  <c r="G27" i="5"/>
  <c r="X5" i="3" l="1"/>
  <c r="E25" i="12"/>
  <c r="R11" i="1"/>
  <c r="R31" i="1"/>
  <c r="R26" i="1"/>
  <c r="P17" i="1"/>
  <c r="P34" i="1" s="1"/>
  <c r="P38" i="1" s="1"/>
  <c r="P42" i="1" s="1"/>
  <c r="P46" i="1" s="1"/>
  <c r="T5" i="1"/>
  <c r="G9" i="5"/>
  <c r="F5" i="5"/>
  <c r="F35" i="5" s="1"/>
  <c r="F39" i="5" s="1"/>
  <c r="D35" i="5"/>
  <c r="D39" i="5" s="1"/>
  <c r="X25" i="3" l="1"/>
  <c r="F5" i="12"/>
  <c r="T11" i="1"/>
  <c r="T31" i="1"/>
  <c r="T26" i="1"/>
  <c r="R17" i="1"/>
  <c r="R34" i="1" s="1"/>
  <c r="R38" i="1" s="1"/>
  <c r="R42" i="1" s="1"/>
  <c r="R46" i="1" s="1"/>
  <c r="V5" i="1"/>
  <c r="W7" i="1"/>
  <c r="M48" i="1"/>
  <c r="M51" i="1" s="1"/>
  <c r="P48" i="1"/>
  <c r="P51" i="1" s="1"/>
  <c r="S48" i="1"/>
  <c r="S51" i="1" s="1"/>
  <c r="V48" i="1"/>
  <c r="N48" i="1"/>
  <c r="N51" i="1" s="1"/>
  <c r="Q48" i="1"/>
  <c r="Q51" i="1" s="1"/>
  <c r="T48" i="1"/>
  <c r="K48" i="1"/>
  <c r="L48" i="1"/>
  <c r="L51" i="1" s="1"/>
  <c r="O48" i="1"/>
  <c r="O51" i="1" s="1"/>
  <c r="R48" i="1"/>
  <c r="U48" i="1"/>
  <c r="U51" i="1" s="1"/>
  <c r="H9" i="5"/>
  <c r="H5" i="5" s="1"/>
  <c r="H35" i="5" s="1"/>
  <c r="H39" i="5" s="1"/>
  <c r="G5" i="5"/>
  <c r="G35" i="5" s="1"/>
  <c r="G39" i="5" s="1"/>
  <c r="F48" i="1"/>
  <c r="I48" i="1"/>
  <c r="G48" i="1"/>
  <c r="D48" i="1"/>
  <c r="E48" i="1"/>
  <c r="H48" i="1"/>
  <c r="Y5" i="3" l="1"/>
  <c r="F25" i="12"/>
  <c r="W5" i="1"/>
  <c r="E7" i="10"/>
  <c r="V11" i="1"/>
  <c r="V31" i="1"/>
  <c r="W31" i="1" s="1"/>
  <c r="R51" i="1"/>
  <c r="V26" i="1"/>
  <c r="T17" i="1"/>
  <c r="T34" i="1" s="1"/>
  <c r="T38" i="1" s="1"/>
  <c r="J48" i="1"/>
  <c r="D50" i="10" s="1"/>
  <c r="Y5" i="1"/>
  <c r="G5" i="10" s="1"/>
  <c r="X5" i="1"/>
  <c r="F5" i="10" s="1"/>
  <c r="K51" i="1"/>
  <c r="W48" i="1"/>
  <c r="E50" i="10" s="1"/>
  <c r="Y48" i="1"/>
  <c r="G50" i="10" s="1"/>
  <c r="X48" i="1"/>
  <c r="F50" i="10" s="1"/>
  <c r="Y25" i="3" l="1"/>
  <c r="G25" i="12" s="1"/>
  <c r="G5" i="12"/>
  <c r="W11" i="1"/>
  <c r="E5" i="10"/>
  <c r="W26" i="1"/>
  <c r="W17" i="1" s="1"/>
  <c r="X11" i="1"/>
  <c r="X31" i="1"/>
  <c r="Y11" i="1"/>
  <c r="Y31" i="1"/>
  <c r="V17" i="1"/>
  <c r="V34" i="1" s="1"/>
  <c r="V38" i="1" s="1"/>
  <c r="V42" i="1" s="1"/>
  <c r="V46" i="1" s="1"/>
  <c r="V51" i="1" s="1"/>
  <c r="X26" i="1"/>
  <c r="Y26" i="1"/>
  <c r="D39" i="4"/>
  <c r="W34" i="1" l="1"/>
  <c r="W38" i="1" s="1"/>
  <c r="E17" i="10"/>
  <c r="E36" i="10" s="1"/>
  <c r="E40" i="10" s="1"/>
  <c r="X17" i="1"/>
  <c r="J18" i="1"/>
  <c r="J17" i="1" s="1"/>
  <c r="E17" i="1"/>
  <c r="E34" i="1" s="1"/>
  <c r="E38" i="1" s="1"/>
  <c r="I17" i="1"/>
  <c r="I34" i="1" s="1"/>
  <c r="I38" i="1" s="1"/>
  <c r="W40" i="1"/>
  <c r="Y17" i="1"/>
  <c r="T42" i="1"/>
  <c r="T46" i="1" s="1"/>
  <c r="T51" i="1" s="1"/>
  <c r="H17" i="1"/>
  <c r="H34" i="1" s="1"/>
  <c r="H38" i="1" s="1"/>
  <c r="H49" i="1"/>
  <c r="E49" i="1"/>
  <c r="F17" i="1"/>
  <c r="F34" i="1" s="1"/>
  <c r="F38" i="1" s="1"/>
  <c r="F49" i="1"/>
  <c r="G49" i="1"/>
  <c r="G17" i="1"/>
  <c r="G34" i="1" s="1"/>
  <c r="G38" i="1" s="1"/>
  <c r="Y34" i="1" l="1"/>
  <c r="Y38" i="1" s="1"/>
  <c r="Y40" i="1" s="1"/>
  <c r="G17" i="10"/>
  <c r="G36" i="10" s="1"/>
  <c r="G40" i="10" s="1"/>
  <c r="X34" i="1"/>
  <c r="X38" i="1" s="1"/>
  <c r="X40" i="1" s="1"/>
  <c r="F42" i="10" s="1"/>
  <c r="F17" i="10"/>
  <c r="F36" i="10" s="1"/>
  <c r="F40" i="10" s="1"/>
  <c r="G42" i="10"/>
  <c r="W42" i="1"/>
  <c r="W46" i="1" s="1"/>
  <c r="W51" i="1" s="1"/>
  <c r="C20" i="9" s="1"/>
  <c r="E42" i="10"/>
  <c r="E44" i="10" s="1"/>
  <c r="E48" i="10" s="1"/>
  <c r="E53" i="10" s="1"/>
  <c r="J34" i="1"/>
  <c r="J38" i="1" s="1"/>
  <c r="D17" i="10"/>
  <c r="D36" i="10" s="1"/>
  <c r="D40" i="10" s="1"/>
  <c r="D17" i="1"/>
  <c r="D34" i="1" s="1"/>
  <c r="D38" i="1" s="1"/>
  <c r="I49" i="1"/>
  <c r="D49" i="1"/>
  <c r="J49" i="1" s="1"/>
  <c r="F42" i="1"/>
  <c r="F46" i="1" s="1"/>
  <c r="F51" i="1" s="1"/>
  <c r="H42" i="1"/>
  <c r="H46" i="1" s="1"/>
  <c r="H51" i="1" s="1"/>
  <c r="E42" i="1"/>
  <c r="E46" i="1" s="1"/>
  <c r="E51" i="1" s="1"/>
  <c r="I42" i="1"/>
  <c r="I46" i="1" s="1"/>
  <c r="I51" i="1" s="1"/>
  <c r="G42" i="1"/>
  <c r="G46" i="1" s="1"/>
  <c r="G51" i="1" s="1"/>
  <c r="D25" i="3"/>
  <c r="E5" i="3" s="1"/>
  <c r="E25" i="3" s="1"/>
  <c r="F5" i="3" s="1"/>
  <c r="F25" i="3" s="1"/>
  <c r="G5" i="3" s="1"/>
  <c r="G25" i="3" s="1"/>
  <c r="H5" i="3" s="1"/>
  <c r="H25" i="3" s="1"/>
  <c r="I5" i="3" s="1"/>
  <c r="I25" i="3" s="1"/>
  <c r="F44" i="10" l="1"/>
  <c r="F48" i="10" s="1"/>
  <c r="F53" i="10" s="1"/>
  <c r="Y42" i="1"/>
  <c r="Y46" i="1" s="1"/>
  <c r="Y51" i="1" s="1"/>
  <c r="C22" i="9" s="1"/>
  <c r="G44" i="10"/>
  <c r="G48" i="10" s="1"/>
  <c r="G53" i="10" s="1"/>
  <c r="X42" i="1"/>
  <c r="X46" i="1" s="1"/>
  <c r="X51" i="1" s="1"/>
  <c r="C21" i="9" s="1"/>
  <c r="J40" i="1"/>
  <c r="D42" i="1"/>
  <c r="D46" i="1" s="1"/>
  <c r="D51" i="1" s="1"/>
  <c r="J42" i="1" l="1"/>
  <c r="J46" i="1" s="1"/>
  <c r="J51" i="1" s="1"/>
  <c r="C19" i="9" s="1"/>
  <c r="D42" i="10"/>
  <c r="D44" i="10" s="1"/>
  <c r="D48" i="10" s="1"/>
  <c r="D53" i="10" s="1"/>
  <c r="C4" i="9" l="1"/>
  <c r="C3" i="9" s="1"/>
</calcChain>
</file>

<file path=xl/sharedStrings.xml><?xml version="1.0" encoding="utf-8"?>
<sst xmlns="http://schemas.openxmlformats.org/spreadsheetml/2006/main" count="244" uniqueCount="153">
  <si>
    <t>Finanzierung</t>
  </si>
  <si>
    <t>Eigenkapital</t>
  </si>
  <si>
    <t>Gründerzuschuss</t>
  </si>
  <si>
    <t>Zukunftsperspektive</t>
  </si>
  <si>
    <t>J1</t>
  </si>
  <si>
    <t>J2</t>
  </si>
  <si>
    <t>J3</t>
  </si>
  <si>
    <t>J4</t>
  </si>
  <si>
    <t>Lebenshaltung</t>
  </si>
  <si>
    <t>Monat</t>
  </si>
  <si>
    <t>Wohnkosten</t>
  </si>
  <si>
    <t>Mietkosten incl. Heizung</t>
  </si>
  <si>
    <t>Strom, Wasser, Gas</t>
  </si>
  <si>
    <t>Telefon</t>
  </si>
  <si>
    <t>Soziale Absicherung</t>
  </si>
  <si>
    <t>Krankenversicherung</t>
  </si>
  <si>
    <t>Rentenversicherung/Altersvorsorge</t>
  </si>
  <si>
    <t>Freiwillige Arbeitslosenversicherung</t>
  </si>
  <si>
    <t>Andere Versicherungen</t>
  </si>
  <si>
    <t>Sonstige Verpflichtungen</t>
  </si>
  <si>
    <t>Private Kredite</t>
  </si>
  <si>
    <t>Bausparverträge</t>
  </si>
  <si>
    <t>Sonstiges (z.B. Unterhalt)</t>
  </si>
  <si>
    <t>Mobilitätskosten</t>
  </si>
  <si>
    <t>Kfz-Steuer, Kfz-Versicherung</t>
  </si>
  <si>
    <t>Benzin, Reparatur,Pflege</t>
  </si>
  <si>
    <t>öffentliche Verkehrsmittel etc.</t>
  </si>
  <si>
    <t>Lebensunterhalt</t>
  </si>
  <si>
    <t>Lebensmittel, Kleidung, Freizeit</t>
  </si>
  <si>
    <t>Hausrat, Reparaturen</t>
  </si>
  <si>
    <t>Bildung/Unterhaltung</t>
  </si>
  <si>
    <t>Rücklagen (Urlaub, Krankheit etc.)</t>
  </si>
  <si>
    <t>sonstige variable Kosten</t>
  </si>
  <si>
    <t>Summe private Ausgaben</t>
  </si>
  <si>
    <t>2023
6 Monate</t>
  </si>
  <si>
    <t>Internet</t>
  </si>
  <si>
    <t>in EUR</t>
  </si>
  <si>
    <t>Gesamt</t>
  </si>
  <si>
    <t>GuV</t>
  </si>
  <si>
    <t>Investitionen</t>
  </si>
  <si>
    <t>Hardware</t>
  </si>
  <si>
    <t>Software</t>
  </si>
  <si>
    <t>Büro</t>
  </si>
  <si>
    <t>PC</t>
  </si>
  <si>
    <t>Monitors</t>
  </si>
  <si>
    <t>Laptops</t>
  </si>
  <si>
    <t>Phone</t>
  </si>
  <si>
    <t>Audio &amp; Video</t>
  </si>
  <si>
    <t>Privatequipment</t>
  </si>
  <si>
    <t>Videobearbeitung</t>
  </si>
  <si>
    <t>Office</t>
  </si>
  <si>
    <t>Entwicklungstools</t>
  </si>
  <si>
    <t>* Privatequipment zum Zeitwert (nicht zum Neupreis)</t>
  </si>
  <si>
    <t>Barcode Scanner</t>
  </si>
  <si>
    <t>Touchscreen Terminal</t>
  </si>
  <si>
    <t>RFID System</t>
  </si>
  <si>
    <t>PC SSD</t>
  </si>
  <si>
    <t>PCs / Laptops</t>
  </si>
  <si>
    <t>Bereits vorhanden</t>
  </si>
  <si>
    <t>Einrichtung</t>
  </si>
  <si>
    <t>Umsatzerlöse</t>
  </si>
  <si>
    <t>Wareneinsatz</t>
  </si>
  <si>
    <t>Personalaufwand</t>
  </si>
  <si>
    <t>Löhne und Gehälter</t>
  </si>
  <si>
    <t>Soziale Abgaben</t>
  </si>
  <si>
    <t>SBA</t>
  </si>
  <si>
    <t>Transportkosten</t>
  </si>
  <si>
    <t>Abschreibungen</t>
  </si>
  <si>
    <t>sonstige Vertriebskosten</t>
  </si>
  <si>
    <t>Raum- und Grundstücksaufwendungen</t>
  </si>
  <si>
    <t>Wartung, Reparaturen und Instandhaltung</t>
  </si>
  <si>
    <t>Versicherungen</t>
  </si>
  <si>
    <t>Beiträge, Abgaben, Gebühren</t>
  </si>
  <si>
    <t>Miete und Leasing</t>
  </si>
  <si>
    <t>KFZ Kosten</t>
  </si>
  <si>
    <t>Messe-, Werbung- und Reisekosten</t>
  </si>
  <si>
    <t>Betriebsbedarf</t>
  </si>
  <si>
    <t>sonstige Personalkosten</t>
  </si>
  <si>
    <t>Kommunikation</t>
  </si>
  <si>
    <t>Rechts-, Beratungs- und Lizenzkosten</t>
  </si>
  <si>
    <t>Forderungsverluste</t>
  </si>
  <si>
    <t>übrige sonstige betr. Aufwendungen</t>
  </si>
  <si>
    <t>übrige sonstige Aufwendungen</t>
  </si>
  <si>
    <t>EBIT</t>
  </si>
  <si>
    <t>Finanzergebnis</t>
  </si>
  <si>
    <t>EBT</t>
  </si>
  <si>
    <t>Steuern vom Einkommen und vom Ertrag</t>
  </si>
  <si>
    <t>Ergebnis nach Steuern</t>
  </si>
  <si>
    <t>Sonstige Steuern</t>
  </si>
  <si>
    <t>Jahresüberschuss/-fehlbetrag</t>
  </si>
  <si>
    <t>Private Lebenshaltungskosten</t>
  </si>
  <si>
    <t>Abschreibung</t>
  </si>
  <si>
    <t>Über-/Unterdeckung</t>
  </si>
  <si>
    <t>Sonstige Einzellösungen</t>
  </si>
  <si>
    <t>Software inkl. Dienstleistungen</t>
  </si>
  <si>
    <t>Afa Rechner</t>
  </si>
  <si>
    <t>Kapitalbedarf</t>
  </si>
  <si>
    <t>Startinvestitionen</t>
  </si>
  <si>
    <t>Sonstiger Kapitalbedarf</t>
  </si>
  <si>
    <t>Gewerbeanmeldung</t>
  </si>
  <si>
    <t>Anmeldung/Genehmigungen</t>
  </si>
  <si>
    <t>Eintrag ins Handelsregister</t>
  </si>
  <si>
    <t>Notar/Beratung/Rechtsanwalt</t>
  </si>
  <si>
    <t>Patent-/Lizenz-/Franchisegebühr/Markeneintragung</t>
  </si>
  <si>
    <t>R&amp;D und Entwicklungsequipment</t>
  </si>
  <si>
    <t>Serverkosten vor Umsatzrealisation</t>
  </si>
  <si>
    <t>* Jährliche Steigerung von 3% basierend auf der Empfehlung der IHK München https://www.ihk-muenchen.de/businessplan/</t>
  </si>
  <si>
    <t>Einkommensteuer</t>
  </si>
  <si>
    <t>Liquiditätszugang</t>
  </si>
  <si>
    <t>Liquiditätsabgang</t>
  </si>
  <si>
    <t>Liquiditätsplanung</t>
  </si>
  <si>
    <t>in TEUR</t>
  </si>
  <si>
    <t>Forderungen aus LuL</t>
  </si>
  <si>
    <t>Privateinlagen</t>
  </si>
  <si>
    <r>
      <t>sonstige Einnahmen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</si>
  <si>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Gründerzuschuss</t>
    </r>
  </si>
  <si>
    <t>Personalkosten</t>
  </si>
  <si>
    <t>Zinsen</t>
  </si>
  <si>
    <t>Darlehen</t>
  </si>
  <si>
    <t>Steuern</t>
  </si>
  <si>
    <t>Privatentnahmen</t>
  </si>
  <si>
    <t>Endbestand</t>
  </si>
  <si>
    <t>Anfangsbestand</t>
  </si>
  <si>
    <t>Cashflow</t>
  </si>
  <si>
    <t>SBA (exkl. Afa)</t>
  </si>
  <si>
    <t>Mitarbeiter</t>
  </si>
  <si>
    <t>Buchhaltung</t>
  </si>
  <si>
    <t>Eigentümer</t>
  </si>
  <si>
    <t>Management (Privatentnahme)</t>
  </si>
  <si>
    <t>Vertrieb &amp; Marketing</t>
  </si>
  <si>
    <t>Entwicklung &amp; Support</t>
  </si>
  <si>
    <t>Mitarbeiter (exkl. Eigentümer)</t>
  </si>
  <si>
    <t>Kaufsoftware</t>
  </si>
  <si>
    <t>Wartung und Support</t>
  </si>
  <si>
    <t>Customizing</t>
  </si>
  <si>
    <t>Umsatz</t>
  </si>
  <si>
    <t>Musterkundenumsatz</t>
  </si>
  <si>
    <t>Durchschnittspreis in EUR mtl.</t>
  </si>
  <si>
    <t>Kundenanzahl mtl.</t>
  </si>
  <si>
    <t>Lizenzanzahl insgesamt mtl.</t>
  </si>
  <si>
    <t>10% aller Kunden mit 5 TEUR pro Jahr</t>
  </si>
  <si>
    <t>25% aller Kunden mit 150 EUR pro Lizenz pro Jahr</t>
  </si>
  <si>
    <t>35 EUR pro Lizenz pro Monat</t>
  </si>
  <si>
    <t>Preise sind üblicherweise zwischen 4.99 EUR und 49.99, wobei mit sehr großer Mehrheit die günstigste Variante gekauft werden wird.</t>
  </si>
  <si>
    <t>Erst 15 Lizenzen pro Kunde, dann 25 Lizenzen pro Kunde im Schnitt</t>
  </si>
  <si>
    <t>Rohertrag</t>
  </si>
  <si>
    <t>GuV (Gesamtkostenverfahren)</t>
  </si>
  <si>
    <t>GPS kit für Fuhrparksoftware</t>
  </si>
  <si>
    <t>Markennamenprüfung</t>
  </si>
  <si>
    <t>Hardware für RFID, Scanner, Terminals, …</t>
  </si>
  <si>
    <t>3 Monate Serverkosten</t>
  </si>
  <si>
    <t>Mietsoftware (SaaS)</t>
  </si>
  <si>
    <t>Erste 0.5 Jahre der Investitionsplanung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</si>
</sst>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\ &quot;DM&quot;_-;\-* #,##0.00\ &quot;DM&quot;_-;_-* &quot;-&quot;??\ &quot;DM&quot;_-;_-@_-"/>
    <numFmt numFmtId="167" formatCode="_-* #,##0.00\ [$€-1]_-;\-* #,##0.00\ [$€-1]_-;_-* &quot;-&quot;??\ [$€-1]_-"/>
    <numFmt numFmtId="168" formatCode="_-* #,##0.00\ _D_M_-;\-* #,##0.00\ _D_M_-;_-* &quot;-&quot;??\ _D_M_-;_-@_-"/>
    <numFmt numFmtId="169" formatCode="_-* #,##0.00\ [$€]_-;\-* #,##0.00\ [$€]_-;_-* &quot;-&quot;??\ [$€]_-;_-@_-"/>
    <numFmt numFmtId="170" formatCode="_-* #,##0.00_-;\-* #,##0.00_-;_-* &quot;-&quot;??_-;_-@_-"/>
    <numFmt numFmtId="171" formatCode="_-* #,##0_-;\-* #,##0_-;_-* &quot;-&quot;??_-;_-@_-"/>
    <numFmt numFmtId="172" formatCode="_(* #,##0_);_(* \(#,##0\);_(* &quot;-&quot;??_);_(@_)"/>
    <numFmt numFmtId="173" formatCode="_-* #,##0.0_-;\-* #,##0.0_-;_-* &quot;-&quot;??_-;_-@_-"/>
    <numFmt numFmtId="174" formatCode="_(* #,##0.0_);_(* \(#,##0.0\);_(* &quot;-&quot;??_);_(@_)"/>
    <numFmt numFmtId="175" formatCode="_(* #,##0.0000_);_(* \(#,##0.00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9"/>
      <color theme="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vertAlign val="superscript"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5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2" fillId="8" borderId="2" applyNumberFormat="0" applyAlignment="0" applyProtection="0"/>
    <xf numFmtId="0" fontId="12" fillId="8" borderId="2" applyNumberFormat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5" fillId="0" borderId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5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0" fontId="7" fillId="23" borderId="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24" borderId="9" applyNumberFormat="0" applyAlignment="0" applyProtection="0"/>
    <xf numFmtId="0" fontId="24" fillId="24" borderId="9" applyNumberFormat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9" fontId="2" fillId="0" borderId="0" xfId="0" applyNumberFormat="1" applyFont="1"/>
    <xf numFmtId="3" fontId="2" fillId="0" borderId="0" xfId="1" applyNumberFormat="1" applyFont="1"/>
    <xf numFmtId="0" fontId="4" fillId="2" borderId="0" xfId="0" applyFont="1" applyFill="1" applyAlignment="1">
      <alignment vertical="center"/>
    </xf>
    <xf numFmtId="3" fontId="27" fillId="25" borderId="10" xfId="0" applyNumberFormat="1" applyFont="1" applyFill="1" applyBorder="1" applyAlignment="1">
      <alignment vertical="center" wrapText="1"/>
    </xf>
    <xf numFmtId="171" fontId="27" fillId="25" borderId="10" xfId="1" applyNumberFormat="1" applyFont="1" applyFill="1" applyBorder="1" applyAlignment="1">
      <alignment vertical="center"/>
    </xf>
    <xf numFmtId="170" fontId="27" fillId="25" borderId="10" xfId="1" applyNumberFormat="1" applyFont="1" applyFill="1" applyBorder="1" applyAlignment="1">
      <alignment vertical="center"/>
    </xf>
    <xf numFmtId="43" fontId="0" fillId="0" borderId="0" xfId="1" applyFont="1"/>
    <xf numFmtId="0" fontId="0" fillId="0" borderId="0" xfId="0" applyAlignment="1">
      <alignment horizontal="left" indent="1"/>
    </xf>
    <xf numFmtId="171" fontId="0" fillId="0" borderId="0" xfId="0" applyNumberFormat="1"/>
    <xf numFmtId="172" fontId="0" fillId="0" borderId="0" xfId="1" applyNumberFormat="1" applyFont="1"/>
    <xf numFmtId="3" fontId="27" fillId="25" borderId="0" xfId="0" applyNumberFormat="1" applyFont="1" applyFill="1" applyAlignment="1">
      <alignment vertical="center" wrapText="1"/>
    </xf>
    <xf numFmtId="43" fontId="0" fillId="0" borderId="0" xfId="0" applyNumberFormat="1"/>
    <xf numFmtId="173" fontId="27" fillId="25" borderId="10" xfId="1" applyNumberFormat="1" applyFont="1" applyFill="1" applyBorder="1" applyAlignment="1">
      <alignment vertical="center"/>
    </xf>
    <xf numFmtId="173" fontId="0" fillId="0" borderId="0" xfId="0" applyNumberFormat="1"/>
    <xf numFmtId="0" fontId="0" fillId="0" borderId="0" xfId="0" applyAlignment="1">
      <alignment horizontal="left" indent="2"/>
    </xf>
    <xf numFmtId="174" fontId="0" fillId="0" borderId="0" xfId="1" applyNumberFormat="1" applyFont="1"/>
    <xf numFmtId="172" fontId="0" fillId="0" borderId="0" xfId="1" applyNumberFormat="1" applyFont="1" applyAlignment="1">
      <alignment horizontal="center"/>
    </xf>
    <xf numFmtId="174" fontId="27" fillId="25" borderId="10" xfId="1" applyNumberFormat="1" applyFont="1" applyFill="1" applyBorder="1" applyAlignment="1">
      <alignment vertical="center"/>
    </xf>
    <xf numFmtId="173" fontId="0" fillId="0" borderId="0" xfId="1" applyNumberFormat="1" applyFont="1"/>
    <xf numFmtId="172" fontId="27" fillId="25" borderId="10" xfId="1" applyNumberFormat="1" applyFont="1" applyFill="1" applyBorder="1" applyAlignment="1">
      <alignment vertical="center"/>
    </xf>
    <xf numFmtId="9" fontId="2" fillId="0" borderId="0" xfId="254" applyFont="1"/>
    <xf numFmtId="174" fontId="0" fillId="0" borderId="0" xfId="0" applyNumberFormat="1"/>
    <xf numFmtId="175" fontId="0" fillId="0" borderId="0" xfId="0" applyNumberFormat="1"/>
    <xf numFmtId="171" fontId="0" fillId="0" borderId="0" xfId="1" applyNumberFormat="1" applyFont="1"/>
    <xf numFmtId="171" fontId="27" fillId="25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255">
    <cellStyle name="20 % - Akzent1 2" xfId="3" xr:uid="{ABAC089F-03AD-4020-BAA1-A604C29AD250}"/>
    <cellStyle name="20 % - Akzent1 3" xfId="4" xr:uid="{60DF8977-D634-4353-AEC0-C38A0735A242}"/>
    <cellStyle name="20 % - Akzent2 2" xfId="5" xr:uid="{0977D9D2-18C1-43A2-9BBE-C8C0967858AB}"/>
    <cellStyle name="20 % - Akzent2 3" xfId="6" xr:uid="{AA55DD65-42BE-410E-B12C-EF2DD9C36F15}"/>
    <cellStyle name="20 % - Akzent3 2" xfId="7" xr:uid="{55E252D0-E82D-4A2D-8774-8832BCFD9F05}"/>
    <cellStyle name="20 % - Akzent3 3" xfId="8" xr:uid="{01203B61-E89D-4148-94D8-8BADEDCBC7EE}"/>
    <cellStyle name="20 % - Akzent4 2" xfId="9" xr:uid="{0B9AC6A7-78A1-4CFC-A6DD-B9A1F472CA54}"/>
    <cellStyle name="20 % - Akzent4 3" xfId="10" xr:uid="{A02A5014-A181-459A-97D5-0D223046B7F5}"/>
    <cellStyle name="20 % - Akzent5 2" xfId="11" xr:uid="{69178AEF-DBB5-4704-9D61-C564DE301A62}"/>
    <cellStyle name="20 % - Akzent5 3" xfId="12" xr:uid="{1B16F33B-26B2-433F-B517-3F120357A11F}"/>
    <cellStyle name="20 % - Akzent6 2" xfId="13" xr:uid="{6040011C-58B7-4013-B2DB-487B9E54CBDB}"/>
    <cellStyle name="20 % - Akzent6 3" xfId="14" xr:uid="{6AE1053E-5B30-47D0-8BE6-DCE451067EFF}"/>
    <cellStyle name="40 % - Akzent1 2" xfId="15" xr:uid="{7182A5F2-A9D4-4936-BED7-332120CFD35A}"/>
    <cellStyle name="40 % - Akzent1 3" xfId="16" xr:uid="{C3DBA3AB-A3A2-4ECC-BE0B-4600EC6E5CC3}"/>
    <cellStyle name="40 % - Akzent2 2" xfId="17" xr:uid="{FDD952F2-0B03-42FB-AED0-F622D770F007}"/>
    <cellStyle name="40 % - Akzent2 3" xfId="18" xr:uid="{43DC41E6-AE3D-4BA4-9114-26A8EB8232FE}"/>
    <cellStyle name="40 % - Akzent3 2" xfId="19" xr:uid="{31820F8E-A482-4066-9FB3-4E6355D07D6B}"/>
    <cellStyle name="40 % - Akzent3 3" xfId="20" xr:uid="{2860CA0F-CF5A-427A-98B0-920B280E4E6B}"/>
    <cellStyle name="40 % - Akzent4 2" xfId="21" xr:uid="{C3C8F1DB-1ADF-4FDB-9047-D38B4E4C48BD}"/>
    <cellStyle name="40 % - Akzent4 3" xfId="22" xr:uid="{887E4F80-5ABB-4FC8-9E9B-771B36A37F18}"/>
    <cellStyle name="40 % - Akzent5 2" xfId="23" xr:uid="{2EBC568C-FBA1-4807-91F0-C4F4FB6FE98A}"/>
    <cellStyle name="40 % - Akzent5 3" xfId="24" xr:uid="{CBAD7E3D-924D-4362-8D23-9F4EE3E0B7FB}"/>
    <cellStyle name="40 % - Akzent6 2" xfId="25" xr:uid="{92647425-145E-4BA3-9922-317EF3850E3A}"/>
    <cellStyle name="40 % - Akzent6 3" xfId="26" xr:uid="{75FE077C-D086-46C8-A00A-94EEEC7AEA23}"/>
    <cellStyle name="60 % - Akzent1 2" xfId="27" xr:uid="{FA04B7DD-3C19-4B81-8665-B0F8EFDF0716}"/>
    <cellStyle name="60 % - Akzent1 3" xfId="28" xr:uid="{03BF808A-90E3-4727-AA81-EA984F9E3134}"/>
    <cellStyle name="60 % - Akzent2 2" xfId="29" xr:uid="{6B4CB88F-01C0-4270-A8A4-501A2530A920}"/>
    <cellStyle name="60 % - Akzent2 3" xfId="30" xr:uid="{94C9517A-B484-4D94-AAEF-2FD2D498E25B}"/>
    <cellStyle name="60 % - Akzent3 2" xfId="31" xr:uid="{C3BC3A97-4C77-4857-848E-4908D60580B9}"/>
    <cellStyle name="60 % - Akzent3 3" xfId="32" xr:uid="{CBB62904-C132-454D-ADF1-A1547B837081}"/>
    <cellStyle name="60 % - Akzent4 2" xfId="33" xr:uid="{276F7B5B-2744-4456-A6BF-B1734E645429}"/>
    <cellStyle name="60 % - Akzent4 3" xfId="34" xr:uid="{2445A083-7A1E-4B9B-A329-B01EA487D789}"/>
    <cellStyle name="60 % - Akzent5 2" xfId="35" xr:uid="{C2A87DC2-1769-4B3A-BA73-AD1F4EEB8D41}"/>
    <cellStyle name="60 % - Akzent5 3" xfId="36" xr:uid="{D1888C1D-A198-4188-A981-EA2D4F23EFDD}"/>
    <cellStyle name="60 % - Akzent6 2" xfId="37" xr:uid="{4EC22860-5754-4211-B7D3-8CB7EAC66EAE}"/>
    <cellStyle name="60 % - Akzent6 3" xfId="38" xr:uid="{03A32A26-5102-4B5D-9C6F-43F9181BB29E}"/>
    <cellStyle name="Akzent1 2" xfId="39" xr:uid="{C3A4BD95-70EE-4ABB-9AD8-1B987B255DD6}"/>
    <cellStyle name="Akzent1 3" xfId="40" xr:uid="{56B90D4F-AEFD-48C4-A2F6-E40B7B5D88CC}"/>
    <cellStyle name="Akzent2 2" xfId="41" xr:uid="{6A8794C8-6AC5-420B-95B4-80320B4B5A2B}"/>
    <cellStyle name="Akzent2 3" xfId="42" xr:uid="{108ACD74-A4BE-450E-9C24-3E63590AB69C}"/>
    <cellStyle name="Akzent3 2" xfId="43" xr:uid="{11D65EBC-9376-427A-B0F2-5A324A06A159}"/>
    <cellStyle name="Akzent3 3" xfId="44" xr:uid="{65508E00-2DC1-49A9-B374-3DACA8E9CB01}"/>
    <cellStyle name="Akzent4 2" xfId="45" xr:uid="{0258953A-146F-4B07-A539-E9AFCFCDC92D}"/>
    <cellStyle name="Akzent4 3" xfId="46" xr:uid="{FDFE299F-CF97-4D49-9C7F-D7569719BF9A}"/>
    <cellStyle name="Akzent5 2" xfId="47" xr:uid="{16FE8720-F8F3-4CBC-A818-F9C5E5D0935E}"/>
    <cellStyle name="Akzent5 3" xfId="48" xr:uid="{6F081928-D823-4689-A0FE-518D70790C8D}"/>
    <cellStyle name="Akzent6 2" xfId="49" xr:uid="{45C1BAF8-10EB-4FE3-9144-D6222D976804}"/>
    <cellStyle name="Akzent6 3" xfId="50" xr:uid="{9200D76E-1011-48BD-91A7-63064F775B1A}"/>
    <cellStyle name="Ausgabe 2" xfId="51" xr:uid="{33030DD2-BA05-4143-B7B7-DA351AC7EBD9}"/>
    <cellStyle name="Ausgabe 3" xfId="52" xr:uid="{906C398D-130F-4E9B-8404-FC83F20C0F7B}"/>
    <cellStyle name="Berechnung 2" xfId="53" xr:uid="{54D32263-9EA1-459E-93D9-5B3AFF4D2CA9}"/>
    <cellStyle name="Berechnung 3" xfId="54" xr:uid="{5A4B480F-F967-4F4A-9B98-33C465F315B1}"/>
    <cellStyle name="Comma" xfId="1" builtinId="3"/>
    <cellStyle name="Comma 2" xfId="87" xr:uid="{8FC72017-9151-4AC4-B0BC-688E062D021A}"/>
    <cellStyle name="Currency 2" xfId="233" xr:uid="{B7B19699-4E1D-45E1-A7D5-E8F6E15F0757}"/>
    <cellStyle name="Eingabe 2" xfId="55" xr:uid="{32A207E5-E61F-42B2-802A-803CA5D1C2AA}"/>
    <cellStyle name="Eingabe 3" xfId="56" xr:uid="{DBE938FF-3A95-44C0-9FE6-7DDA2004F733}"/>
    <cellStyle name="Ergebnis 2" xfId="57" xr:uid="{F5EB1EC2-5A02-4597-A670-B3AACEBDA591}"/>
    <cellStyle name="Ergebnis 3" xfId="58" xr:uid="{768F0363-6D9F-41EE-8364-341BD5AF0F2E}"/>
    <cellStyle name="Erklärender Text 2" xfId="59" xr:uid="{BEC28635-2D24-41D8-BB39-4C1EC11721D6}"/>
    <cellStyle name="Erklärender Text 3" xfId="60" xr:uid="{A18E7AC7-A59F-46AE-A51D-4BAE90233338}"/>
    <cellStyle name="Euro" xfId="61" xr:uid="{5E851F02-8594-4002-87D0-48B14503375A}"/>
    <cellStyle name="Euro 2" xfId="62" xr:uid="{ADAEF86D-EC3D-4D8B-A96F-536A2F6136AA}"/>
    <cellStyle name="Euro 2 2" xfId="63" xr:uid="{76516828-10BB-44B9-B9B3-6B31733611FD}"/>
    <cellStyle name="Euro 2 2 2" xfId="64" xr:uid="{67E37172-F651-4DF3-A78B-2735019BF48E}"/>
    <cellStyle name="Euro 2 2 3" xfId="65" xr:uid="{CB542273-B14F-4E3E-A956-FD004244E70A}"/>
    <cellStyle name="Euro 2 2 4" xfId="66" xr:uid="{D8B7D8C8-6D75-415B-A287-9ADE264092FF}"/>
    <cellStyle name="Euro 2 3" xfId="67" xr:uid="{A80CE99C-5331-40A3-8219-CED4DEA1C886}"/>
    <cellStyle name="Euro 2 4" xfId="68" xr:uid="{BACA73CA-0343-449B-A6B5-4B6C82A3452F}"/>
    <cellStyle name="Euro 2 5" xfId="69" xr:uid="{79C87931-AFD5-46F3-8DD3-F6E832C8E262}"/>
    <cellStyle name="Euro 3" xfId="70" xr:uid="{2092CB5A-1609-442D-9231-EF5F76BA3CF6}"/>
    <cellStyle name="Euro 3 2" xfId="71" xr:uid="{22E2B677-ABF9-4493-A498-2E98476E7C6A}"/>
    <cellStyle name="Euro 3 3" xfId="72" xr:uid="{44785FD9-F0C5-4152-AF8E-223E8A108A39}"/>
    <cellStyle name="Euro 3 4" xfId="73" xr:uid="{A206964D-0B8A-4C42-B243-B47168D450BF}"/>
    <cellStyle name="Euro 4" xfId="74" xr:uid="{CAB36C18-6219-470C-833E-9B9BAFA18DE7}"/>
    <cellStyle name="Euro_Lebenshaltungskosten" xfId="75" xr:uid="{B1691C64-E226-4F26-97F8-B5CB3DA5794C}"/>
    <cellStyle name="Excel Built-in Normal" xfId="76" xr:uid="{CE571BE8-1B99-407D-B118-8069C9F5D2A1}"/>
    <cellStyle name="Gut 2" xfId="77" xr:uid="{06A38535-3F1E-4140-9F75-54F57DE106E1}"/>
    <cellStyle name="Gut 3" xfId="78" xr:uid="{4949970D-5CF2-4493-BA15-7B181DA90CF5}"/>
    <cellStyle name="Hyperlink 2" xfId="79" xr:uid="{D5517497-D214-446D-829A-6AFEDA7BBA7A}"/>
    <cellStyle name="Hyperlink 2 2" xfId="80" xr:uid="{C9D46AEB-B2DC-4AE8-92C4-F6CDEF931F20}"/>
    <cellStyle name="Hyperlink 2 3" xfId="81" xr:uid="{C6A5B542-9677-44C8-BF03-C6BE4CCF314F}"/>
    <cellStyle name="Hyperlink 2 4" xfId="82" xr:uid="{31FAE7BF-3A87-484F-A8E6-E3CC33FD8923}"/>
    <cellStyle name="Hyperlink 3" xfId="83" xr:uid="{A5D554A4-1E07-4BD6-8461-0E8AF288B790}"/>
    <cellStyle name="Hyperlink 3 2" xfId="84" xr:uid="{1B3EDCF1-0E02-4BC1-883F-432A6D9CC44D}"/>
    <cellStyle name="Hyperlink 3 3" xfId="85" xr:uid="{4C550328-5DE5-4548-A114-AC25F23A2BA8}"/>
    <cellStyle name="Hyperlink 3 4" xfId="86" xr:uid="{D687F42C-872C-46CF-BD98-A9C0C8540272}"/>
    <cellStyle name="Komma 2" xfId="88" xr:uid="{39F3376B-E22D-47EB-B466-B1695735D364}"/>
    <cellStyle name="Komma 2 2" xfId="89" xr:uid="{B8DD83AE-918F-437C-9987-17627A1D6B37}"/>
    <cellStyle name="Komma 2 2 2" xfId="90" xr:uid="{7FC74BB4-7B1D-4F0E-83B9-8AB844F59A48}"/>
    <cellStyle name="Komma 2 2 3" xfId="91" xr:uid="{A5092795-88BF-46A6-BAC2-5E70006089B8}"/>
    <cellStyle name="Komma 2 2 4" xfId="92" xr:uid="{68BB89FB-2FB8-4FC7-BF91-471CD690DFE5}"/>
    <cellStyle name="Komma 2 3" xfId="93" xr:uid="{3748BDD2-54A5-45C6-A18A-1252DC6A0BC3}"/>
    <cellStyle name="Komma 2 4" xfId="94" xr:uid="{CE8989BD-078B-4856-9AF2-4D0E713496CE}"/>
    <cellStyle name="Komma 2 5" xfId="95" xr:uid="{8896ED72-A3F5-4C0B-B389-2CB763F954B8}"/>
    <cellStyle name="Komma 3" xfId="96" xr:uid="{BFA2B510-619A-42BE-A9B7-181BA26CDD8C}"/>
    <cellStyle name="Komma 3 2" xfId="97" xr:uid="{B3FCBCA7-2DF0-481A-9A85-0E478E52DA8A}"/>
    <cellStyle name="Komma 3 3" xfId="98" xr:uid="{173CA353-0225-4D26-8326-63C663C5B70B}"/>
    <cellStyle name="Komma 3 4" xfId="99" xr:uid="{1163B74D-1464-47AA-BAF9-1F78A09088CF}"/>
    <cellStyle name="Komma 4" xfId="100" xr:uid="{611755A1-284B-45AE-AA4E-EB24FD627591}"/>
    <cellStyle name="Komma 4 2" xfId="101" xr:uid="{86930E45-9943-498F-8CAC-FD6CD85C1C4D}"/>
    <cellStyle name="Komma 4 3" xfId="102" xr:uid="{2CA2708C-F15F-4D61-A611-90329C7AF7CE}"/>
    <cellStyle name="Komma 4 4" xfId="103" xr:uid="{A70F72C5-A247-4105-BD4E-2232CFF7D4A9}"/>
    <cellStyle name="Komma 5" xfId="104" xr:uid="{8F16BA94-DF5C-4E3B-B176-E65DCB47A37F}"/>
    <cellStyle name="Neutral 2" xfId="105" xr:uid="{748762BF-F1CB-4039-9CD2-834A4903CAC2}"/>
    <cellStyle name="Neutral 3" xfId="106" xr:uid="{02A054A2-44CF-404E-8088-4482F974D702}"/>
    <cellStyle name="Normal" xfId="0" builtinId="0"/>
    <cellStyle name="Normal 2" xfId="2" xr:uid="{F7D5DD80-DAC1-4CE1-8B88-27D334C194BA}"/>
    <cellStyle name="Notiz 2" xfId="107" xr:uid="{E8EA91B9-F7F9-4BAC-BF5F-8FFC3F2244A7}"/>
    <cellStyle name="Notiz 2 2" xfId="108" xr:uid="{182A6E34-7AD9-4124-A403-40E2D7ABD77C}"/>
    <cellStyle name="Notiz 2 2 2" xfId="109" xr:uid="{362D0D1E-EF50-4702-952D-FC131502DC31}"/>
    <cellStyle name="Notiz 2 2 3" xfId="110" xr:uid="{8040A56C-15CC-41D6-BEAE-3987D644FA02}"/>
    <cellStyle name="Notiz 2 2 4" xfId="111" xr:uid="{7EBAE5ED-DCAD-48F1-921D-6CAD22CDE92F}"/>
    <cellStyle name="Notiz 2 3" xfId="112" xr:uid="{B583E2A8-0C77-4C06-A10F-8176CA14DF2E}"/>
    <cellStyle name="Notiz 2 4" xfId="113" xr:uid="{61007A51-68B3-450D-8484-E7CD15A37500}"/>
    <cellStyle name="Notiz 2 5" xfId="114" xr:uid="{3856DE2C-1DFC-4E64-91B9-8871B1049DCD}"/>
    <cellStyle name="Notiz 3" xfId="115" xr:uid="{68733F84-12FE-4B6E-9089-77DCD5ADEB7F}"/>
    <cellStyle name="Notiz 3 2" xfId="116" xr:uid="{CEA86B04-244A-4E5F-9F7E-B6631A2029C2}"/>
    <cellStyle name="Notiz 3 3" xfId="117" xr:uid="{ED8C1AF6-CC99-4AF0-860F-7EDB847BC330}"/>
    <cellStyle name="Notiz 3 4" xfId="118" xr:uid="{E116D0DF-D2FC-46BC-B9C7-BF7A206EE862}"/>
    <cellStyle name="Notiz 4" xfId="119" xr:uid="{AA1DA0D1-A118-45A6-98FA-CF9BBA333764}"/>
    <cellStyle name="Notiz 4 2" xfId="120" xr:uid="{FD413D3E-3EFC-4E84-B461-9CA8678E4AB9}"/>
    <cellStyle name="Notiz 4 3" xfId="121" xr:uid="{DBD05094-D8A9-41C6-9898-FFF27195420D}"/>
    <cellStyle name="Notiz 4 4" xfId="122" xr:uid="{ED19A039-6877-4723-9938-DC93EF5A2591}"/>
    <cellStyle name="Notiz 5" xfId="123" xr:uid="{9D1EB572-A497-4507-BD12-B535A3A6CAD0}"/>
    <cellStyle name="Percent" xfId="254" builtinId="5"/>
    <cellStyle name="Percent 2" xfId="124" xr:uid="{64B00846-2445-4AAA-8DC0-BCDED346F101}"/>
    <cellStyle name="Prozent 2" xfId="125" xr:uid="{F5B2398D-526A-47FC-852E-37AE825ECED5}"/>
    <cellStyle name="Prozent 2 2" xfId="126" xr:uid="{3D91B360-6CD6-46F9-9D8E-33B9D550B2E4}"/>
    <cellStyle name="Prozent 2 2 2" xfId="127" xr:uid="{7A210BE6-DE42-4C64-94E3-ECCE5E4727F0}"/>
    <cellStyle name="Prozent 2 2 3" xfId="128" xr:uid="{D28DBE06-603F-4E7B-AD09-992E546563F0}"/>
    <cellStyle name="Prozent 2 2 4" xfId="129" xr:uid="{236B6CEC-D755-4AE8-9DCC-604D125E0A66}"/>
    <cellStyle name="Prozent 2 3" xfId="130" xr:uid="{5F22F174-FB79-4EE2-952F-92D3F0A8AFE2}"/>
    <cellStyle name="Prozent 2 4" xfId="131" xr:uid="{B57E89FF-BD36-4DBA-971C-ACDBB5C9ED86}"/>
    <cellStyle name="Prozent 2 5" xfId="132" xr:uid="{A24C0D63-43C5-406D-8EC2-7DF2A83805AD}"/>
    <cellStyle name="Prozent 3" xfId="133" xr:uid="{08EE156B-1655-4364-A15A-3165E94758B6}"/>
    <cellStyle name="Prozent 3 2" xfId="134" xr:uid="{6D6CFC2A-CE9E-459D-B661-E818FD217E20}"/>
    <cellStyle name="Prozent 3 3" xfId="135" xr:uid="{C18E1818-7CB9-4E27-BAF1-A68F32C6C4ED}"/>
    <cellStyle name="Prozent 3 4" xfId="136" xr:uid="{46110C3D-181D-433E-9A70-30D1A3507281}"/>
    <cellStyle name="Prozent 4" xfId="137" xr:uid="{C35124E4-848D-4E5C-9907-9960969D7248}"/>
    <cellStyle name="Prozent 4 2" xfId="138" xr:uid="{D1212E5F-C527-4D8F-A11E-0A3995946514}"/>
    <cellStyle name="Prozent 4 3" xfId="139" xr:uid="{599CDD3A-9135-4E90-8AEF-99C056BC8914}"/>
    <cellStyle name="Prozent 4 4" xfId="140" xr:uid="{29ECAE50-8602-4A8D-80AA-F9C8B68AB557}"/>
    <cellStyle name="Schlecht 2" xfId="141" xr:uid="{E8C8B791-61C9-4F1B-BFC1-1ECEC24DD018}"/>
    <cellStyle name="Schlecht 3" xfId="142" xr:uid="{2555D641-C328-4DC4-B046-3BDFE430CA16}"/>
    <cellStyle name="Standard 2" xfId="143" xr:uid="{93404C73-5200-41D8-AC9E-BEDBCC8C247C}"/>
    <cellStyle name="Standard 2 2" xfId="144" xr:uid="{FBAA0408-C39E-4A00-B873-A36969AFDF77}"/>
    <cellStyle name="Standard 2 3" xfId="145" xr:uid="{CA6E3983-B606-41B0-B56E-7865DCDBA22C}"/>
    <cellStyle name="Standard 2 4" xfId="146" xr:uid="{51CEACE0-B373-4BA4-94B7-FBDC2B9EC76A}"/>
    <cellStyle name="Standard 3" xfId="147" xr:uid="{5265BB8C-9FA6-4714-9517-AF92DBE373CA}"/>
    <cellStyle name="Standard 3 2" xfId="148" xr:uid="{4B9F79CB-AF04-448B-9F71-D9AA3055D041}"/>
    <cellStyle name="Standard 3 3" xfId="149" xr:uid="{312DC678-D592-4A1B-B91A-1B13AAF71EEC}"/>
    <cellStyle name="Standard 3 4" xfId="150" xr:uid="{46179CB2-D5F9-499F-9FF9-CD075EDA81B5}"/>
    <cellStyle name="Standard 4" xfId="151" xr:uid="{5C09F575-92F2-450F-8A84-2CFC8DA44D9C}"/>
    <cellStyle name="Standard 4 2" xfId="152" xr:uid="{D6998F38-AC0C-4F48-B91F-410F6EAEE3FA}"/>
    <cellStyle name="Standard 4 2 2" xfId="153" xr:uid="{EB7BFE1F-43CA-4B90-A299-E8A79C436131}"/>
    <cellStyle name="Standard 4 2 2 2" xfId="154" xr:uid="{F682A728-D63D-4A19-B454-A1429C86F71E}"/>
    <cellStyle name="Standard 4 2 2 2 2" xfId="155" xr:uid="{8589A85D-4631-4161-A842-271F3EBA51AE}"/>
    <cellStyle name="Standard 4 2 2 2 2 2" xfId="156" xr:uid="{167B8A43-81A5-4589-AC1F-3D9E20951DA4}"/>
    <cellStyle name="Standard 4 2 2 2 3" xfId="157" xr:uid="{320DD467-9E88-41AC-94E1-C1683614D033}"/>
    <cellStyle name="Standard 4 2 2 2 3 2" xfId="158" xr:uid="{55078F3D-4A59-4AF3-989C-4EA7E6D911D4}"/>
    <cellStyle name="Standard 4 2 2 2 4" xfId="159" xr:uid="{6CFA82F1-D9A4-4335-8ADA-BFFE78B76BF0}"/>
    <cellStyle name="Standard 4 2 2 2 4 2" xfId="160" xr:uid="{0E82697F-CC09-4DB9-9FF0-58C45C406AF2}"/>
    <cellStyle name="Standard 4 2 2 2 5" xfId="161" xr:uid="{3469C008-4B8F-4233-BCDC-358F781C6488}"/>
    <cellStyle name="Standard 4 2 2 3" xfId="162" xr:uid="{AB820A05-CF60-419D-A952-7EE67E9BB1E7}"/>
    <cellStyle name="Standard 4 2 2 3 2" xfId="163" xr:uid="{48686C65-728D-4875-83E9-09AB8FFB01E9}"/>
    <cellStyle name="Standard 4 2 2 4" xfId="164" xr:uid="{C2A963F7-B765-4773-A6FE-73263D3719C5}"/>
    <cellStyle name="Standard 4 2 2 4 2" xfId="165" xr:uid="{903896BC-6D44-4B2E-9E39-97B92127C874}"/>
    <cellStyle name="Standard 4 2 2 5" xfId="166" xr:uid="{FD1E8E02-2F69-47EC-9525-2C85FDA7083B}"/>
    <cellStyle name="Standard 4 2 2 5 2" xfId="167" xr:uid="{C3CF0DB5-4350-4FDE-A1B6-7BA96A176602}"/>
    <cellStyle name="Standard 4 2 2 6" xfId="168" xr:uid="{01259991-3024-4045-BAA9-D7C4E73DF788}"/>
    <cellStyle name="Standard 4 2 3" xfId="169" xr:uid="{4C36CFBF-600E-433B-ABC2-4C1E79F95453}"/>
    <cellStyle name="Standard 4 2 3 2" xfId="170" xr:uid="{155EC9C9-FAC2-4F0A-803B-81604DDDD64A}"/>
    <cellStyle name="Standard 4 2 3 2 2" xfId="171" xr:uid="{A0B3C705-A792-4F96-A0B5-91A71010A98F}"/>
    <cellStyle name="Standard 4 2 3 3" xfId="172" xr:uid="{DAA28107-C94E-4B64-B034-5DAE3955EAD9}"/>
    <cellStyle name="Standard 4 2 3 3 2" xfId="173" xr:uid="{3AAE66A9-1B06-47DE-9349-CB65D8D39D30}"/>
    <cellStyle name="Standard 4 2 3 4" xfId="174" xr:uid="{ED493425-B1E5-4E81-96C1-F44D539BDE68}"/>
    <cellStyle name="Standard 4 2 3 4 2" xfId="175" xr:uid="{75A5B02B-085B-4CE7-9012-D1AA0BE9C5BD}"/>
    <cellStyle name="Standard 4 2 3 5" xfId="176" xr:uid="{06C5D69A-4A01-4905-9908-907F73C2992F}"/>
    <cellStyle name="Standard 4 2 4" xfId="177" xr:uid="{F09698A0-2ACC-4BCC-8222-050FFD8DDE17}"/>
    <cellStyle name="Standard 4 2 4 2" xfId="178" xr:uid="{BC50F9BD-0A07-462D-9043-112B166DD874}"/>
    <cellStyle name="Standard 4 2 5" xfId="179" xr:uid="{E8795FF2-FEEA-4403-BD1B-B2D0D8AF5B8B}"/>
    <cellStyle name="Standard 4 2 5 2" xfId="180" xr:uid="{60983BB3-0449-437E-9DD4-5119B5C9A94A}"/>
    <cellStyle name="Standard 4 2 6" xfId="181" xr:uid="{80CD9ED3-A292-4EA3-AFB5-C7593B3B3663}"/>
    <cellStyle name="Standard 4 2 6 2" xfId="182" xr:uid="{EEC0F3D4-C992-4BC8-9719-1CF6D31E042E}"/>
    <cellStyle name="Standard 4 2 7" xfId="183" xr:uid="{7FD81268-8D6D-42C0-8C2A-5F95C4E65FFD}"/>
    <cellStyle name="Standard 4 3" xfId="184" xr:uid="{3C985DC6-16DC-449B-956A-0E9C3838482A}"/>
    <cellStyle name="Standard 4 3 2" xfId="185" xr:uid="{4266940E-DE99-45BC-B741-55781B502E33}"/>
    <cellStyle name="Standard 4 3 2 2" xfId="186" xr:uid="{A7CFA220-0AB2-4A97-BF4C-08F65B29831B}"/>
    <cellStyle name="Standard 4 3 2 2 2" xfId="187" xr:uid="{F4137C4B-0AC5-4C9D-92BA-8DC3250E11A1}"/>
    <cellStyle name="Standard 4 3 2 3" xfId="188" xr:uid="{BA09687D-8B5B-448B-9FA8-D04B9B460B4F}"/>
    <cellStyle name="Standard 4 3 2 3 2" xfId="189" xr:uid="{9C58F43F-5281-4899-B512-DB037ECFEC20}"/>
    <cellStyle name="Standard 4 3 2 4" xfId="190" xr:uid="{BE71893E-B0B7-4160-8658-91D798F0AAEA}"/>
    <cellStyle name="Standard 4 3 2 4 2" xfId="191" xr:uid="{39564CC7-A2AE-40C6-854D-DD9B46833325}"/>
    <cellStyle name="Standard 4 3 2 5" xfId="192" xr:uid="{1AD803AC-32B3-4CF3-BD68-26DA419EFBEB}"/>
    <cellStyle name="Standard 4 3 3" xfId="193" xr:uid="{C608BCD5-403C-4156-8496-32EBEABD5818}"/>
    <cellStyle name="Standard 4 3 3 2" xfId="194" xr:uid="{E9DF2E5A-89A4-4FA1-A744-DB1348B31978}"/>
    <cellStyle name="Standard 4 3 4" xfId="195" xr:uid="{EB2DA964-E0F9-4143-8FF0-7370995AF8A7}"/>
    <cellStyle name="Standard 4 3 4 2" xfId="196" xr:uid="{238CD45A-6EBC-4E16-9993-77E79754FD41}"/>
    <cellStyle name="Standard 4 3 5" xfId="197" xr:uid="{C71081D2-5A0E-4E1B-B999-C36B57EDB3B0}"/>
    <cellStyle name="Standard 4 3 5 2" xfId="198" xr:uid="{D8B5A5B9-61A4-403F-8926-5634A6E1AFBB}"/>
    <cellStyle name="Standard 4 3 6" xfId="199" xr:uid="{46E2231F-D343-4F94-90C7-FF9C527224E6}"/>
    <cellStyle name="Standard 4 4" xfId="200" xr:uid="{7CE410E4-7149-4581-A3AC-E95CE752C929}"/>
    <cellStyle name="Standard 4 4 2" xfId="201" xr:uid="{862D123E-EDA0-4BB9-A9CE-5D27EAEB77B0}"/>
    <cellStyle name="Standard 4 4 2 2" xfId="202" xr:uid="{DDE6F1F4-656F-4711-92C0-7CDD885FCEF0}"/>
    <cellStyle name="Standard 4 4 3" xfId="203" xr:uid="{2AB61D74-B328-4D58-B790-30273C837EDF}"/>
    <cellStyle name="Standard 4 4 3 2" xfId="204" xr:uid="{EB2BAFB5-AF86-45EA-8F90-E55E38F64A86}"/>
    <cellStyle name="Standard 4 4 4" xfId="205" xr:uid="{1827924D-B663-4D9C-A22C-08B239908DF9}"/>
    <cellStyle name="Standard 4 4 4 2" xfId="206" xr:uid="{AC027D3D-9E62-40C4-8C09-040264707337}"/>
    <cellStyle name="Standard 4 4 5" xfId="207" xr:uid="{03E14784-F834-4817-9763-3B57C0E7001F}"/>
    <cellStyle name="Standard 4 5" xfId="208" xr:uid="{31891C57-8A8A-4719-A551-8047355BE329}"/>
    <cellStyle name="Standard 4 5 2" xfId="209" xr:uid="{F06CCED0-9A67-4F58-B793-D19D35F4E595}"/>
    <cellStyle name="Standard 4 6" xfId="210" xr:uid="{AEC7DDFA-3A10-4A4E-93A5-2D5926B1E008}"/>
    <cellStyle name="Standard 4 6 2" xfId="211" xr:uid="{869AA244-F8DD-4D0B-A490-79A24C2E6614}"/>
    <cellStyle name="Standard 4 7" xfId="212" xr:uid="{2286EFC8-57E8-4243-AA9D-8E8BDF08EB66}"/>
    <cellStyle name="Standard 4 7 2" xfId="213" xr:uid="{FEA1894E-35B1-4FD3-910C-82A1756939CB}"/>
    <cellStyle name="Standard 4 8" xfId="214" xr:uid="{7F658B7C-CA46-4096-A236-C8761D0C3C29}"/>
    <cellStyle name="Standard 5" xfId="215" xr:uid="{A9AEABF4-D94A-4A8C-976C-2C164BCD09EE}"/>
    <cellStyle name="Standard 5 2" xfId="216" xr:uid="{3ACBC404-AFDD-45D0-ABED-D8DFE381E7B1}"/>
    <cellStyle name="Standard 5 3" xfId="217" xr:uid="{A4F8B8A1-9BFE-4B1D-811E-A0B8241DA73B}"/>
    <cellStyle name="Standard 5 4" xfId="218" xr:uid="{64D169C7-A3E2-48D5-A026-63B3A342F0C6}"/>
    <cellStyle name="Standard 6" xfId="219" xr:uid="{20C6E809-F894-4807-B6E0-9F7E70D09366}"/>
    <cellStyle name="Standard 7" xfId="220" xr:uid="{EAA24B3B-689A-4200-A33A-B41BBB21666B}"/>
    <cellStyle name="Überschrift 1 2" xfId="221" xr:uid="{9AF4178C-A53E-4CFE-8976-F956D75BACB6}"/>
    <cellStyle name="Überschrift 1 3" xfId="222" xr:uid="{4F2E94D4-9EE8-4C37-87EE-E56A41FB3692}"/>
    <cellStyle name="Überschrift 2 2" xfId="223" xr:uid="{B7A11339-BA82-401A-B2B0-16678AD44A74}"/>
    <cellStyle name="Überschrift 2 3" xfId="224" xr:uid="{F874DE47-2327-4E99-88E5-8856F62EE72D}"/>
    <cellStyle name="Überschrift 3 2" xfId="225" xr:uid="{4141F215-B14A-46B0-8B5D-06F438D22AF9}"/>
    <cellStyle name="Überschrift 3 3" xfId="226" xr:uid="{4DDC382E-2246-4A77-AEDE-674E1F34C118}"/>
    <cellStyle name="Überschrift 4 2" xfId="227" xr:uid="{5800C57E-6EF1-4590-94C9-835BF129CD47}"/>
    <cellStyle name="Überschrift 4 3" xfId="228" xr:uid="{36EB4DEE-C1A7-463C-AB04-7ED00FA3FCF2}"/>
    <cellStyle name="Überschrift 5" xfId="229" xr:uid="{49166D60-D193-40B6-BF13-3C3018E233EB}"/>
    <cellStyle name="Überschrift 6" xfId="230" xr:uid="{29EC029D-8025-4DBE-BE91-FC7DEFC1E282}"/>
    <cellStyle name="Verknüpfte Zelle 2" xfId="231" xr:uid="{9B96A897-A959-4B1A-BA20-9C3DFB24309E}"/>
    <cellStyle name="Verknüpfte Zelle 3" xfId="232" xr:uid="{39847A09-5383-4096-9372-AD7875EBB525}"/>
    <cellStyle name="Währung 2" xfId="234" xr:uid="{E1456E5B-CCB6-4AB3-BAAF-D4FAC171B9FF}"/>
    <cellStyle name="Währung 2 2" xfId="235" xr:uid="{C72FC486-5B25-4499-A79C-C400F1C263B6}"/>
    <cellStyle name="Währung 2 2 2" xfId="236" xr:uid="{0E84E68D-6788-4952-8E7B-86AC40342E15}"/>
    <cellStyle name="Währung 2 2 3" xfId="237" xr:uid="{B616DC21-BEA0-48CF-BC42-6011D68958B4}"/>
    <cellStyle name="Währung 2 2 4" xfId="238" xr:uid="{2173E465-2E7A-45FF-AF82-CAC058D13BBA}"/>
    <cellStyle name="Währung 2 3" xfId="239" xr:uid="{10C37068-C6A9-4338-85AE-939B76F8E487}"/>
    <cellStyle name="Währung 2 4" xfId="240" xr:uid="{880892C1-B939-4392-832E-9494E542EAF3}"/>
    <cellStyle name="Währung 2 5" xfId="241" xr:uid="{A79C5344-5BD4-4340-8464-78B041C38602}"/>
    <cellStyle name="Währung 3" xfId="242" xr:uid="{0D45F79D-059E-4047-B3CF-15CC4A3E12E0}"/>
    <cellStyle name="Währung 3 2" xfId="243" xr:uid="{306BD635-FD4A-4CF6-B8D0-2D9C7DF79919}"/>
    <cellStyle name="Währung 3 3" xfId="244" xr:uid="{0F80868F-EDB5-41CF-BF89-A49307F4AEFB}"/>
    <cellStyle name="Währung 3 4" xfId="245" xr:uid="{A0464292-0C6C-47D6-B86F-569E0A3FEA1F}"/>
    <cellStyle name="Währung 4" xfId="246" xr:uid="{DA023F58-F733-4BCD-96B0-B4C2A685615C}"/>
    <cellStyle name="Währung 4 2" xfId="247" xr:uid="{0EAB240A-E7E0-40F0-8CA8-2A1B6921C4F5}"/>
    <cellStyle name="Währung 4 3" xfId="248" xr:uid="{F2E2BB75-F5F2-4B09-A0DB-1A6FE91C69E9}"/>
    <cellStyle name="Währung 4 4" xfId="249" xr:uid="{0D27A764-C858-4A4E-943E-EF54EAFB8A3A}"/>
    <cellStyle name="Warnender Text 2" xfId="250" xr:uid="{FE5C21F6-480E-493B-973C-92B603C85A46}"/>
    <cellStyle name="Warnender Text 3" xfId="251" xr:uid="{2730EFAB-6E5C-41AE-8AD4-35975A062999}"/>
    <cellStyle name="Zelle überprüfen 2" xfId="252" xr:uid="{E82AF818-09D6-4E0B-8FC7-DB54299879DF}"/>
    <cellStyle name="Zelle überprüfen 3" xfId="253" xr:uid="{181C3FCB-159A-4552-9ABA-DB1F4FCBDE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B5-4F5F-B79C-E08F77B27598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55-4A1F-8A45-14117EA9A6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Helper_BP!$B$3:$B$4</c:f>
              <c:strCache>
                <c:ptCount val="2"/>
                <c:pt idx="0">
                  <c:v>Eigenkapital</c:v>
                </c:pt>
                <c:pt idx="1">
                  <c:v>Gründerzuschuss</c:v>
                </c:pt>
              </c:strCache>
            </c:strRef>
          </c:cat>
          <c:val>
            <c:numRef>
              <c:f>Helper_BP!$C$3:$C$4</c:f>
              <c:numCache>
                <c:formatCode>0%</c:formatCode>
                <c:ptCount val="2"/>
                <c:pt idx="0">
                  <c:v>0.91017808691615265</c:v>
                </c:pt>
                <c:pt idx="1">
                  <c:v>8.9821913083847377E-2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A1F-8A45-14117EA9A6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34358880815573E-2"/>
          <c:y val="0.7620591490840708"/>
          <c:w val="0.94931282238368853"/>
          <c:h val="0.21192459519457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54629994167395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0E-4C8A-8B57-1A1EFC999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Helper_BP!$B$19:$B$22</c:f>
              <c:strCache>
                <c:ptCount val="4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</c:strCache>
            </c:strRef>
          </c:cat>
          <c:val>
            <c:numRef>
              <c:f>Helper_BP!$C$19:$C$22</c:f>
              <c:numCache>
                <c:formatCode>#,##0</c:formatCode>
                <c:ptCount val="4"/>
                <c:pt idx="0">
                  <c:v>-20.039653334033616</c:v>
                </c:pt>
                <c:pt idx="1">
                  <c:v>33.959579134831934</c:v>
                </c:pt>
                <c:pt idx="2">
                  <c:v>93.847933562972813</c:v>
                </c:pt>
                <c:pt idx="3">
                  <c:v>273.16845962037922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4-408A-A294-71A6F18F03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0795616"/>
        <c:axId val="930796864"/>
      </c:barChart>
      <c:catAx>
        <c:axId val="9307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96864"/>
        <c:crosses val="autoZero"/>
        <c:auto val="1"/>
        <c:lblAlgn val="ctr"/>
        <c:lblOffset val="100"/>
        <c:noMultiLvlLbl val="0"/>
      </c:catAx>
      <c:valAx>
        <c:axId val="9307968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Über- /</a:t>
                </a:r>
                <a:r>
                  <a:rPr lang="en-US" sz="1400" baseline="0"/>
                  <a:t> Unter</a:t>
                </a:r>
                <a:r>
                  <a:rPr lang="en-US" sz="1400"/>
                  <a:t>deckung </a:t>
                </a:r>
              </a:p>
              <a:p>
                <a:pPr>
                  <a:defRPr sz="1400"/>
                </a:pPr>
                <a:r>
                  <a:rPr lang="en-US" sz="1400"/>
                  <a:t>in 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9307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166687</xdr:rowOff>
    </xdr:from>
    <xdr:to>
      <xdr:col>7</xdr:col>
      <xdr:colOff>247650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C3357-47D3-605B-8025-A52B30BF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16</xdr:row>
      <xdr:rowOff>33337</xdr:rowOff>
    </xdr:from>
    <xdr:to>
      <xdr:col>10</xdr:col>
      <xdr:colOff>104775</xdr:colOff>
      <xdr:row>30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9910C-0FEE-BA44-15C8-FECE0767C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1"/>
  <sheetViews>
    <sheetView showGridLines="0" tabSelected="1" workbookViewId="0">
      <selection activeCell="J27" sqref="J27"/>
    </sheetView>
  </sheetViews>
  <sheetFormatPr defaultRowHeight="15" outlineLevelCol="1" x14ac:dyDescent="0.25"/>
  <cols>
    <col min="1" max="1" width="2.140625" customWidth="1"/>
    <col min="2" max="2" width="39.140625" bestFit="1" customWidth="1"/>
    <col min="3" max="3" width="1.7109375" customWidth="1"/>
    <col min="4" max="9" width="9.140625" customWidth="1" outlineLevel="1"/>
    <col min="11" max="22" width="9.140625" customWidth="1" outlineLevel="1"/>
  </cols>
  <sheetData>
    <row r="2" spans="2:25" x14ac:dyDescent="0.25">
      <c r="B2" s="4" t="s">
        <v>146</v>
      </c>
      <c r="D2" s="27">
        <v>7.23</v>
      </c>
      <c r="E2" s="27">
        <v>8.23</v>
      </c>
      <c r="F2" s="27">
        <v>9.23</v>
      </c>
      <c r="G2" s="27">
        <v>10.23</v>
      </c>
      <c r="H2" s="27">
        <v>11.23</v>
      </c>
      <c r="I2" s="27">
        <v>12.23</v>
      </c>
      <c r="J2" s="28" t="s">
        <v>34</v>
      </c>
      <c r="K2" s="27">
        <v>1.24</v>
      </c>
      <c r="L2" s="27">
        <v>2.2400000000000002</v>
      </c>
      <c r="M2" s="27">
        <v>3.24</v>
      </c>
      <c r="N2" s="27">
        <v>4.24</v>
      </c>
      <c r="O2" s="27">
        <v>5.24</v>
      </c>
      <c r="P2" s="27">
        <v>6.24</v>
      </c>
      <c r="Q2" s="27">
        <v>7.24</v>
      </c>
      <c r="R2" s="27">
        <v>8.24</v>
      </c>
      <c r="S2" s="27">
        <v>9.24</v>
      </c>
      <c r="T2" s="27">
        <v>10.24</v>
      </c>
      <c r="U2" s="27">
        <v>11.24</v>
      </c>
      <c r="V2" s="27">
        <v>12.24</v>
      </c>
      <c r="W2" s="27">
        <v>2024</v>
      </c>
      <c r="X2" s="27">
        <v>2025</v>
      </c>
      <c r="Y2" s="27">
        <v>2026</v>
      </c>
    </row>
    <row r="3" spans="2:25" x14ac:dyDescent="0.25">
      <c r="B3" s="4" t="s">
        <v>111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5" spans="2:25" x14ac:dyDescent="0.25">
      <c r="B5" s="5" t="s">
        <v>60</v>
      </c>
      <c r="D5" s="14">
        <f t="shared" ref="D5:Y5" si="0">+SUM(D6:D7)</f>
        <v>0.20625000000000002</v>
      </c>
      <c r="E5" s="14">
        <f t="shared" si="0"/>
        <v>0.41250000000000003</v>
      </c>
      <c r="F5" s="14">
        <f t="shared" si="0"/>
        <v>1.2375</v>
      </c>
      <c r="G5" s="14">
        <f t="shared" si="0"/>
        <v>2.0625</v>
      </c>
      <c r="H5" s="14">
        <f t="shared" si="0"/>
        <v>2.0625</v>
      </c>
      <c r="I5" s="14">
        <f t="shared" si="0"/>
        <v>2.0625</v>
      </c>
      <c r="J5" s="14">
        <f t="shared" si="0"/>
        <v>8.0437499999999993</v>
      </c>
      <c r="K5" s="14">
        <f t="shared" si="0"/>
        <v>5.7552000000000003</v>
      </c>
      <c r="L5" s="14">
        <f t="shared" si="0"/>
        <v>5.7552000000000003</v>
      </c>
      <c r="M5" s="14">
        <f t="shared" si="0"/>
        <v>5.7552000000000003</v>
      </c>
      <c r="N5" s="14">
        <f t="shared" si="0"/>
        <v>12.206588888888886</v>
      </c>
      <c r="O5" s="14">
        <f t="shared" si="0"/>
        <v>14.390616666666665</v>
      </c>
      <c r="P5" s="14">
        <f t="shared" si="0"/>
        <v>16.574644444444445</v>
      </c>
      <c r="Q5" s="14">
        <f t="shared" si="0"/>
        <v>17.807955555555555</v>
      </c>
      <c r="R5" s="14">
        <f t="shared" si="0"/>
        <v>17.807955555555555</v>
      </c>
      <c r="S5" s="14">
        <f t="shared" si="0"/>
        <v>17.807955555555555</v>
      </c>
      <c r="T5" s="14">
        <f t="shared" si="0"/>
        <v>17.807955555555555</v>
      </c>
      <c r="U5" s="14">
        <f t="shared" si="0"/>
        <v>18.167655555555555</v>
      </c>
      <c r="V5" s="14">
        <f t="shared" si="0"/>
        <v>19.47807222222222</v>
      </c>
      <c r="W5" s="14">
        <f t="shared" si="0"/>
        <v>169.315</v>
      </c>
      <c r="X5" s="14">
        <f t="shared" si="0"/>
        <v>727.31999999999994</v>
      </c>
      <c r="Y5" s="14">
        <f t="shared" si="0"/>
        <v>1609.6500000000003</v>
      </c>
    </row>
    <row r="6" spans="2:25" x14ac:dyDescent="0.25">
      <c r="B6" s="9" t="s">
        <v>94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f t="shared" ref="J6:J7" si="1">+SUM(D6:I6)</f>
        <v>0</v>
      </c>
      <c r="K6" s="15">
        <v>0</v>
      </c>
      <c r="L6" s="15">
        <v>0</v>
      </c>
      <c r="M6" s="15">
        <v>0</v>
      </c>
      <c r="N6" s="15">
        <f>+Umsatz!$E$9/9+(Umsatz!$E$5-Umsatz!$E$9)/9*0.5</f>
        <v>6.4513888888888857</v>
      </c>
      <c r="O6" s="15">
        <f>+Umsatz!$E$9/9+(Umsatz!$E$5-Umsatz!$E$9)/9*0.75</f>
        <v>8.6354166666666643</v>
      </c>
      <c r="P6" s="15">
        <f>+Umsatz!$E$9/9+(Umsatz!$E$5-Umsatz!$E$9)/9*1</f>
        <v>10.819444444444443</v>
      </c>
      <c r="Q6" s="15">
        <f>+Umsatz!$E$9/9+(Umsatz!$E$5-Umsatz!$E$9)/9*1.1</f>
        <v>11.693055555555555</v>
      </c>
      <c r="R6" s="15">
        <f>+Umsatz!$E$9/9+(Umsatz!$E$5-Umsatz!$E$9)/9*1.1</f>
        <v>11.693055555555555</v>
      </c>
      <c r="S6" s="15">
        <f>+Umsatz!$E$9/9+(Umsatz!$E$5-Umsatz!$E$9)/9*1.1</f>
        <v>11.693055555555555</v>
      </c>
      <c r="T6" s="15">
        <f>+Umsatz!$E$9/9+(Umsatz!$E$5-Umsatz!$E$9)/9*1.1</f>
        <v>11.693055555555555</v>
      </c>
      <c r="U6" s="15">
        <f>+Umsatz!$E$9/9+(Umsatz!$E$5-Umsatz!$E$9)/9*1.1</f>
        <v>11.693055555555555</v>
      </c>
      <c r="V6" s="15">
        <f>+Umsatz!$E$9/9+(Umsatz!$E$5-Umsatz!$E$9)/9*1.25</f>
        <v>13.003472222222221</v>
      </c>
      <c r="W6" s="15">
        <f>+SUM(K6:V6)</f>
        <v>97.375</v>
      </c>
      <c r="X6" s="15">
        <f>+Umsatz!F5</f>
        <v>532.5</v>
      </c>
      <c r="Y6" s="15">
        <f>+Umsatz!G5</f>
        <v>1293.7500000000002</v>
      </c>
    </row>
    <row r="7" spans="2:25" x14ac:dyDescent="0.25">
      <c r="B7" s="9" t="s">
        <v>93</v>
      </c>
      <c r="D7" s="15">
        <f>+Umsatz!$D$14*0.025</f>
        <v>0.20625000000000002</v>
      </c>
      <c r="E7" s="15">
        <f>+Umsatz!$D$14*0.05</f>
        <v>0.41250000000000003</v>
      </c>
      <c r="F7" s="15">
        <f>+Umsatz!$D$14*0.15</f>
        <v>1.2375</v>
      </c>
      <c r="G7" s="15">
        <f>+Umsatz!$D$14*0.25</f>
        <v>2.0625</v>
      </c>
      <c r="H7" s="15">
        <f>+Umsatz!$D$14*0.25</f>
        <v>2.0625</v>
      </c>
      <c r="I7" s="15">
        <f>+Umsatz!$D$14*0.25</f>
        <v>2.0625</v>
      </c>
      <c r="J7" s="15">
        <f t="shared" si="1"/>
        <v>8.0437499999999993</v>
      </c>
      <c r="K7" s="15">
        <f>+Umsatz!$E$14*0.08</f>
        <v>5.7552000000000003</v>
      </c>
      <c r="L7" s="15">
        <f>+Umsatz!$E$14*0.08</f>
        <v>5.7552000000000003</v>
      </c>
      <c r="M7" s="15">
        <f>+Umsatz!$E$14*0.08</f>
        <v>5.7552000000000003</v>
      </c>
      <c r="N7" s="15">
        <f>+Umsatz!$E$14*0.08</f>
        <v>5.7552000000000003</v>
      </c>
      <c r="O7" s="15">
        <f>+Umsatz!$E$14*0.08</f>
        <v>5.7552000000000003</v>
      </c>
      <c r="P7" s="15">
        <f>+Umsatz!$E$14*0.08</f>
        <v>5.7552000000000003</v>
      </c>
      <c r="Q7" s="15">
        <f>+Umsatz!$E$14*0.085</f>
        <v>6.1149000000000004</v>
      </c>
      <c r="R7" s="15">
        <f>+Umsatz!$E$14*0.085</f>
        <v>6.1149000000000004</v>
      </c>
      <c r="S7" s="15">
        <f>+Umsatz!$E$14*0.085</f>
        <v>6.1149000000000004</v>
      </c>
      <c r="T7" s="15">
        <f>+Umsatz!$E$14*0.085</f>
        <v>6.1149000000000004</v>
      </c>
      <c r="U7" s="15">
        <f>+Umsatz!$E$14*0.09</f>
        <v>6.4745999999999997</v>
      </c>
      <c r="V7" s="15">
        <f>+Umsatz!$E$14*0.09</f>
        <v>6.4745999999999997</v>
      </c>
      <c r="W7" s="15">
        <f>+SUM(K7:V7)</f>
        <v>71.94</v>
      </c>
      <c r="X7" s="15">
        <f>+Umsatz!F14</f>
        <v>194.82</v>
      </c>
      <c r="Y7" s="15">
        <f>+Umsatz!G14</f>
        <v>315.90000000000003</v>
      </c>
    </row>
    <row r="8" spans="2:25" x14ac:dyDescent="0.25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2:25" x14ac:dyDescent="0.25">
      <c r="B9" s="9" t="s">
        <v>61</v>
      </c>
      <c r="D9" s="15">
        <f>-0.119/1.19</f>
        <v>-0.1</v>
      </c>
      <c r="E9" s="15">
        <f>+D9*1</f>
        <v>-0.1</v>
      </c>
      <c r="F9" s="15">
        <f t="shared" ref="F9:I9" si="2">+E9*1</f>
        <v>-0.1</v>
      </c>
      <c r="G9" s="15">
        <f>-0.249/1.19</f>
        <v>-0.2092436974789916</v>
      </c>
      <c r="H9" s="15">
        <f t="shared" si="2"/>
        <v>-0.2092436974789916</v>
      </c>
      <c r="I9" s="15">
        <f t="shared" si="2"/>
        <v>-0.2092436974789916</v>
      </c>
      <c r="J9" s="15">
        <f t="shared" ref="J9" si="3">+SUM(D9:I9)</f>
        <v>-0.92773109243697494</v>
      </c>
      <c r="K9" s="15">
        <f>-0.249/1.19*2</f>
        <v>-0.41848739495798321</v>
      </c>
      <c r="L9" s="15">
        <f>+K9*1</f>
        <v>-0.41848739495798321</v>
      </c>
      <c r="M9" s="15">
        <f>+L9</f>
        <v>-0.41848739495798321</v>
      </c>
      <c r="N9" s="15">
        <f>-0.249/1.19*3</f>
        <v>-0.62773109243697478</v>
      </c>
      <c r="O9" s="15">
        <f t="shared" ref="O9:V9" si="4">+N9*1</f>
        <v>-0.62773109243697478</v>
      </c>
      <c r="P9" s="15">
        <f t="shared" si="4"/>
        <v>-0.62773109243697478</v>
      </c>
      <c r="Q9" s="15">
        <f>-0.249/1.19*4</f>
        <v>-0.83697478991596641</v>
      </c>
      <c r="R9" s="15">
        <f t="shared" si="4"/>
        <v>-0.83697478991596641</v>
      </c>
      <c r="S9" s="15">
        <f t="shared" si="4"/>
        <v>-0.83697478991596641</v>
      </c>
      <c r="T9" s="15">
        <f>-0.249/1.19*5</f>
        <v>-1.046218487394958</v>
      </c>
      <c r="U9" s="15">
        <f t="shared" si="4"/>
        <v>-1.046218487394958</v>
      </c>
      <c r="V9" s="15">
        <f t="shared" si="4"/>
        <v>-1.046218487394958</v>
      </c>
      <c r="W9" s="15">
        <f>+SUM(K9:V9)</f>
        <v>-8.788235294117646</v>
      </c>
      <c r="X9" s="15">
        <f>-0.249/1.19*10*12</f>
        <v>-25.109243697478995</v>
      </c>
      <c r="Y9" s="15">
        <f>-0.249/1.19*20*12</f>
        <v>-50.21848739495799</v>
      </c>
    </row>
    <row r="10" spans="2:25" x14ac:dyDescent="0.25">
      <c r="B10" s="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2:25" x14ac:dyDescent="0.25">
      <c r="B11" s="5" t="s">
        <v>145</v>
      </c>
      <c r="D11" s="14">
        <f>+D5+D9</f>
        <v>0.10625000000000001</v>
      </c>
      <c r="E11" s="14">
        <f t="shared" ref="E11:Y11" si="5">+E5+E9</f>
        <v>0.3125</v>
      </c>
      <c r="F11" s="14">
        <f t="shared" si="5"/>
        <v>1.1375</v>
      </c>
      <c r="G11" s="14">
        <f t="shared" si="5"/>
        <v>1.8532563025210085</v>
      </c>
      <c r="H11" s="14">
        <f t="shared" si="5"/>
        <v>1.8532563025210085</v>
      </c>
      <c r="I11" s="14">
        <f t="shared" si="5"/>
        <v>1.8532563025210085</v>
      </c>
      <c r="J11" s="14">
        <f t="shared" si="5"/>
        <v>7.1160189075630242</v>
      </c>
      <c r="K11" s="14">
        <f t="shared" si="5"/>
        <v>5.3367126050420168</v>
      </c>
      <c r="L11" s="14">
        <f t="shared" si="5"/>
        <v>5.3367126050420168</v>
      </c>
      <c r="M11" s="14">
        <f t="shared" si="5"/>
        <v>5.3367126050420168</v>
      </c>
      <c r="N11" s="14">
        <f t="shared" si="5"/>
        <v>11.578857796451912</v>
      </c>
      <c r="O11" s="14">
        <f t="shared" si="5"/>
        <v>13.76288557422969</v>
      </c>
      <c r="P11" s="14">
        <f t="shared" si="5"/>
        <v>15.946913352007471</v>
      </c>
      <c r="Q11" s="14">
        <f t="shared" si="5"/>
        <v>16.970980765639588</v>
      </c>
      <c r="R11" s="14">
        <f t="shared" si="5"/>
        <v>16.970980765639588</v>
      </c>
      <c r="S11" s="14">
        <f t="shared" si="5"/>
        <v>16.970980765639588</v>
      </c>
      <c r="T11" s="14">
        <f t="shared" si="5"/>
        <v>16.761737068160595</v>
      </c>
      <c r="U11" s="14">
        <f t="shared" si="5"/>
        <v>17.121437068160596</v>
      </c>
      <c r="V11" s="14">
        <f t="shared" si="5"/>
        <v>18.431853734827261</v>
      </c>
      <c r="W11" s="14">
        <f t="shared" si="5"/>
        <v>160.52676470588236</v>
      </c>
      <c r="X11" s="14">
        <f t="shared" si="5"/>
        <v>702.21075630252096</v>
      </c>
      <c r="Y11" s="14">
        <f t="shared" si="5"/>
        <v>1559.4315126050424</v>
      </c>
    </row>
    <row r="12" spans="2:25" x14ac:dyDescent="0.25"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2:25" x14ac:dyDescent="0.25">
      <c r="B13" s="5" t="s">
        <v>62</v>
      </c>
      <c r="D13" s="14">
        <f>+SUM(D14:D15)</f>
        <v>0</v>
      </c>
      <c r="E13" s="14">
        <f t="shared" ref="E13:Y13" si="6">+SUM(E14:E15)</f>
        <v>0</v>
      </c>
      <c r="F13" s="14">
        <f t="shared" si="6"/>
        <v>0</v>
      </c>
      <c r="G13" s="14">
        <f t="shared" si="6"/>
        <v>0</v>
      </c>
      <c r="H13" s="14">
        <f t="shared" si="6"/>
        <v>0</v>
      </c>
      <c r="I13" s="14">
        <f t="shared" si="6"/>
        <v>0</v>
      </c>
      <c r="J13" s="14">
        <f t="shared" si="6"/>
        <v>0</v>
      </c>
      <c r="K13" s="14">
        <f t="shared" si="6"/>
        <v>0</v>
      </c>
      <c r="L13" s="14">
        <f t="shared" si="6"/>
        <v>0</v>
      </c>
      <c r="M13" s="14">
        <f t="shared" si="6"/>
        <v>0</v>
      </c>
      <c r="N13" s="14">
        <f t="shared" si="6"/>
        <v>0</v>
      </c>
      <c r="O13" s="14">
        <f t="shared" si="6"/>
        <v>0</v>
      </c>
      <c r="P13" s="14">
        <f t="shared" si="6"/>
        <v>-6.1</v>
      </c>
      <c r="Q13" s="14">
        <f t="shared" si="6"/>
        <v>-6.1</v>
      </c>
      <c r="R13" s="14">
        <f t="shared" si="6"/>
        <v>-12.2</v>
      </c>
      <c r="S13" s="14">
        <f t="shared" si="6"/>
        <v>-12.2</v>
      </c>
      <c r="T13" s="14">
        <f t="shared" si="6"/>
        <v>-12.2</v>
      </c>
      <c r="U13" s="14">
        <f t="shared" si="6"/>
        <v>-12.2</v>
      </c>
      <c r="V13" s="14">
        <f t="shared" si="6"/>
        <v>-12.2</v>
      </c>
      <c r="W13" s="14">
        <f t="shared" si="6"/>
        <v>-73.199999999999989</v>
      </c>
      <c r="X13" s="14">
        <f t="shared" si="6"/>
        <v>-432.39599999999996</v>
      </c>
      <c r="Y13" s="14">
        <f t="shared" si="6"/>
        <v>-957.06788000000006</v>
      </c>
    </row>
    <row r="14" spans="2:25" x14ac:dyDescent="0.25">
      <c r="B14" s="9" t="s">
        <v>63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f>+SUM(D14:I14)</f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f>-Personalplanung!$E$17/6/1.19/2</f>
        <v>-5.1260504201680668</v>
      </c>
      <c r="Q14" s="15">
        <f>-Personalplanung!$E$17/6/1.19/2</f>
        <v>-5.1260504201680668</v>
      </c>
      <c r="R14" s="15">
        <f>-Personalplanung!$E$17/6/1.19</f>
        <v>-10.252100840336134</v>
      </c>
      <c r="S14" s="15">
        <f>-Personalplanung!$E$17/6/1.19</f>
        <v>-10.252100840336134</v>
      </c>
      <c r="T14" s="15">
        <f>-Personalplanung!$E$17/6/1.19</f>
        <v>-10.252100840336134</v>
      </c>
      <c r="U14" s="15">
        <f>-Personalplanung!$E$17/6/1.19</f>
        <v>-10.252100840336134</v>
      </c>
      <c r="V14" s="15">
        <f>-Personalplanung!$E$17/6/1.19</f>
        <v>-10.252100840336134</v>
      </c>
      <c r="W14" s="15">
        <f t="shared" ref="W14:W15" si="7">+SUM(K14:V14)</f>
        <v>-61.512605042016801</v>
      </c>
      <c r="X14" s="15">
        <f>-Personalplanung!F17/1.19</f>
        <v>-363.35798319327728</v>
      </c>
      <c r="Y14" s="15">
        <f>-Personalplanung!G17/1.19</f>
        <v>-804.25872268907563</v>
      </c>
    </row>
    <row r="15" spans="2:25" x14ac:dyDescent="0.25">
      <c r="B15" s="9" t="s">
        <v>64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f>+SUM(D15:I15)</f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f t="shared" ref="P15:Q15" si="8">+P14*0.19</f>
        <v>-0.97394957983193275</v>
      </c>
      <c r="Q15" s="15">
        <f t="shared" si="8"/>
        <v>-0.97394957983193275</v>
      </c>
      <c r="R15" s="15">
        <f t="shared" ref="R15" si="9">+R14*0.19</f>
        <v>-1.9478991596638655</v>
      </c>
      <c r="S15" s="15">
        <f t="shared" ref="S15" si="10">+S14*0.19</f>
        <v>-1.9478991596638655</v>
      </c>
      <c r="T15" s="15">
        <f t="shared" ref="T15" si="11">+T14*0.19</f>
        <v>-1.9478991596638655</v>
      </c>
      <c r="U15" s="15">
        <f t="shared" ref="U15" si="12">+U14*0.19</f>
        <v>-1.9478991596638655</v>
      </c>
      <c r="V15" s="15">
        <f t="shared" ref="V15" si="13">+V14*0.19</f>
        <v>-1.9478991596638655</v>
      </c>
      <c r="W15" s="15">
        <f t="shared" si="7"/>
        <v>-11.687394957983193</v>
      </c>
      <c r="X15" s="15">
        <f>+X14*0.19</f>
        <v>-69.03801680672268</v>
      </c>
      <c r="Y15" s="15">
        <f>+Y14*0.19</f>
        <v>-152.80915731092438</v>
      </c>
    </row>
    <row r="16" spans="2:25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2:25" x14ac:dyDescent="0.25">
      <c r="B17" s="5" t="s">
        <v>65</v>
      </c>
      <c r="D17" s="14">
        <f t="shared" ref="D17:Y17" si="14">+SUM(D18:D32)</f>
        <v>-1.4169444152661064</v>
      </c>
      <c r="E17" s="14">
        <f t="shared" si="14"/>
        <v>-0.83497566526610634</v>
      </c>
      <c r="F17" s="14">
        <f t="shared" si="14"/>
        <v>-1.8391006652661066</v>
      </c>
      <c r="G17" s="14">
        <f t="shared" si="14"/>
        <v>-1.0463506652661065</v>
      </c>
      <c r="H17" s="14">
        <f t="shared" si="14"/>
        <v>-1.0463506652661065</v>
      </c>
      <c r="I17" s="14">
        <f t="shared" si="14"/>
        <v>-2.0463506652661065</v>
      </c>
      <c r="J17" s="14">
        <f t="shared" si="14"/>
        <v>-8.2300727415966382</v>
      </c>
      <c r="K17" s="14">
        <f t="shared" si="14"/>
        <v>-1.4150915555555554</v>
      </c>
      <c r="L17" s="14">
        <f t="shared" si="14"/>
        <v>-4.4150915555555548</v>
      </c>
      <c r="M17" s="14">
        <f t="shared" si="14"/>
        <v>-1.4150915555555554</v>
      </c>
      <c r="N17" s="14">
        <f t="shared" si="14"/>
        <v>-1.8199179444444444</v>
      </c>
      <c r="O17" s="14">
        <f t="shared" si="14"/>
        <v>-1.9400394722222221</v>
      </c>
      <c r="P17" s="14">
        <f t="shared" si="14"/>
        <v>-2.0601610000000004</v>
      </c>
      <c r="Q17" s="14">
        <f t="shared" si="14"/>
        <v>-5.3764931111111114</v>
      </c>
      <c r="R17" s="14">
        <f t="shared" si="14"/>
        <v>-2.3764931111111114</v>
      </c>
      <c r="S17" s="14">
        <f t="shared" si="14"/>
        <v>-2.3764931111111114</v>
      </c>
      <c r="T17" s="14">
        <f t="shared" si="14"/>
        <v>-2.3764931111111114</v>
      </c>
      <c r="U17" s="14">
        <f t="shared" si="14"/>
        <v>-2.3962766111111113</v>
      </c>
      <c r="V17" s="14">
        <f t="shared" si="14"/>
        <v>-2.4683495277777778</v>
      </c>
      <c r="W17" s="14">
        <f t="shared" si="14"/>
        <v>-30.43599166666667</v>
      </c>
      <c r="X17" s="14">
        <f t="shared" si="14"/>
        <v>-79.32587333333332</v>
      </c>
      <c r="Y17" s="14">
        <f t="shared" si="14"/>
        <v>-154.40538819999998</v>
      </c>
    </row>
    <row r="18" spans="2:25" x14ac:dyDescent="0.25">
      <c r="B18" s="9" t="s">
        <v>67</v>
      </c>
      <c r="D18" s="15">
        <f>-Investitionen!$D$39/6</f>
        <v>-8.3333333333333329E-2</v>
      </c>
      <c r="E18" s="15">
        <f>-Investitionen!$D$39/6</f>
        <v>-8.3333333333333329E-2</v>
      </c>
      <c r="F18" s="15">
        <f>-Investitionen!$D$39/6</f>
        <v>-8.3333333333333329E-2</v>
      </c>
      <c r="G18" s="15">
        <f>-Investitionen!$D$39/6</f>
        <v>-8.3333333333333329E-2</v>
      </c>
      <c r="H18" s="15">
        <f>-Investitionen!$D$39/6</f>
        <v>-8.3333333333333329E-2</v>
      </c>
      <c r="I18" s="15">
        <f>-Investitionen!$D$39/6</f>
        <v>-8.3333333333333329E-2</v>
      </c>
      <c r="J18" s="15">
        <f t="shared" ref="J18:J32" si="15">+SUM(D18:I18)</f>
        <v>-0.49999999999999994</v>
      </c>
      <c r="K18" s="15">
        <f>-Investitionen!$E$39/12</f>
        <v>-0.18055555555555558</v>
      </c>
      <c r="L18" s="15">
        <f>-Investitionen!$E$39/12</f>
        <v>-0.18055555555555558</v>
      </c>
      <c r="M18" s="15">
        <f>-Investitionen!$E$39/12</f>
        <v>-0.18055555555555558</v>
      </c>
      <c r="N18" s="15">
        <f>-Investitionen!$E$39/12</f>
        <v>-0.18055555555555558</v>
      </c>
      <c r="O18" s="15">
        <f>-Investitionen!$E$39/12</f>
        <v>-0.18055555555555558</v>
      </c>
      <c r="P18" s="15">
        <f>-Investitionen!$E$39/12</f>
        <v>-0.18055555555555558</v>
      </c>
      <c r="Q18" s="15">
        <f>-Investitionen!$E$39/12</f>
        <v>-0.18055555555555558</v>
      </c>
      <c r="R18" s="15">
        <f>-Investitionen!$E$39/12</f>
        <v>-0.18055555555555558</v>
      </c>
      <c r="S18" s="15">
        <f>-Investitionen!$E$39/12</f>
        <v>-0.18055555555555558</v>
      </c>
      <c r="T18" s="15">
        <f>-Investitionen!$E$39/12</f>
        <v>-0.18055555555555558</v>
      </c>
      <c r="U18" s="15">
        <f>-Investitionen!$E$39/12</f>
        <v>-0.18055555555555558</v>
      </c>
      <c r="V18" s="15">
        <f>-Investitionen!$E$39/12</f>
        <v>-0.18055555555555558</v>
      </c>
      <c r="W18" s="15">
        <f>+SUM(K18:V18)</f>
        <v>-2.166666666666667</v>
      </c>
      <c r="X18" s="15">
        <f>-Investitionen!F39</f>
        <v>-3.8333333333333335</v>
      </c>
      <c r="Y18" s="15">
        <f>-Investitionen!G39</f>
        <v>-5.5</v>
      </c>
    </row>
    <row r="19" spans="2:25" x14ac:dyDescent="0.25">
      <c r="B19" s="9" t="s">
        <v>66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f t="shared" si="15"/>
        <v>0</v>
      </c>
      <c r="K19" s="15">
        <v>0</v>
      </c>
      <c r="L19" s="15">
        <v>0</v>
      </c>
      <c r="M19" s="15">
        <v>0</v>
      </c>
      <c r="N19" s="15">
        <v>-0.05</v>
      </c>
      <c r="O19" s="15">
        <v>-0.05</v>
      </c>
      <c r="P19" s="15">
        <v>-0.05</v>
      </c>
      <c r="Q19" s="15">
        <v>-0.05</v>
      </c>
      <c r="R19" s="15">
        <v>-0.05</v>
      </c>
      <c r="S19" s="15">
        <v>-0.05</v>
      </c>
      <c r="T19" s="15">
        <v>-0.05</v>
      </c>
      <c r="U19" s="15">
        <v>-0.05</v>
      </c>
      <c r="V19" s="15">
        <v>-0.05</v>
      </c>
      <c r="W19" s="15">
        <f t="shared" ref="W19:W32" si="16">+SUM(K19:V19)</f>
        <v>-0.44999999999999996</v>
      </c>
      <c r="X19" s="15">
        <f>-0.05*12</f>
        <v>-0.60000000000000009</v>
      </c>
      <c r="Y19" s="15">
        <f>+X19*1.03</f>
        <v>-0.6180000000000001</v>
      </c>
    </row>
    <row r="20" spans="2:25" x14ac:dyDescent="0.25">
      <c r="B20" s="9" t="s">
        <v>69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f t="shared" si="15"/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f t="shared" si="16"/>
        <v>0</v>
      </c>
      <c r="X20" s="15">
        <v>0</v>
      </c>
      <c r="Y20" s="15">
        <v>0</v>
      </c>
    </row>
    <row r="21" spans="2:25" x14ac:dyDescent="0.25">
      <c r="B21" s="9" t="s">
        <v>70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f t="shared" si="15"/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f t="shared" si="16"/>
        <v>0</v>
      </c>
      <c r="X21" s="15">
        <v>0</v>
      </c>
      <c r="Y21" s="15">
        <v>0</v>
      </c>
    </row>
    <row r="22" spans="2:25" x14ac:dyDescent="0.25">
      <c r="B22" s="9" t="s">
        <v>71</v>
      </c>
      <c r="D22" s="15">
        <v>-0.1</v>
      </c>
      <c r="E22" s="15">
        <v>-0.1</v>
      </c>
      <c r="F22" s="15">
        <v>-0.1</v>
      </c>
      <c r="G22" s="15">
        <v>-0.1</v>
      </c>
      <c r="H22" s="15">
        <v>-0.1</v>
      </c>
      <c r="I22" s="15">
        <v>-0.1</v>
      </c>
      <c r="J22" s="15">
        <f t="shared" si="15"/>
        <v>-0.6</v>
      </c>
      <c r="K22" s="15">
        <v>-0.1</v>
      </c>
      <c r="L22" s="15">
        <v>-0.1</v>
      </c>
      <c r="M22" s="15">
        <v>-0.1</v>
      </c>
      <c r="N22" s="15">
        <v>-0.1</v>
      </c>
      <c r="O22" s="15">
        <v>-0.1</v>
      </c>
      <c r="P22" s="15">
        <v>-0.1</v>
      </c>
      <c r="Q22" s="15">
        <v>-0.1</v>
      </c>
      <c r="R22" s="15">
        <v>-0.1</v>
      </c>
      <c r="S22" s="15">
        <v>-0.1</v>
      </c>
      <c r="T22" s="15">
        <v>-0.1</v>
      </c>
      <c r="U22" s="15">
        <v>-0.1</v>
      </c>
      <c r="V22" s="15">
        <v>-0.1</v>
      </c>
      <c r="W22" s="15">
        <f t="shared" si="16"/>
        <v>-1.2</v>
      </c>
      <c r="X22" s="15">
        <f>+V22*12*1.03</f>
        <v>-1.2360000000000002</v>
      </c>
      <c r="Y22" s="15">
        <f>+X22*1.03</f>
        <v>-1.2730800000000002</v>
      </c>
    </row>
    <row r="23" spans="2:25" x14ac:dyDescent="0.25">
      <c r="B23" s="9" t="s">
        <v>72</v>
      </c>
      <c r="D23" s="15">
        <v>-0.25</v>
      </c>
      <c r="E23" s="15">
        <f>+D23</f>
        <v>-0.25</v>
      </c>
      <c r="F23" s="15">
        <f t="shared" ref="F23:I23" si="17">+E23</f>
        <v>-0.25</v>
      </c>
      <c r="G23" s="15">
        <f t="shared" si="17"/>
        <v>-0.25</v>
      </c>
      <c r="H23" s="15">
        <f t="shared" si="17"/>
        <v>-0.25</v>
      </c>
      <c r="I23" s="15">
        <f t="shared" si="17"/>
        <v>-0.25</v>
      </c>
      <c r="J23" s="15">
        <f t="shared" si="15"/>
        <v>-1.5</v>
      </c>
      <c r="K23" s="15">
        <f>I23*1.03</f>
        <v>-0.25750000000000001</v>
      </c>
      <c r="L23" s="15">
        <f>+K23</f>
        <v>-0.25750000000000001</v>
      </c>
      <c r="M23" s="15">
        <f t="shared" ref="M23:V23" si="18">+L23</f>
        <v>-0.25750000000000001</v>
      </c>
      <c r="N23" s="15">
        <f t="shared" si="18"/>
        <v>-0.25750000000000001</v>
      </c>
      <c r="O23" s="15">
        <f t="shared" si="18"/>
        <v>-0.25750000000000001</v>
      </c>
      <c r="P23" s="15">
        <f t="shared" si="18"/>
        <v>-0.25750000000000001</v>
      </c>
      <c r="Q23" s="15">
        <f t="shared" si="18"/>
        <v>-0.25750000000000001</v>
      </c>
      <c r="R23" s="15">
        <f t="shared" si="18"/>
        <v>-0.25750000000000001</v>
      </c>
      <c r="S23" s="15">
        <f t="shared" si="18"/>
        <v>-0.25750000000000001</v>
      </c>
      <c r="T23" s="15">
        <f t="shared" si="18"/>
        <v>-0.25750000000000001</v>
      </c>
      <c r="U23" s="15">
        <f t="shared" si="18"/>
        <v>-0.25750000000000001</v>
      </c>
      <c r="V23" s="15">
        <f t="shared" si="18"/>
        <v>-0.25750000000000001</v>
      </c>
      <c r="W23" s="15">
        <f t="shared" si="16"/>
        <v>-3.0899999999999994</v>
      </c>
      <c r="X23" s="15">
        <f>+V23*1.03*12</f>
        <v>-3.1826999999999996</v>
      </c>
      <c r="Y23" s="15">
        <f>+X23*1.03</f>
        <v>-3.2781809999999996</v>
      </c>
    </row>
    <row r="24" spans="2:25" x14ac:dyDescent="0.25">
      <c r="B24" s="9" t="s">
        <v>73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f t="shared" si="15"/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f t="shared" si="16"/>
        <v>0</v>
      </c>
      <c r="X24" s="15">
        <v>0</v>
      </c>
      <c r="Y24" s="15">
        <v>0</v>
      </c>
    </row>
    <row r="25" spans="2:25" x14ac:dyDescent="0.25">
      <c r="B25" s="9" t="s">
        <v>74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f t="shared" si="15"/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f t="shared" si="16"/>
        <v>0</v>
      </c>
      <c r="X25" s="15">
        <v>-12</v>
      </c>
      <c r="Y25" s="15">
        <f>+X25*1.03</f>
        <v>-12.36</v>
      </c>
    </row>
    <row r="26" spans="2:25" x14ac:dyDescent="0.25">
      <c r="B26" s="9" t="s">
        <v>75</v>
      </c>
      <c r="D26" s="15">
        <v>0</v>
      </c>
      <c r="E26" s="15">
        <v>0</v>
      </c>
      <c r="F26" s="15">
        <v>0</v>
      </c>
      <c r="G26" s="15">
        <f>-MAX(G5*0.05, 0.1)</f>
        <v>-0.10312500000000001</v>
      </c>
      <c r="H26" s="15">
        <f>-MAX(H5*0.05, 0.1)</f>
        <v>-0.10312500000000001</v>
      </c>
      <c r="I26" s="15">
        <f>-MAX(I5*0.05, 0.1)</f>
        <v>-0.10312500000000001</v>
      </c>
      <c r="J26" s="15">
        <f t="shared" si="15"/>
        <v>-0.30937500000000001</v>
      </c>
      <c r="K26" s="15">
        <f t="shared" ref="K26:Y26" si="19">-MAX(K5*0.05, 0.1)</f>
        <v>-0.28776000000000002</v>
      </c>
      <c r="L26" s="15">
        <f t="shared" si="19"/>
        <v>-0.28776000000000002</v>
      </c>
      <c r="M26" s="15">
        <f t="shared" si="19"/>
        <v>-0.28776000000000002</v>
      </c>
      <c r="N26" s="15">
        <f t="shared" si="19"/>
        <v>-0.61032944444444437</v>
      </c>
      <c r="O26" s="15">
        <f t="shared" si="19"/>
        <v>-0.71953083333333323</v>
      </c>
      <c r="P26" s="15">
        <f t="shared" si="19"/>
        <v>-0.82873222222222231</v>
      </c>
      <c r="Q26" s="15">
        <f t="shared" si="19"/>
        <v>-0.89039777777777784</v>
      </c>
      <c r="R26" s="15">
        <f t="shared" si="19"/>
        <v>-0.89039777777777784</v>
      </c>
      <c r="S26" s="15">
        <f t="shared" si="19"/>
        <v>-0.89039777777777784</v>
      </c>
      <c r="T26" s="15">
        <f t="shared" si="19"/>
        <v>-0.89039777777777784</v>
      </c>
      <c r="U26" s="15">
        <f t="shared" si="19"/>
        <v>-0.90838277777777776</v>
      </c>
      <c r="V26" s="15">
        <f t="shared" si="19"/>
        <v>-0.97390361111111101</v>
      </c>
      <c r="W26" s="15">
        <f t="shared" si="19"/>
        <v>-8.4657499999999999</v>
      </c>
      <c r="X26" s="15">
        <f t="shared" si="19"/>
        <v>-36.366</v>
      </c>
      <c r="Y26" s="15">
        <f t="shared" si="19"/>
        <v>-80.482500000000016</v>
      </c>
    </row>
    <row r="27" spans="2:25" x14ac:dyDescent="0.25">
      <c r="B27" s="9" t="s">
        <v>76</v>
      </c>
      <c r="D27" s="15">
        <f>-0.059/1.19</f>
        <v>-4.9579831932773107E-2</v>
      </c>
      <c r="E27" s="15">
        <f>+D27</f>
        <v>-4.9579831932773107E-2</v>
      </c>
      <c r="F27" s="15">
        <f>+E27-1</f>
        <v>-1.0495798319327732</v>
      </c>
      <c r="G27" s="15">
        <f>-0.059/1.19-0.1</f>
        <v>-0.14957983193277311</v>
      </c>
      <c r="H27" s="15">
        <f t="shared" ref="H27" si="20">+G27</f>
        <v>-0.14957983193277311</v>
      </c>
      <c r="I27" s="15">
        <f>+H27-1</f>
        <v>-1.149579831932773</v>
      </c>
      <c r="J27" s="15">
        <f t="shared" si="15"/>
        <v>-2.5974789915966383</v>
      </c>
      <c r="K27" s="15">
        <v>-0.2</v>
      </c>
      <c r="L27" s="15">
        <f>+K27</f>
        <v>-0.2</v>
      </c>
      <c r="M27" s="15">
        <f t="shared" ref="M27:V27" si="21">+L27</f>
        <v>-0.2</v>
      </c>
      <c r="N27" s="15">
        <f t="shared" si="21"/>
        <v>-0.2</v>
      </c>
      <c r="O27" s="15">
        <f t="shared" si="21"/>
        <v>-0.2</v>
      </c>
      <c r="P27" s="15">
        <f t="shared" si="21"/>
        <v>-0.2</v>
      </c>
      <c r="Q27" s="15">
        <v>-0.3</v>
      </c>
      <c r="R27" s="15">
        <f t="shared" si="21"/>
        <v>-0.3</v>
      </c>
      <c r="S27" s="15">
        <f t="shared" si="21"/>
        <v>-0.3</v>
      </c>
      <c r="T27" s="15">
        <f t="shared" si="21"/>
        <v>-0.3</v>
      </c>
      <c r="U27" s="15">
        <f t="shared" si="21"/>
        <v>-0.3</v>
      </c>
      <c r="V27" s="15">
        <f t="shared" si="21"/>
        <v>-0.3</v>
      </c>
      <c r="W27" s="15">
        <f t="shared" si="16"/>
        <v>-2.9999999999999996</v>
      </c>
      <c r="X27" s="15">
        <f>-0.5*1.03*12</f>
        <v>-6.18</v>
      </c>
      <c r="Y27" s="15">
        <f>+X27*1.03</f>
        <v>-6.3654000000000002</v>
      </c>
    </row>
    <row r="28" spans="2:25" x14ac:dyDescent="0.25">
      <c r="B28" s="9" t="s">
        <v>77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f t="shared" si="15"/>
        <v>0</v>
      </c>
      <c r="K28" s="15">
        <v>0</v>
      </c>
      <c r="L28" s="15">
        <v>-3</v>
      </c>
      <c r="M28" s="15">
        <v>0</v>
      </c>
      <c r="N28" s="15">
        <v>0</v>
      </c>
      <c r="O28" s="15">
        <v>0</v>
      </c>
      <c r="P28" s="15">
        <v>0</v>
      </c>
      <c r="Q28" s="15">
        <v>-3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f t="shared" si="16"/>
        <v>-6</v>
      </c>
      <c r="X28" s="15">
        <v>-6</v>
      </c>
      <c r="Y28" s="15">
        <v>-30</v>
      </c>
    </row>
    <row r="29" spans="2:25" x14ac:dyDescent="0.25">
      <c r="B29" s="9" t="s">
        <v>78</v>
      </c>
      <c r="D29" s="15">
        <v>-0.05</v>
      </c>
      <c r="E29" s="15">
        <f>+D29</f>
        <v>-0.05</v>
      </c>
      <c r="F29" s="15">
        <f t="shared" ref="F29:I29" si="22">+E29</f>
        <v>-0.05</v>
      </c>
      <c r="G29" s="15">
        <f t="shared" si="22"/>
        <v>-0.05</v>
      </c>
      <c r="H29" s="15">
        <f t="shared" si="22"/>
        <v>-0.05</v>
      </c>
      <c r="I29" s="15">
        <f t="shared" si="22"/>
        <v>-0.05</v>
      </c>
      <c r="J29" s="15">
        <f t="shared" si="15"/>
        <v>-0.3</v>
      </c>
      <c r="K29" s="15">
        <f>+I29*1.03</f>
        <v>-5.1500000000000004E-2</v>
      </c>
      <c r="L29" s="15">
        <f>+K29</f>
        <v>-5.1500000000000004E-2</v>
      </c>
      <c r="M29" s="15">
        <f t="shared" ref="M29:V29" si="23">+L29</f>
        <v>-5.1500000000000004E-2</v>
      </c>
      <c r="N29" s="15">
        <f t="shared" si="23"/>
        <v>-5.1500000000000004E-2</v>
      </c>
      <c r="O29" s="15">
        <f t="shared" si="23"/>
        <v>-5.1500000000000004E-2</v>
      </c>
      <c r="P29" s="15">
        <f t="shared" si="23"/>
        <v>-5.1500000000000004E-2</v>
      </c>
      <c r="Q29" s="15">
        <v>-0.2</v>
      </c>
      <c r="R29" s="15">
        <f t="shared" si="23"/>
        <v>-0.2</v>
      </c>
      <c r="S29" s="15">
        <f t="shared" si="23"/>
        <v>-0.2</v>
      </c>
      <c r="T29" s="15">
        <f t="shared" si="23"/>
        <v>-0.2</v>
      </c>
      <c r="U29" s="15">
        <f t="shared" si="23"/>
        <v>-0.2</v>
      </c>
      <c r="V29" s="15">
        <f t="shared" si="23"/>
        <v>-0.2</v>
      </c>
      <c r="W29" s="15">
        <f t="shared" si="16"/>
        <v>-1.5089999999999999</v>
      </c>
      <c r="X29" s="15">
        <f>+V29*1.03*12</f>
        <v>-2.4720000000000004</v>
      </c>
      <c r="Y29" s="15">
        <f>+X29*1.03</f>
        <v>-2.5461600000000004</v>
      </c>
    </row>
    <row r="30" spans="2:25" x14ac:dyDescent="0.25">
      <c r="B30" s="9" t="s">
        <v>79</v>
      </c>
      <c r="D30" s="15">
        <f>-0.3-Kapitalbedarf!D12/1000-Kapitalbedarf!D13/1000-Kapitalbedarf!D14/1000-Kapitalbedarf!D15/1000</f>
        <v>-0.88300000000000001</v>
      </c>
      <c r="E30" s="15">
        <v>-0.3</v>
      </c>
      <c r="F30" s="15">
        <f t="shared" ref="F30:I30" si="24">+E30</f>
        <v>-0.3</v>
      </c>
      <c r="G30" s="15">
        <f t="shared" si="24"/>
        <v>-0.3</v>
      </c>
      <c r="H30" s="15">
        <f t="shared" si="24"/>
        <v>-0.3</v>
      </c>
      <c r="I30" s="15">
        <f t="shared" si="24"/>
        <v>-0.3</v>
      </c>
      <c r="J30" s="15">
        <f t="shared" si="15"/>
        <v>-2.383</v>
      </c>
      <c r="K30" s="15">
        <f>+I30*1.03</f>
        <v>-0.309</v>
      </c>
      <c r="L30" s="15">
        <f>+K30</f>
        <v>-0.309</v>
      </c>
      <c r="M30" s="15">
        <f t="shared" ref="M30:V30" si="25">+L30</f>
        <v>-0.309</v>
      </c>
      <c r="N30" s="15">
        <f t="shared" si="25"/>
        <v>-0.309</v>
      </c>
      <c r="O30" s="15">
        <f t="shared" si="25"/>
        <v>-0.309</v>
      </c>
      <c r="P30" s="15">
        <f t="shared" si="25"/>
        <v>-0.309</v>
      </c>
      <c r="Q30" s="15">
        <f t="shared" si="25"/>
        <v>-0.309</v>
      </c>
      <c r="R30" s="15">
        <f t="shared" si="25"/>
        <v>-0.309</v>
      </c>
      <c r="S30" s="15">
        <f t="shared" si="25"/>
        <v>-0.309</v>
      </c>
      <c r="T30" s="15">
        <f t="shared" si="25"/>
        <v>-0.309</v>
      </c>
      <c r="U30" s="15">
        <f t="shared" si="25"/>
        <v>-0.309</v>
      </c>
      <c r="V30" s="15">
        <f t="shared" si="25"/>
        <v>-0.309</v>
      </c>
      <c r="W30" s="15">
        <f t="shared" si="16"/>
        <v>-3.7080000000000006</v>
      </c>
      <c r="X30" s="15">
        <f>+V30*1.03*12</f>
        <v>-3.8192399999999997</v>
      </c>
      <c r="Y30" s="15">
        <f>+X30*1.03</f>
        <v>-3.9338172</v>
      </c>
    </row>
    <row r="31" spans="2:25" x14ac:dyDescent="0.25">
      <c r="B31" s="9" t="s">
        <v>80</v>
      </c>
      <c r="D31" s="15">
        <f>-D5*0.005</f>
        <v>-1.03125E-3</v>
      </c>
      <c r="E31" s="15">
        <f t="shared" ref="E31:I31" si="26">-E5*0.005</f>
        <v>-2.0625000000000001E-3</v>
      </c>
      <c r="F31" s="15">
        <f t="shared" si="26"/>
        <v>-6.1875000000000003E-3</v>
      </c>
      <c r="G31" s="15">
        <f t="shared" si="26"/>
        <v>-1.03125E-2</v>
      </c>
      <c r="H31" s="15">
        <f t="shared" si="26"/>
        <v>-1.03125E-2</v>
      </c>
      <c r="I31" s="15">
        <f t="shared" si="26"/>
        <v>-1.03125E-2</v>
      </c>
      <c r="J31" s="15">
        <f t="shared" si="15"/>
        <v>-4.0218750000000004E-2</v>
      </c>
      <c r="K31" s="15">
        <f t="shared" ref="K31:V31" si="27">-K5*0.005</f>
        <v>-2.8776000000000003E-2</v>
      </c>
      <c r="L31" s="15">
        <f t="shared" si="27"/>
        <v>-2.8776000000000003E-2</v>
      </c>
      <c r="M31" s="15">
        <f t="shared" si="27"/>
        <v>-2.8776000000000003E-2</v>
      </c>
      <c r="N31" s="15">
        <f t="shared" si="27"/>
        <v>-6.1032944444444431E-2</v>
      </c>
      <c r="O31" s="15">
        <f t="shared" si="27"/>
        <v>-7.195308333333332E-2</v>
      </c>
      <c r="P31" s="15">
        <f t="shared" si="27"/>
        <v>-8.2873222222222223E-2</v>
      </c>
      <c r="Q31" s="15">
        <f t="shared" si="27"/>
        <v>-8.9039777777777773E-2</v>
      </c>
      <c r="R31" s="15">
        <f t="shared" si="27"/>
        <v>-8.9039777777777773E-2</v>
      </c>
      <c r="S31" s="15">
        <f t="shared" si="27"/>
        <v>-8.9039777777777773E-2</v>
      </c>
      <c r="T31" s="15">
        <f t="shared" si="27"/>
        <v>-8.9039777777777773E-2</v>
      </c>
      <c r="U31" s="15">
        <f t="shared" si="27"/>
        <v>-9.0838277777777782E-2</v>
      </c>
      <c r="V31" s="15">
        <f t="shared" si="27"/>
        <v>-9.7390361111111101E-2</v>
      </c>
      <c r="W31" s="15">
        <f t="shared" si="16"/>
        <v>-0.84657499999999997</v>
      </c>
      <c r="X31" s="15">
        <f t="shared" ref="X31:Y31" si="28">-X5*0.005</f>
        <v>-3.6365999999999996</v>
      </c>
      <c r="Y31" s="15">
        <f t="shared" si="28"/>
        <v>-8.0482500000000012</v>
      </c>
    </row>
    <row r="32" spans="2:25" x14ac:dyDescent="0.25">
      <c r="B32" s="9" t="s">
        <v>81</v>
      </c>
      <c r="D32" s="15"/>
      <c r="E32" s="15"/>
      <c r="F32" s="15"/>
      <c r="G32" s="15"/>
      <c r="H32" s="15"/>
      <c r="I32" s="15"/>
      <c r="J32" s="15">
        <f t="shared" si="15"/>
        <v>0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>
        <f t="shared" si="16"/>
        <v>0</v>
      </c>
      <c r="X32" s="15"/>
      <c r="Y32" s="15"/>
    </row>
    <row r="33" spans="2:25" x14ac:dyDescent="0.25"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2:25" x14ac:dyDescent="0.25">
      <c r="B34" s="5" t="s">
        <v>83</v>
      </c>
      <c r="D34" s="14">
        <f t="shared" ref="D34:Y34" si="29">+D5+D9+D13+D17</f>
        <v>-1.3106944152661064</v>
      </c>
      <c r="E34" s="14">
        <f t="shared" si="29"/>
        <v>-0.52247566526610634</v>
      </c>
      <c r="F34" s="14">
        <f t="shared" si="29"/>
        <v>-0.70160066526610665</v>
      </c>
      <c r="G34" s="14">
        <f t="shared" si="29"/>
        <v>0.80690563725490194</v>
      </c>
      <c r="H34" s="14">
        <f t="shared" si="29"/>
        <v>0.80690563725490194</v>
      </c>
      <c r="I34" s="14">
        <f t="shared" si="29"/>
        <v>-0.19309436274509806</v>
      </c>
      <c r="J34" s="14">
        <f t="shared" si="29"/>
        <v>-1.1140538340336139</v>
      </c>
      <c r="K34" s="14">
        <f t="shared" si="29"/>
        <v>3.9216210494864612</v>
      </c>
      <c r="L34" s="14">
        <f t="shared" si="29"/>
        <v>0.92162104948646206</v>
      </c>
      <c r="M34" s="14">
        <f t="shared" si="29"/>
        <v>3.9216210494864612</v>
      </c>
      <c r="N34" s="14">
        <f t="shared" si="29"/>
        <v>9.7589398520074671</v>
      </c>
      <c r="O34" s="14">
        <f t="shared" si="29"/>
        <v>11.822846102007468</v>
      </c>
      <c r="P34" s="14">
        <f t="shared" si="29"/>
        <v>7.7867523520074702</v>
      </c>
      <c r="Q34" s="14">
        <f t="shared" si="29"/>
        <v>5.4944876545284771</v>
      </c>
      <c r="R34" s="14">
        <f t="shared" si="29"/>
        <v>2.3944876545284774</v>
      </c>
      <c r="S34" s="14">
        <f t="shared" si="29"/>
        <v>2.3944876545284774</v>
      </c>
      <c r="T34" s="14">
        <f t="shared" si="29"/>
        <v>2.1852439570494848</v>
      </c>
      <c r="U34" s="14">
        <f t="shared" si="29"/>
        <v>2.525160457049485</v>
      </c>
      <c r="V34" s="14">
        <f t="shared" si="29"/>
        <v>3.7635042070494835</v>
      </c>
      <c r="W34" s="14">
        <f t="shared" si="29"/>
        <v>56.890773039215702</v>
      </c>
      <c r="X34" s="14">
        <f t="shared" si="29"/>
        <v>190.48888296918767</v>
      </c>
      <c r="Y34" s="14">
        <f t="shared" si="29"/>
        <v>447.95824440504236</v>
      </c>
    </row>
    <row r="35" spans="2:25" x14ac:dyDescent="0.25"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2:25" x14ac:dyDescent="0.25">
      <c r="B36" s="9" t="s">
        <v>84</v>
      </c>
      <c r="D36" s="15">
        <v>-0.01</v>
      </c>
      <c r="E36" s="15">
        <v>-0.01</v>
      </c>
      <c r="F36" s="15">
        <v>-0.01</v>
      </c>
      <c r="G36" s="15">
        <v>-0.01</v>
      </c>
      <c r="H36" s="15">
        <v>-0.01</v>
      </c>
      <c r="I36" s="15">
        <v>-0.01</v>
      </c>
      <c r="J36" s="15">
        <f>+SUM(D36:I36)</f>
        <v>-6.0000000000000005E-2</v>
      </c>
      <c r="K36" s="15">
        <v>-0.01</v>
      </c>
      <c r="L36" s="15">
        <v>-0.01</v>
      </c>
      <c r="M36" s="15">
        <v>-0.01</v>
      </c>
      <c r="N36" s="15">
        <v>-0.01</v>
      </c>
      <c r="O36" s="15">
        <v>-0.01</v>
      </c>
      <c r="P36" s="15">
        <v>-0.01</v>
      </c>
      <c r="Q36" s="15">
        <v>-0.01</v>
      </c>
      <c r="R36" s="15">
        <v>-0.01</v>
      </c>
      <c r="S36" s="15">
        <v>-0.01</v>
      </c>
      <c r="T36" s="15">
        <v>-0.01</v>
      </c>
      <c r="U36" s="15">
        <v>-0.01</v>
      </c>
      <c r="V36" s="15">
        <v>-0.01</v>
      </c>
      <c r="W36" s="15">
        <f>+SUM(K36:V36)</f>
        <v>-0.11999999999999998</v>
      </c>
      <c r="X36" s="15">
        <f>+V36*12</f>
        <v>-0.12</v>
      </c>
      <c r="Y36" s="15">
        <f>+X36</f>
        <v>-0.12</v>
      </c>
    </row>
    <row r="37" spans="2:25" x14ac:dyDescent="0.25"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2:25" x14ac:dyDescent="0.25">
      <c r="B38" s="5" t="s">
        <v>85</v>
      </c>
      <c r="D38" s="14">
        <f>+D34+D36</f>
        <v>-1.3206944152661064</v>
      </c>
      <c r="E38" s="14">
        <f t="shared" ref="E38:Y38" si="30">+E34+E36</f>
        <v>-0.53247566526610635</v>
      </c>
      <c r="F38" s="14">
        <f t="shared" si="30"/>
        <v>-0.71160066526610666</v>
      </c>
      <c r="G38" s="14">
        <f t="shared" si="30"/>
        <v>0.79690563725490193</v>
      </c>
      <c r="H38" s="14">
        <f t="shared" si="30"/>
        <v>0.79690563725490193</v>
      </c>
      <c r="I38" s="14">
        <f t="shared" si="30"/>
        <v>-0.20309436274509807</v>
      </c>
      <c r="J38" s="14">
        <f t="shared" si="30"/>
        <v>-1.174053834033614</v>
      </c>
      <c r="K38" s="14">
        <f t="shared" si="30"/>
        <v>3.9116210494864614</v>
      </c>
      <c r="L38" s="14">
        <f t="shared" si="30"/>
        <v>0.91162104948646205</v>
      </c>
      <c r="M38" s="14">
        <f t="shared" si="30"/>
        <v>3.9116210494864614</v>
      </c>
      <c r="N38" s="14">
        <f t="shared" si="30"/>
        <v>9.7489398520074673</v>
      </c>
      <c r="O38" s="14">
        <f t="shared" si="30"/>
        <v>11.812846102007468</v>
      </c>
      <c r="P38" s="14">
        <f t="shared" si="30"/>
        <v>7.7767523520074704</v>
      </c>
      <c r="Q38" s="14">
        <f t="shared" si="30"/>
        <v>5.4844876545284773</v>
      </c>
      <c r="R38" s="14">
        <f t="shared" si="30"/>
        <v>2.3844876545284777</v>
      </c>
      <c r="S38" s="14">
        <f t="shared" si="30"/>
        <v>2.3844876545284777</v>
      </c>
      <c r="T38" s="14">
        <f t="shared" si="30"/>
        <v>2.175243957049485</v>
      </c>
      <c r="U38" s="14">
        <f t="shared" si="30"/>
        <v>2.5151604570494852</v>
      </c>
      <c r="V38" s="14">
        <f t="shared" si="30"/>
        <v>3.7535042070494837</v>
      </c>
      <c r="W38" s="14">
        <f t="shared" si="30"/>
        <v>56.770773039215705</v>
      </c>
      <c r="X38" s="14">
        <f t="shared" si="30"/>
        <v>190.36888296918767</v>
      </c>
      <c r="Y38" s="14">
        <f t="shared" si="30"/>
        <v>447.83824440504236</v>
      </c>
    </row>
    <row r="39" spans="2:25" x14ac:dyDescent="0.25"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2:25" x14ac:dyDescent="0.25">
      <c r="B40" s="9" t="s">
        <v>86</v>
      </c>
      <c r="D40" s="15">
        <v>0</v>
      </c>
      <c r="E40" s="15">
        <v>0</v>
      </c>
      <c r="F40" s="15">
        <v>0</v>
      </c>
      <c r="G40" s="15">
        <f>+IF(SUM(D38:F38)&gt;0,SUM(D38:F38)*0.15,0)</f>
        <v>0</v>
      </c>
      <c r="H40" s="15">
        <f>+IF(SUM(D38:F38)&gt;0,SUM(D38:F38)*0.15,0)</f>
        <v>0</v>
      </c>
      <c r="I40" s="15">
        <v>0</v>
      </c>
      <c r="J40" s="15">
        <f>+SUM(D40:I40)</f>
        <v>0</v>
      </c>
      <c r="K40" s="15">
        <f>+IF(SUM(G38:I38)&gt;0,SUM(G38:I38)*0.15,0)</f>
        <v>0.20860753676470586</v>
      </c>
      <c r="L40" s="15">
        <f>+IF(SUM(G38:I38)&gt;0,SUM(G38:I38)*0.15,0)</f>
        <v>0.20860753676470586</v>
      </c>
      <c r="M40" s="15">
        <v>0</v>
      </c>
      <c r="N40" s="15">
        <f>+IF(SUM(K38:M38)&gt;0,SUM(K38:M38)*0.15,0)</f>
        <v>1.3102294722689078</v>
      </c>
      <c r="O40" s="15">
        <f>+IF(SUM(K38:M38)&gt;0,SUM(K38:M38)*0.15,0)</f>
        <v>1.3102294722689078</v>
      </c>
      <c r="P40" s="15">
        <v>0</v>
      </c>
      <c r="Q40" s="15">
        <f>+IF(SUM(N38:P38)&gt;0,SUM(N38:P38)*0.15,0)</f>
        <v>4.4007807459033605</v>
      </c>
      <c r="R40" s="15">
        <f>+IF(SUM(N38:P38)&gt;0,SUM(N38:P38)*0.15,0)</f>
        <v>4.4007807459033605</v>
      </c>
      <c r="S40" s="15">
        <v>0</v>
      </c>
      <c r="T40" s="15">
        <f>+IF(SUM(Q38:S38)&gt;0,SUM(Q38:S38)*0.15,0)</f>
        <v>1.5380194445378148</v>
      </c>
      <c r="U40" s="15">
        <f>+IF(SUM(Q38:S38)&gt;0,SUM(Q38:S38)*0.15,0)</f>
        <v>1.5380194445378148</v>
      </c>
      <c r="V40" s="15">
        <v>0</v>
      </c>
      <c r="W40" s="15">
        <f>+SUM(K40:V40)</f>
        <v>14.915274398949578</v>
      </c>
      <c r="X40" s="15">
        <f t="shared" ref="X40:Y40" si="31">-IF(X38&gt;0,X38*0.31)</f>
        <v>-59.014353720448177</v>
      </c>
      <c r="Y40" s="15">
        <f t="shared" si="31"/>
        <v>-138.82985576556314</v>
      </c>
    </row>
    <row r="41" spans="2:25" x14ac:dyDescent="0.25"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2:25" x14ac:dyDescent="0.25">
      <c r="B42" s="5" t="s">
        <v>87</v>
      </c>
      <c r="D42" s="14">
        <f>+D38+D40</f>
        <v>-1.3206944152661064</v>
      </c>
      <c r="E42" s="14">
        <f t="shared" ref="E42:Y42" si="32">+E38+E40</f>
        <v>-0.53247566526610635</v>
      </c>
      <c r="F42" s="14">
        <f t="shared" si="32"/>
        <v>-0.71160066526610666</v>
      </c>
      <c r="G42" s="14">
        <f t="shared" si="32"/>
        <v>0.79690563725490193</v>
      </c>
      <c r="H42" s="14">
        <f t="shared" si="32"/>
        <v>0.79690563725490193</v>
      </c>
      <c r="I42" s="14">
        <f t="shared" si="32"/>
        <v>-0.20309436274509807</v>
      </c>
      <c r="J42" s="14">
        <f t="shared" si="32"/>
        <v>-1.174053834033614</v>
      </c>
      <c r="K42" s="14">
        <f t="shared" si="32"/>
        <v>4.1202285862511676</v>
      </c>
      <c r="L42" s="14">
        <f t="shared" si="32"/>
        <v>1.1202285862511678</v>
      </c>
      <c r="M42" s="14">
        <f t="shared" si="32"/>
        <v>3.9116210494864614</v>
      </c>
      <c r="N42" s="14">
        <f t="shared" si="32"/>
        <v>11.059169324276375</v>
      </c>
      <c r="O42" s="14">
        <f t="shared" si="32"/>
        <v>13.123075574276376</v>
      </c>
      <c r="P42" s="14">
        <f t="shared" si="32"/>
        <v>7.7767523520074704</v>
      </c>
      <c r="Q42" s="14">
        <f t="shared" si="32"/>
        <v>9.885268400431837</v>
      </c>
      <c r="R42" s="14">
        <f t="shared" si="32"/>
        <v>6.7852684004318382</v>
      </c>
      <c r="S42" s="14">
        <f t="shared" si="32"/>
        <v>2.3844876545284777</v>
      </c>
      <c r="T42" s="14">
        <f t="shared" si="32"/>
        <v>3.7132634015872998</v>
      </c>
      <c r="U42" s="14">
        <f t="shared" si="32"/>
        <v>4.0531799015873</v>
      </c>
      <c r="V42" s="14">
        <f t="shared" si="32"/>
        <v>3.7535042070494837</v>
      </c>
      <c r="W42" s="14">
        <f t="shared" si="32"/>
        <v>71.686047438165275</v>
      </c>
      <c r="X42" s="14">
        <f t="shared" si="32"/>
        <v>131.35452924873948</v>
      </c>
      <c r="Y42" s="14">
        <f t="shared" si="32"/>
        <v>309.00838863947922</v>
      </c>
    </row>
    <row r="43" spans="2:25" x14ac:dyDescent="0.25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2:25" x14ac:dyDescent="0.25">
      <c r="B44" s="9" t="s">
        <v>88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f>+SUM(D44:I44)</f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f>+SUM(K44:V44)</f>
        <v>0</v>
      </c>
      <c r="X44" s="15">
        <v>-0.25</v>
      </c>
      <c r="Y44" s="15">
        <f>+X44</f>
        <v>-0.25</v>
      </c>
    </row>
    <row r="45" spans="2:25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2:25" x14ac:dyDescent="0.25">
      <c r="B46" s="5" t="s">
        <v>89</v>
      </c>
      <c r="D46" s="14">
        <f>+D42+D44</f>
        <v>-1.3206944152661064</v>
      </c>
      <c r="E46" s="14">
        <f t="shared" ref="E46:Y46" si="33">+E42+E44</f>
        <v>-0.53247566526610635</v>
      </c>
      <c r="F46" s="14">
        <f t="shared" si="33"/>
        <v>-0.71160066526610666</v>
      </c>
      <c r="G46" s="14">
        <f t="shared" si="33"/>
        <v>0.79690563725490193</v>
      </c>
      <c r="H46" s="14">
        <f t="shared" si="33"/>
        <v>0.79690563725490193</v>
      </c>
      <c r="I46" s="14">
        <f t="shared" si="33"/>
        <v>-0.20309436274509807</v>
      </c>
      <c r="J46" s="14">
        <f t="shared" si="33"/>
        <v>-1.174053834033614</v>
      </c>
      <c r="K46" s="14">
        <f t="shared" si="33"/>
        <v>4.1202285862511676</v>
      </c>
      <c r="L46" s="14">
        <f t="shared" si="33"/>
        <v>1.1202285862511678</v>
      </c>
      <c r="M46" s="14">
        <f t="shared" si="33"/>
        <v>3.9116210494864614</v>
      </c>
      <c r="N46" s="14">
        <f t="shared" si="33"/>
        <v>11.059169324276375</v>
      </c>
      <c r="O46" s="14">
        <f t="shared" si="33"/>
        <v>13.123075574276376</v>
      </c>
      <c r="P46" s="14">
        <f t="shared" si="33"/>
        <v>7.7767523520074704</v>
      </c>
      <c r="Q46" s="14">
        <f t="shared" si="33"/>
        <v>9.885268400431837</v>
      </c>
      <c r="R46" s="14">
        <f t="shared" si="33"/>
        <v>6.7852684004318382</v>
      </c>
      <c r="S46" s="14">
        <f t="shared" si="33"/>
        <v>2.3844876545284777</v>
      </c>
      <c r="T46" s="14">
        <f t="shared" si="33"/>
        <v>3.7132634015872998</v>
      </c>
      <c r="U46" s="14">
        <f t="shared" si="33"/>
        <v>4.0531799015873</v>
      </c>
      <c r="V46" s="14">
        <f t="shared" si="33"/>
        <v>3.7535042070494837</v>
      </c>
      <c r="W46" s="14">
        <f t="shared" si="33"/>
        <v>71.686047438165275</v>
      </c>
      <c r="X46" s="14">
        <f t="shared" si="33"/>
        <v>131.10452924873948</v>
      </c>
      <c r="Y46" s="14">
        <f t="shared" si="33"/>
        <v>308.75838863947922</v>
      </c>
    </row>
    <row r="47" spans="2:25" x14ac:dyDescent="0.2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2:25" x14ac:dyDescent="0.25">
      <c r="B48" t="s">
        <v>90</v>
      </c>
      <c r="D48" s="15">
        <f>-Lebenshaltung!$D$39/1000</f>
        <v>-3.2275999166666671</v>
      </c>
      <c r="E48" s="15">
        <f>-Lebenshaltung!$D$39/1000</f>
        <v>-3.2275999166666671</v>
      </c>
      <c r="F48" s="15">
        <f>-Lebenshaltung!$D$39/1000</f>
        <v>-3.2275999166666671</v>
      </c>
      <c r="G48" s="15">
        <f>-Lebenshaltung!$D$39/1000</f>
        <v>-3.2275999166666671</v>
      </c>
      <c r="H48" s="15">
        <f>-Lebenshaltung!$D$39/1000</f>
        <v>-3.2275999166666671</v>
      </c>
      <c r="I48" s="15">
        <f>-Lebenshaltung!$D$39/1000</f>
        <v>-3.2275999166666671</v>
      </c>
      <c r="J48" s="15">
        <f t="shared" ref="J48:J49" si="34">+SUM(D48:I48)</f>
        <v>-19.365599500000002</v>
      </c>
      <c r="K48" s="15">
        <f>-Lebenshaltung!$F$39/12/1000</f>
        <v>-3.3244279141666664</v>
      </c>
      <c r="L48" s="15">
        <f>-Lebenshaltung!$F$39/12/1000</f>
        <v>-3.3244279141666664</v>
      </c>
      <c r="M48" s="15">
        <f>-Lebenshaltung!$F$39/12/1000</f>
        <v>-3.3244279141666664</v>
      </c>
      <c r="N48" s="15">
        <f>-Lebenshaltung!$F$39/12/1000</f>
        <v>-3.3244279141666664</v>
      </c>
      <c r="O48" s="15">
        <f>-Lebenshaltung!$F$39/12/1000</f>
        <v>-3.3244279141666664</v>
      </c>
      <c r="P48" s="15">
        <f>-Lebenshaltung!$F$39/12/1000</f>
        <v>-3.3244279141666664</v>
      </c>
      <c r="Q48" s="15">
        <f>-Lebenshaltung!$F$39/12/1000</f>
        <v>-3.3244279141666664</v>
      </c>
      <c r="R48" s="15">
        <f>-Lebenshaltung!$F$39/12/1000</f>
        <v>-3.3244279141666664</v>
      </c>
      <c r="S48" s="15">
        <f>-Lebenshaltung!$F$39/12/1000</f>
        <v>-3.3244279141666664</v>
      </c>
      <c r="T48" s="15">
        <f>-Lebenshaltung!$F$39/12/1000</f>
        <v>-3.3244279141666664</v>
      </c>
      <c r="U48" s="15">
        <f>-Lebenshaltung!$F$39/12/1000</f>
        <v>-3.3244279141666664</v>
      </c>
      <c r="V48" s="15">
        <f>-Lebenshaltung!$F$39/12/1000</f>
        <v>-3.3244279141666664</v>
      </c>
      <c r="W48" s="15">
        <f t="shared" ref="W48:W49" si="35">+SUM(K48:V48)</f>
        <v>-39.893134970000006</v>
      </c>
      <c r="X48" s="15">
        <f>-Lebenshaltung!$G$39/1000</f>
        <v>-41.089929019100005</v>
      </c>
      <c r="Y48" s="15">
        <f>-Lebenshaltung!$G$39/1000</f>
        <v>-41.089929019100005</v>
      </c>
    </row>
    <row r="49" spans="2:25" x14ac:dyDescent="0.25">
      <c r="B49" t="s">
        <v>91</v>
      </c>
      <c r="D49" s="15">
        <f t="shared" ref="D49:I49" si="36">-D18</f>
        <v>8.3333333333333329E-2</v>
      </c>
      <c r="E49" s="15">
        <f t="shared" si="36"/>
        <v>8.3333333333333329E-2</v>
      </c>
      <c r="F49" s="15">
        <f t="shared" si="36"/>
        <v>8.3333333333333329E-2</v>
      </c>
      <c r="G49" s="15">
        <f t="shared" si="36"/>
        <v>8.3333333333333329E-2</v>
      </c>
      <c r="H49" s="15">
        <f t="shared" si="36"/>
        <v>8.3333333333333329E-2</v>
      </c>
      <c r="I49" s="15">
        <f t="shared" si="36"/>
        <v>8.3333333333333329E-2</v>
      </c>
      <c r="J49" s="15">
        <f t="shared" si="34"/>
        <v>0.49999999999999994</v>
      </c>
      <c r="K49" s="15">
        <f t="shared" ref="K49:V49" si="37">-K18</f>
        <v>0.18055555555555558</v>
      </c>
      <c r="L49" s="15">
        <f t="shared" si="37"/>
        <v>0.18055555555555558</v>
      </c>
      <c r="M49" s="15">
        <f t="shared" si="37"/>
        <v>0.18055555555555558</v>
      </c>
      <c r="N49" s="15">
        <f t="shared" si="37"/>
        <v>0.18055555555555558</v>
      </c>
      <c r="O49" s="15">
        <f t="shared" si="37"/>
        <v>0.18055555555555558</v>
      </c>
      <c r="P49" s="15">
        <f t="shared" si="37"/>
        <v>0.18055555555555558</v>
      </c>
      <c r="Q49" s="15">
        <f t="shared" si="37"/>
        <v>0.18055555555555558</v>
      </c>
      <c r="R49" s="15">
        <f t="shared" si="37"/>
        <v>0.18055555555555558</v>
      </c>
      <c r="S49" s="15">
        <f t="shared" si="37"/>
        <v>0.18055555555555558</v>
      </c>
      <c r="T49" s="15">
        <f t="shared" si="37"/>
        <v>0.18055555555555558</v>
      </c>
      <c r="U49" s="15">
        <f t="shared" si="37"/>
        <v>0.18055555555555558</v>
      </c>
      <c r="V49" s="15">
        <f t="shared" si="37"/>
        <v>0.18055555555555558</v>
      </c>
      <c r="W49" s="15">
        <f t="shared" si="35"/>
        <v>2.166666666666667</v>
      </c>
      <c r="X49" s="15">
        <f>-X18</f>
        <v>3.8333333333333335</v>
      </c>
      <c r="Y49" s="15">
        <f>-Y18</f>
        <v>5.5</v>
      </c>
    </row>
    <row r="50" spans="2:25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2:25" x14ac:dyDescent="0.25">
      <c r="B51" s="5" t="s">
        <v>92</v>
      </c>
      <c r="D51" s="14">
        <f>+D46+D48+D49</f>
        <v>-4.4649609985994401</v>
      </c>
      <c r="E51" s="14">
        <f t="shared" ref="E51:Y51" si="38">+E46+E48+E49</f>
        <v>-3.6767422485994401</v>
      </c>
      <c r="F51" s="14">
        <f t="shared" si="38"/>
        <v>-3.8558672485994401</v>
      </c>
      <c r="G51" s="14">
        <f t="shared" si="38"/>
        <v>-2.3473609460784317</v>
      </c>
      <c r="H51" s="14">
        <f t="shared" si="38"/>
        <v>-2.3473609460784317</v>
      </c>
      <c r="I51" s="14">
        <f t="shared" si="38"/>
        <v>-3.3473609460784317</v>
      </c>
      <c r="J51" s="14">
        <f t="shared" si="38"/>
        <v>-20.039653334033616</v>
      </c>
      <c r="K51" s="14">
        <f t="shared" si="38"/>
        <v>0.97635622764005681</v>
      </c>
      <c r="L51" s="14">
        <f t="shared" si="38"/>
        <v>-2.023643772359943</v>
      </c>
      <c r="M51" s="14">
        <f t="shared" si="38"/>
        <v>0.76774869087535058</v>
      </c>
      <c r="N51" s="14">
        <f t="shared" si="38"/>
        <v>7.9152969656652648</v>
      </c>
      <c r="O51" s="14">
        <f t="shared" si="38"/>
        <v>9.9792032156652652</v>
      </c>
      <c r="P51" s="14">
        <f t="shared" si="38"/>
        <v>4.6328799933963598</v>
      </c>
      <c r="Q51" s="14">
        <f t="shared" si="38"/>
        <v>6.7413960418207264</v>
      </c>
      <c r="R51" s="14">
        <f t="shared" si="38"/>
        <v>3.6413960418207276</v>
      </c>
      <c r="S51" s="14">
        <f t="shared" si="38"/>
        <v>-0.75938470408263314</v>
      </c>
      <c r="T51" s="14">
        <f t="shared" si="38"/>
        <v>0.56939104297618903</v>
      </c>
      <c r="U51" s="14">
        <f t="shared" si="38"/>
        <v>0.90930754297618921</v>
      </c>
      <c r="V51" s="14">
        <f t="shared" si="38"/>
        <v>0.60963184843837293</v>
      </c>
      <c r="W51" s="14">
        <f t="shared" si="38"/>
        <v>33.959579134831934</v>
      </c>
      <c r="X51" s="14">
        <f t="shared" si="38"/>
        <v>93.847933562972813</v>
      </c>
      <c r="Y51" s="14">
        <f t="shared" si="38"/>
        <v>273.16845962037922</v>
      </c>
    </row>
  </sheetData>
  <mergeCells count="22">
    <mergeCell ref="V2:V3"/>
    <mergeCell ref="W2:W3"/>
    <mergeCell ref="X2:X3"/>
    <mergeCell ref="Y2:Y3"/>
    <mergeCell ref="P2:P3"/>
    <mergeCell ref="Q2:Q3"/>
    <mergeCell ref="R2:R3"/>
    <mergeCell ref="S2:S3"/>
    <mergeCell ref="T2:T3"/>
    <mergeCell ref="U2:U3"/>
    <mergeCell ref="O2:O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A7FC-DEEC-40B6-9B00-B0D4F39AE581}">
  <dimension ref="B2:G27"/>
  <sheetViews>
    <sheetView showGridLines="0" workbookViewId="0">
      <selection activeCell="L33" sqref="L33"/>
    </sheetView>
  </sheetViews>
  <sheetFormatPr defaultRowHeight="15" x14ac:dyDescent="0.25"/>
  <cols>
    <col min="1" max="1" width="2.5703125" customWidth="1"/>
    <col min="2" max="2" width="30.85546875" bestFit="1" customWidth="1"/>
    <col min="3" max="3" width="1.7109375" customWidth="1"/>
  </cols>
  <sheetData>
    <row r="2" spans="2:7" x14ac:dyDescent="0.25">
      <c r="B2" s="4" t="s">
        <v>110</v>
      </c>
      <c r="D2" s="28" t="s">
        <v>34</v>
      </c>
      <c r="E2" s="27">
        <v>2024</v>
      </c>
      <c r="F2" s="27">
        <v>2025</v>
      </c>
      <c r="G2" s="27">
        <v>2026</v>
      </c>
    </row>
    <row r="3" spans="2:7" x14ac:dyDescent="0.25">
      <c r="B3" s="4" t="s">
        <v>111</v>
      </c>
      <c r="D3" s="27"/>
      <c r="E3" s="27"/>
      <c r="F3" s="27"/>
      <c r="G3" s="27"/>
    </row>
    <row r="5" spans="2:7" x14ac:dyDescent="0.25">
      <c r="B5" s="5" t="s">
        <v>122</v>
      </c>
      <c r="D5" s="14">
        <f>+Liquidität!J5</f>
        <v>0</v>
      </c>
      <c r="E5" s="14">
        <f>+Liquidität!W5</f>
        <v>3.1131961659663823</v>
      </c>
      <c r="F5" s="14">
        <f>+Liquidität!X5</f>
        <v>42.890669548576042</v>
      </c>
      <c r="G5" s="14">
        <f>+Liquidität!Y5</f>
        <v>137.50655838564887</v>
      </c>
    </row>
    <row r="6" spans="2:7" x14ac:dyDescent="0.25">
      <c r="D6" s="15"/>
      <c r="E6" s="15"/>
      <c r="F6" s="15"/>
      <c r="G6" s="15"/>
    </row>
    <row r="7" spans="2:7" x14ac:dyDescent="0.25">
      <c r="B7" s="5" t="s">
        <v>108</v>
      </c>
      <c r="D7" s="14">
        <f>+Liquidität!J7</f>
        <v>16.372062499999998</v>
      </c>
      <c r="E7" s="14">
        <f>+Liquidität!W7</f>
        <v>201.48484999999997</v>
      </c>
      <c r="F7" s="14">
        <f>+Liquidität!X7</f>
        <v>865.5107999999999</v>
      </c>
      <c r="G7" s="14">
        <f>+Liquidität!Y7</f>
        <v>1915.4835000000003</v>
      </c>
    </row>
    <row r="8" spans="2:7" x14ac:dyDescent="0.25">
      <c r="B8" s="9" t="s">
        <v>113</v>
      </c>
      <c r="D8" s="15">
        <f>+Liquidität!J8</f>
        <v>5</v>
      </c>
      <c r="E8" s="15">
        <f>+Liquidität!W8</f>
        <v>0</v>
      </c>
      <c r="F8" s="15">
        <f>+Liquidität!X8</f>
        <v>0</v>
      </c>
      <c r="G8" s="15">
        <f>+Liquidität!Y8</f>
        <v>0</v>
      </c>
    </row>
    <row r="9" spans="2:7" x14ac:dyDescent="0.25">
      <c r="B9" s="9" t="s">
        <v>112</v>
      </c>
      <c r="D9" s="15">
        <f>+Liquidität!J9</f>
        <v>9.5720624999999995</v>
      </c>
      <c r="E9" s="15">
        <f>+Liquidität!W9</f>
        <v>201.48484999999997</v>
      </c>
      <c r="F9" s="15">
        <f>+Liquidität!X9</f>
        <v>865.5107999999999</v>
      </c>
      <c r="G9" s="15">
        <f>+Liquidität!Y9</f>
        <v>1915.4835000000003</v>
      </c>
    </row>
    <row r="10" spans="2:7" ht="17.25" x14ac:dyDescent="0.25">
      <c r="B10" s="9" t="s">
        <v>114</v>
      </c>
      <c r="D10" s="20">
        <f>+Liquidität!J10</f>
        <v>1.8</v>
      </c>
      <c r="E10" s="20">
        <f>+Liquidität!W10</f>
        <v>0</v>
      </c>
      <c r="F10" s="20">
        <f>+Liquidität!X10</f>
        <v>0</v>
      </c>
      <c r="G10" s="20">
        <f>+Liquidität!Y10</f>
        <v>0</v>
      </c>
    </row>
    <row r="11" spans="2:7" x14ac:dyDescent="0.25">
      <c r="B11" s="9" t="s">
        <v>118</v>
      </c>
      <c r="D11" s="20">
        <f>+Liquidität!J11</f>
        <v>0</v>
      </c>
      <c r="E11" s="20">
        <f>+Liquidität!W11</f>
        <v>0</v>
      </c>
      <c r="F11" s="20">
        <f>+Liquidität!X11</f>
        <v>0</v>
      </c>
      <c r="G11" s="20">
        <f>+Liquidität!Y11</f>
        <v>0</v>
      </c>
    </row>
    <row r="12" spans="2:7" x14ac:dyDescent="0.25">
      <c r="D12" s="20"/>
      <c r="E12" s="20"/>
      <c r="F12" s="20"/>
      <c r="G12" s="20"/>
    </row>
    <row r="13" spans="2:7" x14ac:dyDescent="0.25">
      <c r="B13" s="5" t="s">
        <v>109</v>
      </c>
      <c r="D13" s="14">
        <f>+Liquidität!J13</f>
        <v>-13.258866334033616</v>
      </c>
      <c r="E13" s="14">
        <f>+Liquidität!W13</f>
        <v>-161.70737661739031</v>
      </c>
      <c r="F13" s="14">
        <f>+Liquidität!X13</f>
        <v>-770.89491116292709</v>
      </c>
      <c r="G13" s="14">
        <f>+Liquidität!Y13</f>
        <v>-1642.5917443178712</v>
      </c>
    </row>
    <row r="14" spans="2:7" x14ac:dyDescent="0.25">
      <c r="B14" s="9" t="s">
        <v>39</v>
      </c>
      <c r="D14" s="15">
        <f>+Liquidität!J14</f>
        <v>-3.4830000000000001</v>
      </c>
      <c r="E14" s="15">
        <f>+Liquidität!W14</f>
        <v>-5.5</v>
      </c>
      <c r="F14" s="15">
        <f>+Liquidität!X14</f>
        <v>-5.5</v>
      </c>
      <c r="G14" s="15">
        <f>+Liquidität!Y14</f>
        <v>-5.5</v>
      </c>
    </row>
    <row r="15" spans="2:7" x14ac:dyDescent="0.25">
      <c r="B15" s="9" t="s">
        <v>61</v>
      </c>
      <c r="D15" s="15">
        <f>+Liquidität!J15</f>
        <v>-0.92773109243697494</v>
      </c>
      <c r="E15" s="15">
        <f>+Liquidität!W15</f>
        <v>-8.788235294117646</v>
      </c>
      <c r="F15" s="15">
        <f>+Liquidität!X15</f>
        <v>-25.109243697478995</v>
      </c>
      <c r="G15" s="15">
        <f>+Liquidität!Y15</f>
        <v>-50.21848739495799</v>
      </c>
    </row>
    <row r="16" spans="2:7" x14ac:dyDescent="0.25">
      <c r="B16" s="9" t="s">
        <v>116</v>
      </c>
      <c r="D16" s="15">
        <f>+Liquidität!J16</f>
        <v>0</v>
      </c>
      <c r="E16" s="15">
        <f>+Liquidität!W16</f>
        <v>-73.2</v>
      </c>
      <c r="F16" s="15">
        <f>+Liquidität!X16</f>
        <v>-432.39599999999996</v>
      </c>
      <c r="G16" s="15">
        <f>+Liquidität!Y16</f>
        <v>-957.06788000000006</v>
      </c>
    </row>
    <row r="17" spans="2:7" x14ac:dyDescent="0.25">
      <c r="B17" s="9" t="s">
        <v>124</v>
      </c>
      <c r="D17" s="15">
        <f>+Liquidität!J17</f>
        <v>-7.7300727415966399</v>
      </c>
      <c r="E17" s="15">
        <f>+Liquidität!W17</f>
        <v>-28.269325000000002</v>
      </c>
      <c r="F17" s="15">
        <f>+Liquidität!X17</f>
        <v>-75.492539999999991</v>
      </c>
      <c r="G17" s="15">
        <f>+Liquidität!Y17</f>
        <v>-148.90538819999998</v>
      </c>
    </row>
    <row r="18" spans="2:7" x14ac:dyDescent="0.25">
      <c r="B18" s="9" t="s">
        <v>117</v>
      </c>
      <c r="D18" s="15">
        <f>+Liquidität!J18</f>
        <v>-6.0000000000000005E-2</v>
      </c>
      <c r="E18" s="15">
        <f>+Liquidität!W18</f>
        <v>-0.11999999999999998</v>
      </c>
      <c r="F18" s="15">
        <f>+Liquidität!X18</f>
        <v>-0.12</v>
      </c>
      <c r="G18" s="15">
        <f>+Liquidität!Y18</f>
        <v>-0.12</v>
      </c>
    </row>
    <row r="19" spans="2:7" x14ac:dyDescent="0.25">
      <c r="B19" s="9" t="s">
        <v>118</v>
      </c>
      <c r="D19" s="20">
        <f>+Liquidität!J19</f>
        <v>0</v>
      </c>
      <c r="E19" s="20">
        <f>+Liquidität!W19</f>
        <v>0</v>
      </c>
      <c r="F19" s="20">
        <f>+Liquidität!X19</f>
        <v>0</v>
      </c>
      <c r="G19" s="20">
        <f>+Liquidität!Y19</f>
        <v>0</v>
      </c>
    </row>
    <row r="20" spans="2:7" x14ac:dyDescent="0.25">
      <c r="B20" s="9" t="s">
        <v>119</v>
      </c>
      <c r="D20" s="15">
        <f>+Liquidität!J20</f>
        <v>-1.0580625000000001</v>
      </c>
      <c r="E20" s="15">
        <f>+Liquidität!W20</f>
        <v>-12.022074823272645</v>
      </c>
      <c r="F20" s="15">
        <f>+Liquidität!X20</f>
        <v>-197.45515372044818</v>
      </c>
      <c r="G20" s="15">
        <f>+Liquidität!Y20</f>
        <v>-444.91335576556321</v>
      </c>
    </row>
    <row r="21" spans="2:7" x14ac:dyDescent="0.25">
      <c r="B21" s="9" t="s">
        <v>120</v>
      </c>
      <c r="D21" s="20">
        <f>+Liquidität!J21</f>
        <v>0</v>
      </c>
      <c r="E21" s="20">
        <f>+Liquidität!W21</f>
        <v>-33.807741500000006</v>
      </c>
      <c r="F21" s="20">
        <f>+Liquidität!X21</f>
        <v>-34.821973745000001</v>
      </c>
      <c r="G21" s="20">
        <f>+Liquidität!Y21</f>
        <v>-35.866632957350006</v>
      </c>
    </row>
    <row r="22" spans="2:7" x14ac:dyDescent="0.25">
      <c r="D22" s="15"/>
      <c r="E22" s="15"/>
      <c r="F22" s="15"/>
      <c r="G22" s="15"/>
    </row>
    <row r="23" spans="2:7" x14ac:dyDescent="0.25">
      <c r="B23" s="5" t="s">
        <v>123</v>
      </c>
      <c r="D23" s="14">
        <f>+Liquidität!J23</f>
        <v>3.1131961659663823</v>
      </c>
      <c r="E23" s="14">
        <f>+Liquidität!W23</f>
        <v>39.777473382609656</v>
      </c>
      <c r="F23" s="14">
        <f>+Liquidität!X23</f>
        <v>94.615888837072816</v>
      </c>
      <c r="G23" s="14">
        <f>+Liquidität!Y23</f>
        <v>272.89175568212909</v>
      </c>
    </row>
    <row r="24" spans="2:7" x14ac:dyDescent="0.25">
      <c r="D24" s="15"/>
      <c r="E24" s="15"/>
      <c r="F24" s="15"/>
      <c r="G24" s="15"/>
    </row>
    <row r="25" spans="2:7" x14ac:dyDescent="0.25">
      <c r="B25" s="5" t="s">
        <v>121</v>
      </c>
      <c r="D25" s="14">
        <f>+Liquidität!J25</f>
        <v>3.1131961659663823</v>
      </c>
      <c r="E25" s="14">
        <f>+Liquidität!W25</f>
        <v>42.890669548576042</v>
      </c>
      <c r="F25" s="14">
        <f>+Liquidität!X25</f>
        <v>137.50655838564887</v>
      </c>
      <c r="G25" s="14">
        <f>+Liquidität!Y25</f>
        <v>410.39831406777796</v>
      </c>
    </row>
    <row r="27" spans="2:7" ht="17.25" x14ac:dyDescent="0.25">
      <c r="B27" t="s">
        <v>115</v>
      </c>
    </row>
  </sheetData>
  <mergeCells count="4">
    <mergeCell ref="E2:E3"/>
    <mergeCell ref="F2:F3"/>
    <mergeCell ref="G2:G3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A65B-FE6F-4728-98C4-DF191DC7CE4D}">
  <dimension ref="B2:H22"/>
  <sheetViews>
    <sheetView showGridLines="0" workbookViewId="0">
      <selection activeCell="B26" sqref="B26"/>
    </sheetView>
  </sheetViews>
  <sheetFormatPr defaultRowHeight="15" x14ac:dyDescent="0.25"/>
  <cols>
    <col min="2" max="2" width="35.140625" customWidth="1"/>
    <col min="3" max="3" width="1.7109375" customWidth="1"/>
    <col min="4" max="4" width="10.28515625" bestFit="1" customWidth="1"/>
    <col min="6" max="7" width="9.5703125" bestFit="1" customWidth="1"/>
  </cols>
  <sheetData>
    <row r="2" spans="2:8" ht="15" customHeight="1" x14ac:dyDescent="0.25">
      <c r="B2" s="4" t="s">
        <v>135</v>
      </c>
      <c r="D2" s="28" t="s">
        <v>34</v>
      </c>
      <c r="E2" s="27">
        <v>2024</v>
      </c>
      <c r="F2" s="27">
        <v>2025</v>
      </c>
      <c r="G2" s="27">
        <v>2026</v>
      </c>
    </row>
    <row r="3" spans="2:8" x14ac:dyDescent="0.25">
      <c r="B3" s="4" t="s">
        <v>111</v>
      </c>
      <c r="D3" s="27"/>
      <c r="E3" s="27"/>
      <c r="F3" s="27"/>
      <c r="G3" s="27"/>
    </row>
    <row r="5" spans="2:8" x14ac:dyDescent="0.25">
      <c r="B5" s="5" t="s">
        <v>94</v>
      </c>
      <c r="D5" s="19">
        <f>+SUM(D6:D13)</f>
        <v>0</v>
      </c>
      <c r="E5" s="19">
        <f>+SUM(E6:E9)</f>
        <v>97.374999999999986</v>
      </c>
      <c r="F5" s="19">
        <f t="shared" ref="F5:G5" si="0">+SUM(F6:F9)</f>
        <v>532.5</v>
      </c>
      <c r="G5" s="19">
        <f t="shared" si="0"/>
        <v>1293.7500000000002</v>
      </c>
    </row>
    <row r="6" spans="2:8" x14ac:dyDescent="0.25">
      <c r="B6" s="9" t="s">
        <v>41</v>
      </c>
      <c r="D6" s="17">
        <f>+D12*0.035*6</f>
        <v>0</v>
      </c>
      <c r="E6" s="17">
        <f>+E12*0.035*12</f>
        <v>63.000000000000014</v>
      </c>
      <c r="F6" s="17">
        <f t="shared" ref="F6:G6" si="1">+F12*0.035*12</f>
        <v>420</v>
      </c>
      <c r="G6" s="17">
        <f t="shared" si="1"/>
        <v>1050.0000000000002</v>
      </c>
      <c r="H6" t="s">
        <v>142</v>
      </c>
    </row>
    <row r="7" spans="2:8" x14ac:dyDescent="0.25">
      <c r="B7" s="9" t="s">
        <v>133</v>
      </c>
      <c r="D7" s="17">
        <f>+D12*0.15*0.25</f>
        <v>0</v>
      </c>
      <c r="E7" s="17">
        <f t="shared" ref="E7:G7" si="2">+E12*0.15*0.25</f>
        <v>5.625</v>
      </c>
      <c r="F7" s="17">
        <f t="shared" si="2"/>
        <v>37.5</v>
      </c>
      <c r="G7" s="17">
        <f t="shared" si="2"/>
        <v>93.75</v>
      </c>
      <c r="H7" t="s">
        <v>141</v>
      </c>
    </row>
    <row r="8" spans="2:8" x14ac:dyDescent="0.25">
      <c r="B8" s="9" t="s">
        <v>134</v>
      </c>
      <c r="D8" s="17">
        <f>+D11*0.1*5</f>
        <v>0</v>
      </c>
      <c r="E8" s="17">
        <f>+E11*0.1*10</f>
        <v>10</v>
      </c>
      <c r="F8" s="17">
        <f t="shared" ref="F8:G8" si="3">+F11*0.1*10</f>
        <v>50</v>
      </c>
      <c r="G8" s="17">
        <f t="shared" si="3"/>
        <v>100</v>
      </c>
      <c r="H8" t="s">
        <v>140</v>
      </c>
    </row>
    <row r="9" spans="2:8" x14ac:dyDescent="0.25">
      <c r="B9" s="9" t="s">
        <v>136</v>
      </c>
      <c r="D9" s="17">
        <v>0</v>
      </c>
      <c r="E9" s="17">
        <f>2.08333333333333*9</f>
        <v>18.749999999999968</v>
      </c>
      <c r="F9" s="17">
        <f>2.08333333333333*12</f>
        <v>24.999999999999957</v>
      </c>
      <c r="G9" s="17">
        <f>+F9*2</f>
        <v>49.999999999999915</v>
      </c>
    </row>
    <row r="10" spans="2:8" x14ac:dyDescent="0.25">
      <c r="B10" s="9"/>
      <c r="D10" s="8"/>
      <c r="E10" s="8"/>
      <c r="F10" s="8"/>
      <c r="G10" s="8"/>
    </row>
    <row r="11" spans="2:8" x14ac:dyDescent="0.25">
      <c r="B11" s="9" t="s">
        <v>138</v>
      </c>
      <c r="D11" s="18">
        <v>0</v>
      </c>
      <c r="E11" s="18">
        <v>10</v>
      </c>
      <c r="F11" s="18">
        <v>50</v>
      </c>
      <c r="G11" s="18">
        <v>100</v>
      </c>
    </row>
    <row r="12" spans="2:8" x14ac:dyDescent="0.25">
      <c r="B12" s="9" t="s">
        <v>139</v>
      </c>
      <c r="D12" s="18">
        <f>+D11*25</f>
        <v>0</v>
      </c>
      <c r="E12" s="18">
        <f>+E11*15</f>
        <v>150</v>
      </c>
      <c r="F12" s="18">
        <f>+F11*20</f>
        <v>1000</v>
      </c>
      <c r="G12" s="18">
        <f t="shared" ref="G12" si="4">+G11*25</f>
        <v>2500</v>
      </c>
      <c r="H12" t="s">
        <v>144</v>
      </c>
    </row>
    <row r="14" spans="2:8" x14ac:dyDescent="0.25">
      <c r="B14" s="5" t="s">
        <v>93</v>
      </c>
      <c r="D14" s="19">
        <f t="shared" ref="D14:F14" si="5">+D15+D18</f>
        <v>8.25</v>
      </c>
      <c r="E14" s="19">
        <f t="shared" si="5"/>
        <v>71.94</v>
      </c>
      <c r="F14" s="19">
        <f t="shared" si="5"/>
        <v>194.82</v>
      </c>
      <c r="G14" s="19">
        <f>+G15+G18</f>
        <v>315.90000000000003</v>
      </c>
    </row>
    <row r="15" spans="2:8" x14ac:dyDescent="0.25">
      <c r="B15" s="9" t="s">
        <v>132</v>
      </c>
      <c r="D15" s="17">
        <f>+D16*50/1000*6</f>
        <v>1.5</v>
      </c>
      <c r="E15" s="17">
        <f t="shared" ref="E15:G15" si="6">+E16*50/1000*12</f>
        <v>12</v>
      </c>
      <c r="F15" s="17">
        <f t="shared" si="6"/>
        <v>15</v>
      </c>
      <c r="G15" s="17">
        <f t="shared" si="6"/>
        <v>16.200000000000003</v>
      </c>
    </row>
    <row r="16" spans="2:8" x14ac:dyDescent="0.25">
      <c r="B16" s="16" t="s">
        <v>138</v>
      </c>
      <c r="D16" s="18">
        <v>5</v>
      </c>
      <c r="E16" s="18">
        <v>20</v>
      </c>
      <c r="F16" s="18">
        <v>25</v>
      </c>
      <c r="G16" s="18">
        <v>27</v>
      </c>
    </row>
    <row r="17" spans="2:8" x14ac:dyDescent="0.25">
      <c r="B17" s="9"/>
      <c r="D17" s="8"/>
      <c r="E17" s="8"/>
      <c r="F17" s="8"/>
      <c r="G17" s="8"/>
    </row>
    <row r="18" spans="2:8" x14ac:dyDescent="0.25">
      <c r="B18" s="9" t="s">
        <v>151</v>
      </c>
      <c r="D18" s="17">
        <f>+D19*D20/1000*6</f>
        <v>6.75</v>
      </c>
      <c r="E18" s="17">
        <f>+E19*E20/1000*12</f>
        <v>59.94</v>
      </c>
      <c r="F18" s="17">
        <f t="shared" ref="F18:G18" si="7">+F19*F20/1000*12</f>
        <v>179.82</v>
      </c>
      <c r="G18" s="17">
        <f t="shared" si="7"/>
        <v>299.70000000000005</v>
      </c>
    </row>
    <row r="19" spans="2:8" x14ac:dyDescent="0.25">
      <c r="B19" s="16" t="s">
        <v>137</v>
      </c>
      <c r="D19" s="8">
        <v>7.5</v>
      </c>
      <c r="E19" s="8">
        <v>9.99</v>
      </c>
      <c r="F19" s="8">
        <v>9.99</v>
      </c>
      <c r="G19" s="8">
        <v>9.99</v>
      </c>
      <c r="H19" t="s">
        <v>143</v>
      </c>
    </row>
    <row r="20" spans="2:8" x14ac:dyDescent="0.25">
      <c r="B20" s="16" t="s">
        <v>138</v>
      </c>
      <c r="D20" s="18">
        <v>150</v>
      </c>
      <c r="E20" s="18">
        <v>500</v>
      </c>
      <c r="F20" s="18">
        <f t="shared" ref="F20" si="8">+E20*3</f>
        <v>1500</v>
      </c>
      <c r="G20" s="18">
        <v>2500</v>
      </c>
    </row>
    <row r="22" spans="2:8" x14ac:dyDescent="0.25">
      <c r="B22" s="5" t="s">
        <v>37</v>
      </c>
      <c r="D22" s="19">
        <f>+D5+D14</f>
        <v>8.25</v>
      </c>
      <c r="E22" s="19">
        <f>+E5+E14</f>
        <v>169.315</v>
      </c>
      <c r="F22" s="19">
        <f>+F5+F14</f>
        <v>727.31999999999994</v>
      </c>
      <c r="G22" s="19">
        <f>+G5+G14</f>
        <v>1609.6500000000003</v>
      </c>
    </row>
  </sheetData>
  <mergeCells count="4">
    <mergeCell ref="D2:D3"/>
    <mergeCell ref="E2:E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FA737-5462-469C-958F-AFE63DFA8D21}">
  <dimension ref="B2:E17"/>
  <sheetViews>
    <sheetView showGridLines="0" workbookViewId="0">
      <selection activeCell="D36" sqref="D36"/>
    </sheetView>
  </sheetViews>
  <sheetFormatPr defaultRowHeight="15" x14ac:dyDescent="0.25"/>
  <cols>
    <col min="1" max="1" width="2.28515625" customWidth="1"/>
    <col min="2" max="2" width="49.85546875" bestFit="1" customWidth="1"/>
    <col min="3" max="3" width="1.7109375" customWidth="1"/>
    <col min="4" max="4" width="9.5703125" bestFit="1" customWidth="1"/>
    <col min="5" max="5" width="37.28515625" bestFit="1" customWidth="1"/>
  </cols>
  <sheetData>
    <row r="2" spans="2:5" x14ac:dyDescent="0.25">
      <c r="B2" s="4" t="s">
        <v>96</v>
      </c>
      <c r="D2" s="27"/>
    </row>
    <row r="3" spans="2:5" x14ac:dyDescent="0.25">
      <c r="B3" s="4" t="s">
        <v>36</v>
      </c>
      <c r="D3" s="27"/>
    </row>
    <row r="5" spans="2:5" x14ac:dyDescent="0.25">
      <c r="B5" s="5" t="s">
        <v>97</v>
      </c>
      <c r="D5" s="21">
        <f>+SUM(D6:D9)</f>
        <v>2700.5</v>
      </c>
    </row>
    <row r="6" spans="2:5" x14ac:dyDescent="0.25">
      <c r="B6" s="9" t="s">
        <v>39</v>
      </c>
      <c r="D6" s="11">
        <f>+Investitionen!D11</f>
        <v>0.5</v>
      </c>
      <c r="E6" t="s">
        <v>152</v>
      </c>
    </row>
    <row r="7" spans="2:5" x14ac:dyDescent="0.25">
      <c r="B7" s="9" t="s">
        <v>103</v>
      </c>
      <c r="D7" s="11">
        <v>400</v>
      </c>
      <c r="E7" t="s">
        <v>148</v>
      </c>
    </row>
    <row r="8" spans="2:5" x14ac:dyDescent="0.25">
      <c r="B8" s="9" t="s">
        <v>104</v>
      </c>
      <c r="D8" s="11">
        <v>2000</v>
      </c>
      <c r="E8" t="s">
        <v>149</v>
      </c>
    </row>
    <row r="9" spans="2:5" x14ac:dyDescent="0.25">
      <c r="B9" s="9" t="s">
        <v>105</v>
      </c>
      <c r="D9" s="11">
        <v>300</v>
      </c>
      <c r="E9" t="s">
        <v>150</v>
      </c>
    </row>
    <row r="10" spans="2:5" x14ac:dyDescent="0.25">
      <c r="D10" s="11"/>
    </row>
    <row r="11" spans="2:5" x14ac:dyDescent="0.25">
      <c r="B11" s="5" t="s">
        <v>98</v>
      </c>
      <c r="D11" s="21">
        <f>+SUM(D12:D14)</f>
        <v>583</v>
      </c>
    </row>
    <row r="12" spans="2:5" x14ac:dyDescent="0.25">
      <c r="B12" s="9" t="s">
        <v>99</v>
      </c>
      <c r="D12" s="11">
        <f>25.5+7.5</f>
        <v>33</v>
      </c>
    </row>
    <row r="13" spans="2:5" x14ac:dyDescent="0.25">
      <c r="B13" s="9" t="s">
        <v>100</v>
      </c>
      <c r="D13" s="11">
        <v>250</v>
      </c>
    </row>
    <row r="14" spans="2:5" x14ac:dyDescent="0.25">
      <c r="B14" s="9" t="s">
        <v>101</v>
      </c>
      <c r="D14" s="11">
        <v>300</v>
      </c>
    </row>
    <row r="15" spans="2:5" x14ac:dyDescent="0.25">
      <c r="B15" s="9" t="s">
        <v>102</v>
      </c>
      <c r="D15" s="11">
        <v>0</v>
      </c>
    </row>
    <row r="16" spans="2:5" x14ac:dyDescent="0.25">
      <c r="D16" s="11"/>
    </row>
    <row r="17" spans="2:4" x14ac:dyDescent="0.25">
      <c r="B17" s="5" t="s">
        <v>37</v>
      </c>
      <c r="D17" s="21">
        <f>+D5+D11</f>
        <v>3283.5</v>
      </c>
    </row>
  </sheetData>
  <mergeCells count="1"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10B7-DFDE-4B08-B335-17BC5763E859}">
  <dimension ref="B2:G18"/>
  <sheetViews>
    <sheetView showGridLines="0" workbookViewId="0">
      <selection activeCell="E24" sqref="E24"/>
    </sheetView>
  </sheetViews>
  <sheetFormatPr defaultRowHeight="15" x14ac:dyDescent="0.25"/>
  <cols>
    <col min="2" max="2" width="27.5703125" customWidth="1"/>
    <col min="3" max="3" width="1.7109375" customWidth="1"/>
    <col min="4" max="4" width="8.42578125" bestFit="1" customWidth="1"/>
    <col min="5" max="5" width="9.5703125" bestFit="1" customWidth="1"/>
    <col min="6" max="6" width="10" bestFit="1" customWidth="1"/>
    <col min="7" max="7" width="9.5703125" bestFit="1" customWidth="1"/>
  </cols>
  <sheetData>
    <row r="2" spans="2:7" x14ac:dyDescent="0.25">
      <c r="B2" s="4" t="s">
        <v>39</v>
      </c>
      <c r="D2" s="28" t="s">
        <v>34</v>
      </c>
      <c r="E2" s="27">
        <v>2024</v>
      </c>
      <c r="F2" s="27">
        <v>2025</v>
      </c>
      <c r="G2" s="27">
        <v>2026</v>
      </c>
    </row>
    <row r="3" spans="2:7" x14ac:dyDescent="0.25">
      <c r="B3" s="4" t="s">
        <v>36</v>
      </c>
      <c r="D3" s="27"/>
      <c r="E3" s="27"/>
      <c r="F3" s="27"/>
      <c r="G3" s="27"/>
    </row>
    <row r="5" spans="2:7" x14ac:dyDescent="0.25">
      <c r="B5" s="5" t="s">
        <v>128</v>
      </c>
      <c r="D5" s="7">
        <v>0</v>
      </c>
      <c r="E5" s="7">
        <v>0</v>
      </c>
      <c r="F5" s="7">
        <v>0</v>
      </c>
      <c r="G5" s="7">
        <v>0</v>
      </c>
    </row>
    <row r="6" spans="2:7" x14ac:dyDescent="0.25">
      <c r="B6" s="9" t="s">
        <v>127</v>
      </c>
      <c r="D6" s="8">
        <v>1</v>
      </c>
      <c r="E6" s="8">
        <v>1</v>
      </c>
      <c r="F6" s="8">
        <v>1</v>
      </c>
      <c r="G6" s="8">
        <v>1</v>
      </c>
    </row>
    <row r="8" spans="2:7" x14ac:dyDescent="0.25">
      <c r="B8" s="5" t="s">
        <v>130</v>
      </c>
      <c r="D8" s="7">
        <v>0</v>
      </c>
      <c r="E8" s="14">
        <f>+E9*60*1.19</f>
        <v>35.699999999999996</v>
      </c>
      <c r="F8" s="14">
        <f>+E8*1.03+(F9-E9)*65*1.19</f>
        <v>307.49599999999998</v>
      </c>
      <c r="G8" s="14">
        <f>+F8*1.03+(G9-F9)*70*1.19</f>
        <v>608.27088000000003</v>
      </c>
    </row>
    <row r="9" spans="2:7" x14ac:dyDescent="0.25">
      <c r="B9" s="9" t="s">
        <v>125</v>
      </c>
      <c r="D9" s="8">
        <v>0</v>
      </c>
      <c r="E9" s="8">
        <v>0.5</v>
      </c>
      <c r="F9" s="8">
        <v>4</v>
      </c>
      <c r="G9" s="8">
        <v>7.5</v>
      </c>
    </row>
    <row r="11" spans="2:7" x14ac:dyDescent="0.25">
      <c r="B11" s="5" t="s">
        <v>129</v>
      </c>
      <c r="D11" s="7">
        <f t="shared" ref="D11:E11" si="0">75*D12</f>
        <v>0</v>
      </c>
      <c r="E11" s="7">
        <f t="shared" si="0"/>
        <v>37.5</v>
      </c>
      <c r="F11" s="14">
        <f>+E11*1.03+(F12-E12)*75*1.19</f>
        <v>83.25</v>
      </c>
      <c r="G11" s="14">
        <f>+F11*1.03+(G12-F12)*75*1.19</f>
        <v>264.2475</v>
      </c>
    </row>
    <row r="12" spans="2:7" x14ac:dyDescent="0.25">
      <c r="B12" s="9" t="s">
        <v>125</v>
      </c>
      <c r="D12" s="8">
        <v>0</v>
      </c>
      <c r="E12" s="8">
        <v>0.5</v>
      </c>
      <c r="F12" s="8">
        <v>1</v>
      </c>
      <c r="G12" s="8">
        <v>3</v>
      </c>
    </row>
    <row r="14" spans="2:7" x14ac:dyDescent="0.25">
      <c r="B14" s="5" t="s">
        <v>126</v>
      </c>
      <c r="D14" s="7">
        <v>0</v>
      </c>
      <c r="E14" s="14">
        <f>+E15*70*1.19</f>
        <v>0</v>
      </c>
      <c r="F14" s="14">
        <f>+E14*1.03+(F15-E15)*70*1.19</f>
        <v>41.65</v>
      </c>
      <c r="G14" s="14">
        <f>+F14*1.03+(G15-F15)*70*1.19</f>
        <v>84.549499999999995</v>
      </c>
    </row>
    <row r="15" spans="2:7" x14ac:dyDescent="0.25">
      <c r="B15" s="9" t="s">
        <v>125</v>
      </c>
      <c r="D15" s="8">
        <v>0</v>
      </c>
      <c r="E15" s="8">
        <v>0</v>
      </c>
      <c r="F15" s="8">
        <v>0.5</v>
      </c>
      <c r="G15" s="8">
        <v>1</v>
      </c>
    </row>
    <row r="17" spans="2:7" x14ac:dyDescent="0.25">
      <c r="B17" s="5" t="s">
        <v>37</v>
      </c>
      <c r="D17" s="7">
        <f>+D5+D8+D11+D14</f>
        <v>0</v>
      </c>
      <c r="E17" s="14">
        <f t="shared" ref="E17:G17" si="1">+E5+E8+E11+E14</f>
        <v>73.199999999999989</v>
      </c>
      <c r="F17" s="14">
        <f t="shared" si="1"/>
        <v>432.39599999999996</v>
      </c>
      <c r="G17" s="14">
        <f t="shared" si="1"/>
        <v>957.06787999999995</v>
      </c>
    </row>
    <row r="18" spans="2:7" x14ac:dyDescent="0.25">
      <c r="B18" t="s">
        <v>131</v>
      </c>
      <c r="D18" s="13">
        <f>+D9+D12+D15</f>
        <v>0</v>
      </c>
      <c r="E18" s="13">
        <f t="shared" ref="E18:G18" si="2">+E9+E12+E15</f>
        <v>1</v>
      </c>
      <c r="F18" s="13">
        <f t="shared" si="2"/>
        <v>5.5</v>
      </c>
      <c r="G18" s="13">
        <f t="shared" si="2"/>
        <v>11.5</v>
      </c>
    </row>
  </sheetData>
  <mergeCells count="4"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4B7C-0794-4002-9DC0-5326CFED995D}">
  <dimension ref="B2:Y27"/>
  <sheetViews>
    <sheetView showGridLines="0" workbookViewId="0">
      <selection activeCell="I33" sqref="I33"/>
    </sheetView>
  </sheetViews>
  <sheetFormatPr defaultRowHeight="15" outlineLevelCol="1" x14ac:dyDescent="0.25"/>
  <cols>
    <col min="1" max="1" width="2.5703125" customWidth="1"/>
    <col min="2" max="2" width="24.85546875" customWidth="1"/>
    <col min="3" max="3" width="1.7109375" customWidth="1"/>
    <col min="4" max="9" width="9.140625" customWidth="1" outlineLevel="1"/>
    <col min="10" max="10" width="10.5703125" bestFit="1" customWidth="1"/>
    <col min="11" max="22" width="9.140625" customWidth="1" outlineLevel="1"/>
    <col min="23" max="23" width="9.28515625" bestFit="1" customWidth="1"/>
    <col min="24" max="24" width="9.5703125" bestFit="1" customWidth="1"/>
    <col min="25" max="25" width="9.28515625" bestFit="1" customWidth="1"/>
  </cols>
  <sheetData>
    <row r="2" spans="2:25" x14ac:dyDescent="0.25">
      <c r="B2" s="4" t="s">
        <v>110</v>
      </c>
      <c r="D2" s="27">
        <v>7.23</v>
      </c>
      <c r="E2" s="27">
        <v>8.23</v>
      </c>
      <c r="F2" s="27">
        <v>9.23</v>
      </c>
      <c r="G2" s="27">
        <v>10.23</v>
      </c>
      <c r="H2" s="27">
        <v>11.23</v>
      </c>
      <c r="I2" s="27">
        <v>12.23</v>
      </c>
      <c r="J2" s="28" t="s">
        <v>34</v>
      </c>
      <c r="K2" s="27">
        <v>1.24</v>
      </c>
      <c r="L2" s="27">
        <v>2.2400000000000002</v>
      </c>
      <c r="M2" s="27">
        <v>3.24</v>
      </c>
      <c r="N2" s="27">
        <v>4.24</v>
      </c>
      <c r="O2" s="27">
        <v>5.24</v>
      </c>
      <c r="P2" s="27">
        <v>6.24</v>
      </c>
      <c r="Q2" s="27">
        <v>7.24</v>
      </c>
      <c r="R2" s="27">
        <v>8.24</v>
      </c>
      <c r="S2" s="27">
        <v>9.24</v>
      </c>
      <c r="T2" s="27">
        <v>10.24</v>
      </c>
      <c r="U2" s="27">
        <v>11.24</v>
      </c>
      <c r="V2" s="27">
        <v>12.24</v>
      </c>
      <c r="W2" s="27">
        <v>2024</v>
      </c>
      <c r="X2" s="27">
        <v>2025</v>
      </c>
      <c r="Y2" s="27">
        <v>2026</v>
      </c>
    </row>
    <row r="3" spans="2:25" x14ac:dyDescent="0.25">
      <c r="B3" s="4" t="s">
        <v>111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5" spans="2:25" x14ac:dyDescent="0.25">
      <c r="B5" s="5" t="s">
        <v>122</v>
      </c>
      <c r="D5" s="14">
        <v>0</v>
      </c>
      <c r="E5" s="14">
        <f>+D25</f>
        <v>1.1188264180672274</v>
      </c>
      <c r="F5" s="14">
        <f t="shared" ref="F5:I5" si="0">+E25</f>
        <v>1.0872465861344545</v>
      </c>
      <c r="G5" s="14">
        <f t="shared" si="0"/>
        <v>0.91572925420168105</v>
      </c>
      <c r="H5" s="14">
        <f t="shared" si="0"/>
        <v>1.7527182247899158</v>
      </c>
      <c r="I5" s="14">
        <f t="shared" si="0"/>
        <v>2.9329571953781506</v>
      </c>
      <c r="J5" s="14">
        <f>+D5</f>
        <v>0</v>
      </c>
      <c r="K5" s="14">
        <f t="shared" ref="K5:V5" si="1">+J25</f>
        <v>3.1131961659663823</v>
      </c>
      <c r="L5" s="14">
        <f t="shared" si="1"/>
        <v>3.9232815161064396</v>
      </c>
      <c r="M5" s="14">
        <f t="shared" si="1"/>
        <v>1.9719293662464974</v>
      </c>
      <c r="N5" s="14">
        <f t="shared" si="1"/>
        <v>3.2467941796218476</v>
      </c>
      <c r="O5" s="14">
        <f t="shared" si="1"/>
        <v>11.519971156675998</v>
      </c>
      <c r="P5" s="14">
        <f t="shared" si="1"/>
        <v>23.647019661507926</v>
      </c>
      <c r="Q5" s="14">
        <f t="shared" si="1"/>
        <v>29.616946332959841</v>
      </c>
      <c r="R5" s="14">
        <f t="shared" si="1"/>
        <v>36.139752886169454</v>
      </c>
      <c r="S5" s="14">
        <f t="shared" si="1"/>
        <v>40.52259416160129</v>
      </c>
      <c r="T5" s="14">
        <f t="shared" si="1"/>
        <v>40.270325580018657</v>
      </c>
      <c r="U5" s="14">
        <f t="shared" si="1"/>
        <v>39.971832745494844</v>
      </c>
      <c r="V5" s="14">
        <f t="shared" si="1"/>
        <v>41.45659941097103</v>
      </c>
      <c r="W5" s="14">
        <f>+J25</f>
        <v>3.1131961659663823</v>
      </c>
      <c r="X5" s="14">
        <f t="shared" ref="X5:Y5" si="2">+W25</f>
        <v>42.890669548576042</v>
      </c>
      <c r="Y5" s="14">
        <f t="shared" si="2"/>
        <v>137.50655838564887</v>
      </c>
    </row>
    <row r="6" spans="2:25" x14ac:dyDescent="0.25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2:25" x14ac:dyDescent="0.25">
      <c r="B7" s="5" t="s">
        <v>108</v>
      </c>
      <c r="D7" s="14">
        <f>+SUM(D8:D11)</f>
        <v>5.5454375000000002</v>
      </c>
      <c r="E7" s="14">
        <f>+SUM(E8:E11)</f>
        <v>0.79087499999999999</v>
      </c>
      <c r="F7" s="14">
        <f t="shared" ref="F7:K7" si="3">+SUM(F8:F11)</f>
        <v>1.7726250000000001</v>
      </c>
      <c r="G7" s="14">
        <f t="shared" si="3"/>
        <v>2.7543749999999996</v>
      </c>
      <c r="H7" s="14">
        <f t="shared" si="3"/>
        <v>2.7543749999999996</v>
      </c>
      <c r="I7" s="14">
        <f>+SUM(I8:I11)</f>
        <v>2.7543749999999996</v>
      </c>
      <c r="J7" s="14">
        <f>+SUM(J8:J11)</f>
        <v>16.372062499999998</v>
      </c>
      <c r="K7" s="14">
        <f t="shared" si="3"/>
        <v>6.8486880000000001</v>
      </c>
      <c r="L7" s="14">
        <f t="shared" ref="L7" si="4">+SUM(L8:L11)</f>
        <v>6.8486880000000001</v>
      </c>
      <c r="M7" s="14">
        <f t="shared" ref="M7" si="5">+SUM(M8:M11)</f>
        <v>6.8486880000000001</v>
      </c>
      <c r="N7" s="14">
        <f t="shared" ref="N7" si="6">+SUM(N8:N11)</f>
        <v>14.525840777777773</v>
      </c>
      <c r="O7" s="14">
        <f t="shared" ref="O7" si="7">+SUM(O8:O11)</f>
        <v>17.12483383333333</v>
      </c>
      <c r="P7" s="14">
        <f t="shared" ref="P7" si="8">+SUM(P8:P11)</f>
        <v>19.72382688888889</v>
      </c>
      <c r="Q7" s="14">
        <f t="shared" ref="Q7" si="9">+SUM(Q8:Q11)</f>
        <v>21.191467111111109</v>
      </c>
      <c r="R7" s="14">
        <f t="shared" ref="R7" si="10">+SUM(R8:R11)</f>
        <v>21.191467111111109</v>
      </c>
      <c r="S7" s="14">
        <f t="shared" ref="S7" si="11">+SUM(S8:S11)</f>
        <v>21.191467111111109</v>
      </c>
      <c r="T7" s="14">
        <f t="shared" ref="T7" si="12">+SUM(T8:T11)</f>
        <v>21.191467111111109</v>
      </c>
      <c r="U7" s="14">
        <f t="shared" ref="U7" si="13">+SUM(U8:U11)</f>
        <v>21.619510111111111</v>
      </c>
      <c r="V7" s="14">
        <f t="shared" ref="V7" si="14">+SUM(V8:V11)</f>
        <v>23.178905944444441</v>
      </c>
      <c r="W7" s="14">
        <f>+SUM(W8:W11)</f>
        <v>201.48484999999997</v>
      </c>
      <c r="X7" s="14">
        <f t="shared" ref="X7" si="15">+SUM(X8:X11)</f>
        <v>865.5107999999999</v>
      </c>
      <c r="Y7" s="14">
        <f t="shared" ref="Y7" si="16">+SUM(Y8:Y11)</f>
        <v>1915.4835000000003</v>
      </c>
    </row>
    <row r="8" spans="2:25" x14ac:dyDescent="0.25">
      <c r="B8" s="9" t="s">
        <v>113</v>
      </c>
      <c r="D8" s="15">
        <v>5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15">
        <f t="shared" ref="J8:J11" si="17">+SUM(D8:I8)</f>
        <v>5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15">
        <f t="shared" ref="W8" si="18">+SUM(K8:V8)</f>
        <v>0</v>
      </c>
      <c r="X8" s="15">
        <v>0</v>
      </c>
      <c r="Y8" s="15">
        <v>0</v>
      </c>
    </row>
    <row r="9" spans="2:25" x14ac:dyDescent="0.25">
      <c r="B9" s="9" t="s">
        <v>112</v>
      </c>
      <c r="D9" s="15">
        <f>+GuV!D5*1.19</f>
        <v>0.2454375</v>
      </c>
      <c r="E9" s="15">
        <f>+GuV!E5*1.19</f>
        <v>0.49087500000000001</v>
      </c>
      <c r="F9" s="15">
        <f>+GuV!F5*1.19</f>
        <v>1.4726250000000001</v>
      </c>
      <c r="G9" s="15">
        <f>+GuV!G5*1.19</f>
        <v>2.4543749999999998</v>
      </c>
      <c r="H9" s="15">
        <f>+GuV!H5*1.19</f>
        <v>2.4543749999999998</v>
      </c>
      <c r="I9" s="15">
        <f>+GuV!I5*1.19</f>
        <v>2.4543749999999998</v>
      </c>
      <c r="J9" s="15">
        <f t="shared" si="17"/>
        <v>9.5720624999999995</v>
      </c>
      <c r="K9" s="15">
        <f>+GuV!K5*1.19</f>
        <v>6.8486880000000001</v>
      </c>
      <c r="L9" s="15">
        <f>+GuV!L5*1.19</f>
        <v>6.8486880000000001</v>
      </c>
      <c r="M9" s="15">
        <f>+GuV!M5*1.19</f>
        <v>6.8486880000000001</v>
      </c>
      <c r="N9" s="15">
        <f>+GuV!N5*1.19</f>
        <v>14.525840777777773</v>
      </c>
      <c r="O9" s="15">
        <f>+GuV!O5*1.19</f>
        <v>17.12483383333333</v>
      </c>
      <c r="P9" s="15">
        <f>+GuV!P5*1.19</f>
        <v>19.72382688888889</v>
      </c>
      <c r="Q9" s="15">
        <f>+GuV!Q5*1.19</f>
        <v>21.191467111111109</v>
      </c>
      <c r="R9" s="15">
        <f>+GuV!R5*1.19</f>
        <v>21.191467111111109</v>
      </c>
      <c r="S9" s="15">
        <f>+GuV!S5*1.19</f>
        <v>21.191467111111109</v>
      </c>
      <c r="T9" s="15">
        <f>+GuV!T5*1.19</f>
        <v>21.191467111111109</v>
      </c>
      <c r="U9" s="15">
        <f>+GuV!U5*1.19</f>
        <v>21.619510111111111</v>
      </c>
      <c r="V9" s="15">
        <f>+GuV!V5*1.19</f>
        <v>23.178905944444441</v>
      </c>
      <c r="W9" s="15">
        <f>+SUM(K9:V9)</f>
        <v>201.48484999999997</v>
      </c>
      <c r="X9" s="15">
        <f>+GuV!X5*1.19</f>
        <v>865.5107999999999</v>
      </c>
      <c r="Y9" s="15">
        <f>+GuV!Y5*1.19</f>
        <v>1915.4835000000003</v>
      </c>
    </row>
    <row r="10" spans="2:25" ht="17.25" x14ac:dyDescent="0.25">
      <c r="B10" s="9" t="s">
        <v>114</v>
      </c>
      <c r="D10" s="20">
        <v>0.3</v>
      </c>
      <c r="E10" s="20">
        <v>0.3</v>
      </c>
      <c r="F10" s="20">
        <v>0.3</v>
      </c>
      <c r="G10" s="20">
        <v>0.3</v>
      </c>
      <c r="H10" s="20">
        <v>0.3</v>
      </c>
      <c r="I10" s="20">
        <v>0.3</v>
      </c>
      <c r="J10" s="20">
        <f t="shared" si="17"/>
        <v>1.8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f t="shared" ref="W10:W11" si="19">+SUM(K10:V10)</f>
        <v>0</v>
      </c>
      <c r="X10" s="20">
        <v>0</v>
      </c>
      <c r="Y10" s="20">
        <v>0</v>
      </c>
    </row>
    <row r="11" spans="2:25" ht="17.25" x14ac:dyDescent="0.25">
      <c r="B11" s="9" t="s">
        <v>118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f t="shared" si="17"/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f t="shared" si="19"/>
        <v>0</v>
      </c>
      <c r="X11" s="20">
        <v>0</v>
      </c>
      <c r="Y11" s="20">
        <v>0</v>
      </c>
    </row>
    <row r="12" spans="2:25" x14ac:dyDescent="0.25"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2:25" x14ac:dyDescent="0.25">
      <c r="B13" s="5" t="s">
        <v>109</v>
      </c>
      <c r="D13" s="14">
        <f t="shared" ref="D13:J13" si="20">+SUM(D14:D21)</f>
        <v>-4.4266110819327729</v>
      </c>
      <c r="E13" s="14">
        <f t="shared" si="20"/>
        <v>-0.82245483193277291</v>
      </c>
      <c r="F13" s="14">
        <f t="shared" si="20"/>
        <v>-1.9441423319327735</v>
      </c>
      <c r="G13" s="14">
        <f t="shared" si="20"/>
        <v>-1.9173860294117648</v>
      </c>
      <c r="H13" s="14">
        <f t="shared" si="20"/>
        <v>-1.5741360294117648</v>
      </c>
      <c r="I13" s="14">
        <f t="shared" si="20"/>
        <v>-2.5741360294117648</v>
      </c>
      <c r="J13" s="14">
        <f t="shared" si="20"/>
        <v>-13.258866334033616</v>
      </c>
      <c r="K13" s="14">
        <f t="shared" ref="K13:W13" si="21">+SUM(K14:K21)</f>
        <v>-6.0386026498599428</v>
      </c>
      <c r="L13" s="14">
        <f t="shared" si="21"/>
        <v>-8.8000401498599423</v>
      </c>
      <c r="M13" s="14">
        <f t="shared" si="21"/>
        <v>-5.5738231866246499</v>
      </c>
      <c r="N13" s="14">
        <f t="shared" si="21"/>
        <v>-6.2526638007236226</v>
      </c>
      <c r="O13" s="14">
        <f t="shared" si="21"/>
        <v>-4.9977853285013998</v>
      </c>
      <c r="P13" s="14">
        <f t="shared" si="21"/>
        <v>-13.753900217436973</v>
      </c>
      <c r="Q13" s="14">
        <f t="shared" si="21"/>
        <v>-14.668660557901495</v>
      </c>
      <c r="R13" s="14">
        <f t="shared" si="21"/>
        <v>-16.808625835679273</v>
      </c>
      <c r="S13" s="14">
        <f t="shared" si="21"/>
        <v>-21.443735692693743</v>
      </c>
      <c r="T13" s="14">
        <f t="shared" si="21"/>
        <v>-21.489959945634922</v>
      </c>
      <c r="U13" s="14">
        <f t="shared" si="21"/>
        <v>-20.134743445634925</v>
      </c>
      <c r="V13" s="14">
        <f t="shared" si="21"/>
        <v>-21.744835806839404</v>
      </c>
      <c r="W13" s="14">
        <f t="shared" si="21"/>
        <v>-161.70737661739031</v>
      </c>
      <c r="X13" s="14">
        <f>+SUM(X14:X21)</f>
        <v>-770.89491116292709</v>
      </c>
      <c r="Y13" s="14">
        <f>+SUM(Y14:Y21)</f>
        <v>-1642.5917443178712</v>
      </c>
    </row>
    <row r="14" spans="2:25" x14ac:dyDescent="0.25">
      <c r="B14" s="9" t="s">
        <v>39</v>
      </c>
      <c r="D14" s="15">
        <f>-(Kapitalbedarf!D17-Kapitalbedarf!D9-Kapitalbedarf!D6)/1000</f>
        <v>-2.9830000000000001</v>
      </c>
      <c r="E14" s="15">
        <v>0</v>
      </c>
      <c r="F14" s="15">
        <v>0</v>
      </c>
      <c r="G14" s="15">
        <f>-Investitionen!D11</f>
        <v>-0.5</v>
      </c>
      <c r="H14" s="15">
        <v>0</v>
      </c>
      <c r="I14" s="15">
        <v>0</v>
      </c>
      <c r="J14" s="15">
        <f t="shared" ref="J14:J21" si="22">+SUM(D14:I14)</f>
        <v>-3.4830000000000001</v>
      </c>
      <c r="K14" s="15">
        <f>-Investitionen!$E$11/4</f>
        <v>-1.375</v>
      </c>
      <c r="L14" s="15">
        <v>0</v>
      </c>
      <c r="M14" s="15">
        <v>0</v>
      </c>
      <c r="N14" s="15">
        <f>-Investitionen!$E$11/4</f>
        <v>-1.375</v>
      </c>
      <c r="O14" s="15">
        <v>0</v>
      </c>
      <c r="P14" s="15">
        <v>0</v>
      </c>
      <c r="Q14" s="15">
        <f>-Investitionen!$E$11/4</f>
        <v>-1.375</v>
      </c>
      <c r="R14" s="15">
        <v>0</v>
      </c>
      <c r="S14" s="15">
        <v>0</v>
      </c>
      <c r="T14" s="15">
        <f>-Investitionen!$E$11/4</f>
        <v>-1.375</v>
      </c>
      <c r="U14" s="15">
        <v>0</v>
      </c>
      <c r="V14" s="15">
        <v>0</v>
      </c>
      <c r="W14" s="15">
        <f t="shared" ref="W14" si="23">+SUM(K14:V14)</f>
        <v>-5.5</v>
      </c>
      <c r="X14" s="15">
        <f>-Investitionen!F11</f>
        <v>-5.5</v>
      </c>
      <c r="Y14" s="15">
        <f>-Investitionen!G11</f>
        <v>-5.5</v>
      </c>
    </row>
    <row r="15" spans="2:25" x14ac:dyDescent="0.25">
      <c r="B15" s="9" t="s">
        <v>61</v>
      </c>
      <c r="D15" s="15">
        <f>+GuV!D9</f>
        <v>-0.1</v>
      </c>
      <c r="E15" s="15">
        <f>+GuV!E9</f>
        <v>-0.1</v>
      </c>
      <c r="F15" s="15">
        <f>+GuV!F9</f>
        <v>-0.1</v>
      </c>
      <c r="G15" s="15">
        <f>+GuV!G9</f>
        <v>-0.2092436974789916</v>
      </c>
      <c r="H15" s="15">
        <f>+GuV!H9</f>
        <v>-0.2092436974789916</v>
      </c>
      <c r="I15" s="15">
        <f>+GuV!I9</f>
        <v>-0.2092436974789916</v>
      </c>
      <c r="J15" s="15">
        <f t="shared" si="22"/>
        <v>-0.92773109243697494</v>
      </c>
      <c r="K15" s="15">
        <f>+GuV!K9</f>
        <v>-0.41848739495798321</v>
      </c>
      <c r="L15" s="15">
        <f>+GuV!L9</f>
        <v>-0.41848739495798321</v>
      </c>
      <c r="M15" s="15">
        <f>+GuV!M9</f>
        <v>-0.41848739495798321</v>
      </c>
      <c r="N15" s="15">
        <f>+GuV!N9</f>
        <v>-0.62773109243697478</v>
      </c>
      <c r="O15" s="15">
        <f>+GuV!O9</f>
        <v>-0.62773109243697478</v>
      </c>
      <c r="P15" s="15">
        <f>+GuV!P9</f>
        <v>-0.62773109243697478</v>
      </c>
      <c r="Q15" s="15">
        <f>+GuV!Q9</f>
        <v>-0.83697478991596641</v>
      </c>
      <c r="R15" s="15">
        <f>+GuV!R9</f>
        <v>-0.83697478991596641</v>
      </c>
      <c r="S15" s="15">
        <f>+GuV!S9</f>
        <v>-0.83697478991596641</v>
      </c>
      <c r="T15" s="15">
        <f>+GuV!T9</f>
        <v>-1.046218487394958</v>
      </c>
      <c r="U15" s="15">
        <f>+GuV!U9</f>
        <v>-1.046218487394958</v>
      </c>
      <c r="V15" s="15">
        <f>+GuV!V9</f>
        <v>-1.046218487394958</v>
      </c>
      <c r="W15" s="15">
        <f>+SUM(K15:V15)</f>
        <v>-8.788235294117646</v>
      </c>
      <c r="X15" s="15">
        <f>+GuV!X9</f>
        <v>-25.109243697478995</v>
      </c>
      <c r="Y15" s="15">
        <f>+GuV!Y9</f>
        <v>-50.21848739495799</v>
      </c>
    </row>
    <row r="16" spans="2:25" x14ac:dyDescent="0.25">
      <c r="B16" s="9" t="s">
        <v>116</v>
      </c>
      <c r="D16" s="15">
        <f>+GuV!D13</f>
        <v>0</v>
      </c>
      <c r="E16" s="15">
        <f>+GuV!E13</f>
        <v>0</v>
      </c>
      <c r="F16" s="15">
        <f>+GuV!F13</f>
        <v>0</v>
      </c>
      <c r="G16" s="15">
        <f>+GuV!G13</f>
        <v>0</v>
      </c>
      <c r="H16" s="15">
        <f>+GuV!H13</f>
        <v>0</v>
      </c>
      <c r="I16" s="15">
        <f>+GuV!I13</f>
        <v>0</v>
      </c>
      <c r="J16" s="15">
        <f t="shared" si="22"/>
        <v>0</v>
      </c>
      <c r="K16" s="15">
        <f>+GuV!K13</f>
        <v>0</v>
      </c>
      <c r="L16" s="15">
        <f>+GuV!L13</f>
        <v>0</v>
      </c>
      <c r="M16" s="15">
        <f>+GuV!M13</f>
        <v>0</v>
      </c>
      <c r="N16" s="15">
        <f>+GuV!N13</f>
        <v>0</v>
      </c>
      <c r="O16" s="15">
        <f>+GuV!O13</f>
        <v>0</v>
      </c>
      <c r="P16" s="15">
        <f>+GuV!P13</f>
        <v>-6.1</v>
      </c>
      <c r="Q16" s="15">
        <f>+GuV!Q13</f>
        <v>-6.1</v>
      </c>
      <c r="R16" s="15">
        <f>+GuV!R13</f>
        <v>-12.2</v>
      </c>
      <c r="S16" s="15">
        <f>+GuV!S13</f>
        <v>-12.2</v>
      </c>
      <c r="T16" s="15">
        <f>+GuV!T13</f>
        <v>-12.2</v>
      </c>
      <c r="U16" s="15">
        <f>+GuV!U13</f>
        <v>-12.2</v>
      </c>
      <c r="V16" s="15">
        <f>+GuV!V13</f>
        <v>-12.2</v>
      </c>
      <c r="W16" s="15">
        <f t="shared" ref="W16:W21" si="24">+SUM(K16:V16)</f>
        <v>-73.2</v>
      </c>
      <c r="X16" s="15">
        <f>+GuV!X13</f>
        <v>-432.39599999999996</v>
      </c>
      <c r="Y16" s="15">
        <f>+GuV!Y13</f>
        <v>-957.06788000000006</v>
      </c>
    </row>
    <row r="17" spans="2:25" x14ac:dyDescent="0.25">
      <c r="B17" s="9" t="s">
        <v>124</v>
      </c>
      <c r="D17" s="15">
        <f>+GuV!D17-GuV!D18</f>
        <v>-1.3336110819327731</v>
      </c>
      <c r="E17" s="15">
        <f>+GuV!E17-GuV!E18</f>
        <v>-0.75164233193277297</v>
      </c>
      <c r="F17" s="15">
        <f>+GuV!F17-GuV!F18</f>
        <v>-1.7557673319327733</v>
      </c>
      <c r="G17" s="15">
        <f>+GuV!G17-GuV!G18</f>
        <v>-0.96301733193277317</v>
      </c>
      <c r="H17" s="15">
        <f>+GuV!H17-GuV!H18</f>
        <v>-0.96301733193277317</v>
      </c>
      <c r="I17" s="15">
        <f>+GuV!I17-GuV!I18</f>
        <v>-1.9630173319327733</v>
      </c>
      <c r="J17" s="15">
        <f t="shared" si="22"/>
        <v>-7.7300727415966399</v>
      </c>
      <c r="K17" s="15">
        <f>+GuV!K17-GuV!K18</f>
        <v>-1.2345359999999999</v>
      </c>
      <c r="L17" s="15">
        <f>+GuV!L17-GuV!L18</f>
        <v>-4.2345359999999994</v>
      </c>
      <c r="M17" s="15">
        <f>+GuV!M17-GuV!M18</f>
        <v>-1.2345359999999999</v>
      </c>
      <c r="N17" s="15">
        <f>+GuV!N17-GuV!N18</f>
        <v>-1.6393623888888889</v>
      </c>
      <c r="O17" s="15">
        <f>+GuV!O17-GuV!O18</f>
        <v>-1.7594839166666665</v>
      </c>
      <c r="P17" s="15">
        <f>+GuV!P17-GuV!P18</f>
        <v>-1.8796054444444448</v>
      </c>
      <c r="Q17" s="15">
        <f>+GuV!Q17-GuV!Q18</f>
        <v>-5.195937555555556</v>
      </c>
      <c r="R17" s="15">
        <f>+GuV!R17-GuV!R18</f>
        <v>-2.195937555555556</v>
      </c>
      <c r="S17" s="15">
        <f>+GuV!S17-GuV!S18</f>
        <v>-2.195937555555556</v>
      </c>
      <c r="T17" s="15">
        <f>+GuV!T17-GuV!T18</f>
        <v>-2.195937555555556</v>
      </c>
      <c r="U17" s="15">
        <f>+GuV!U17-GuV!U18</f>
        <v>-2.215721055555556</v>
      </c>
      <c r="V17" s="15">
        <f>+GuV!V17-GuV!V18</f>
        <v>-2.2877939722222225</v>
      </c>
      <c r="W17" s="15">
        <f t="shared" si="24"/>
        <v>-28.269325000000002</v>
      </c>
      <c r="X17" s="15">
        <f>+GuV!X17-GuV!X18</f>
        <v>-75.492539999999991</v>
      </c>
      <c r="Y17" s="15">
        <f>+GuV!Y17-GuV!Y18</f>
        <v>-148.90538819999998</v>
      </c>
    </row>
    <row r="18" spans="2:25" x14ac:dyDescent="0.25">
      <c r="B18" s="9" t="s">
        <v>117</v>
      </c>
      <c r="D18" s="15">
        <f>+GuV!D36</f>
        <v>-0.01</v>
      </c>
      <c r="E18" s="15">
        <f>+GuV!E36</f>
        <v>-0.01</v>
      </c>
      <c r="F18" s="15">
        <f>+GuV!F36</f>
        <v>-0.01</v>
      </c>
      <c r="G18" s="15">
        <f>+GuV!G36</f>
        <v>-0.01</v>
      </c>
      <c r="H18" s="15">
        <f>+GuV!H36</f>
        <v>-0.01</v>
      </c>
      <c r="I18" s="15">
        <f>+GuV!I36</f>
        <v>-0.01</v>
      </c>
      <c r="J18" s="15">
        <f t="shared" si="22"/>
        <v>-6.0000000000000005E-2</v>
      </c>
      <c r="K18" s="15">
        <f>+GuV!K36</f>
        <v>-0.01</v>
      </c>
      <c r="L18" s="15">
        <f>+GuV!L36</f>
        <v>-0.01</v>
      </c>
      <c r="M18" s="15">
        <f>+GuV!M36</f>
        <v>-0.01</v>
      </c>
      <c r="N18" s="15">
        <f>+GuV!N36</f>
        <v>-0.01</v>
      </c>
      <c r="O18" s="15">
        <f>+GuV!O36</f>
        <v>-0.01</v>
      </c>
      <c r="P18" s="15">
        <f>+GuV!P36</f>
        <v>-0.01</v>
      </c>
      <c r="Q18" s="15">
        <f>+GuV!Q36</f>
        <v>-0.01</v>
      </c>
      <c r="R18" s="15">
        <f>+GuV!R36</f>
        <v>-0.01</v>
      </c>
      <c r="S18" s="15">
        <f>+GuV!S36</f>
        <v>-0.01</v>
      </c>
      <c r="T18" s="15">
        <f>+GuV!T36</f>
        <v>-0.01</v>
      </c>
      <c r="U18" s="15">
        <f>+GuV!U36</f>
        <v>-0.01</v>
      </c>
      <c r="V18" s="15">
        <f>+GuV!V36</f>
        <v>-0.01</v>
      </c>
      <c r="W18" s="15">
        <f t="shared" si="24"/>
        <v>-0.11999999999999998</v>
      </c>
      <c r="X18" s="15">
        <f>+GuV!X36</f>
        <v>-0.12</v>
      </c>
      <c r="Y18" s="15">
        <f>+GuV!Y36</f>
        <v>-0.12</v>
      </c>
    </row>
    <row r="19" spans="2:25" x14ac:dyDescent="0.25">
      <c r="B19" s="9" t="s">
        <v>118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15">
        <f t="shared" si="22"/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15">
        <f t="shared" si="24"/>
        <v>0</v>
      </c>
      <c r="X19" s="20">
        <v>0</v>
      </c>
      <c r="Y19" s="20">
        <v>0</v>
      </c>
    </row>
    <row r="20" spans="2:25" x14ac:dyDescent="0.25">
      <c r="B20" s="9" t="s">
        <v>119</v>
      </c>
      <c r="D20" s="15">
        <f>+GuV!D44+GuV!D40</f>
        <v>0</v>
      </c>
      <c r="E20" s="15">
        <f>+GuV!E44+GuV!E40+GuV!D5*0.19</f>
        <v>3.9187500000000007E-2</v>
      </c>
      <c r="F20" s="15">
        <f>+GuV!F44+GuV!F40-GuV!E5*0.19</f>
        <v>-7.8375000000000014E-2</v>
      </c>
      <c r="G20" s="15">
        <f>+GuV!G44+GuV!G40-GuV!F5*0.19</f>
        <v>-0.235125</v>
      </c>
      <c r="H20" s="15">
        <f>+GuV!H44+GuV!H40-GuV!G5*0.19</f>
        <v>-0.39187500000000003</v>
      </c>
      <c r="I20" s="15">
        <f>+GuV!I44+GuV!I40-GuV!H5*0.19</f>
        <v>-0.39187500000000003</v>
      </c>
      <c r="J20" s="15">
        <f t="shared" si="22"/>
        <v>-1.0580625000000001</v>
      </c>
      <c r="K20" s="15">
        <f>+GuV!K44+GuV!K40-GuV!I5*0.19</f>
        <v>-0.18326746323529416</v>
      </c>
      <c r="L20" s="15">
        <f>+GuV!L44+GuV!L40-GuV!J5*0.19</f>
        <v>-1.3197049632352942</v>
      </c>
      <c r="M20" s="15">
        <f>+GuV!M44+GuV!M40-GuV!K5*0.19</f>
        <v>-1.093488</v>
      </c>
      <c r="N20" s="15">
        <f>+GuV!N44+GuV!N40-GuV!L5*0.19</f>
        <v>0.21674147226890783</v>
      </c>
      <c r="O20" s="15">
        <f>+GuV!O44+GuV!O40-GuV!M5*0.19</f>
        <v>0.21674147226890783</v>
      </c>
      <c r="P20" s="15">
        <f>+GuV!P44+GuV!P40-GuV!N5*0.19</f>
        <v>-2.3192518888888882</v>
      </c>
      <c r="Q20" s="15">
        <f>+GuV!Q44+GuV!Q40-GuV!O5*0.19</f>
        <v>1.6665635792366942</v>
      </c>
      <c r="R20" s="15">
        <f>+GuV!R44+GuV!R40-GuV!P5*0.19</f>
        <v>1.251598301458916</v>
      </c>
      <c r="S20" s="15">
        <f>+GuV!S44+GuV!S40-GuV!Q5*0.19</f>
        <v>-3.3835115555555557</v>
      </c>
      <c r="T20" s="15">
        <f>+GuV!T44+GuV!T40-GuV!R5*0.19</f>
        <v>-1.8454921110177409</v>
      </c>
      <c r="U20" s="15">
        <f>+GuV!U44+GuV!U40-GuV!S5*0.19</f>
        <v>-1.8454921110177409</v>
      </c>
      <c r="V20" s="15">
        <f>+GuV!V44+GuV!V40-GuV!T5*0.19</f>
        <v>-3.3835115555555557</v>
      </c>
      <c r="W20" s="15">
        <f t="shared" si="24"/>
        <v>-12.022074823272645</v>
      </c>
      <c r="X20" s="15">
        <f>+GuV!X44+GuV!X40-GuV!X5*0.19</f>
        <v>-197.45515372044818</v>
      </c>
      <c r="Y20" s="15">
        <f>+GuV!Y44+GuV!Y40-GuV!Y5*0.19</f>
        <v>-444.91335576556321</v>
      </c>
    </row>
    <row r="21" spans="2:25" x14ac:dyDescent="0.25">
      <c r="B21" s="9" t="s">
        <v>120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15">
        <f t="shared" si="22"/>
        <v>0</v>
      </c>
      <c r="K21" s="25">
        <f>-Lebenshaltung!$F$35/12/1000</f>
        <v>-2.8173117916666666</v>
      </c>
      <c r="L21" s="25">
        <f>-Lebenshaltung!$F$35/12/1000</f>
        <v>-2.8173117916666666</v>
      </c>
      <c r="M21" s="25">
        <f>-Lebenshaltung!$F$35/12/1000</f>
        <v>-2.8173117916666666</v>
      </c>
      <c r="N21" s="25">
        <f>-Lebenshaltung!$F$35/12/1000</f>
        <v>-2.8173117916666666</v>
      </c>
      <c r="O21" s="25">
        <f>-Lebenshaltung!$F$35/12/1000</f>
        <v>-2.8173117916666666</v>
      </c>
      <c r="P21" s="25">
        <f>-Lebenshaltung!$F$35/12/1000</f>
        <v>-2.8173117916666666</v>
      </c>
      <c r="Q21" s="25">
        <f>-Lebenshaltung!$F$35/12/1000</f>
        <v>-2.8173117916666666</v>
      </c>
      <c r="R21" s="25">
        <f>-Lebenshaltung!$F$35/12/1000</f>
        <v>-2.8173117916666666</v>
      </c>
      <c r="S21" s="25">
        <f>-Lebenshaltung!$F$35/12/1000</f>
        <v>-2.8173117916666666</v>
      </c>
      <c r="T21" s="25">
        <f>-Lebenshaltung!$F$35/12/1000</f>
        <v>-2.8173117916666666</v>
      </c>
      <c r="U21" s="25">
        <f>-Lebenshaltung!$F$35/12/1000</f>
        <v>-2.8173117916666666</v>
      </c>
      <c r="V21" s="25">
        <f>-Lebenshaltung!$F$35/12/1000</f>
        <v>-2.8173117916666666</v>
      </c>
      <c r="W21" s="15">
        <f t="shared" si="24"/>
        <v>-33.807741500000006</v>
      </c>
      <c r="X21" s="20">
        <f>-Lebenshaltung!G35/1000</f>
        <v>-34.821973745000001</v>
      </c>
      <c r="Y21" s="20">
        <f>-Lebenshaltung!H35/1000</f>
        <v>-35.866632957350006</v>
      </c>
    </row>
    <row r="22" spans="2:25" x14ac:dyDescent="0.25"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2:25" x14ac:dyDescent="0.25">
      <c r="B23" s="5" t="s">
        <v>123</v>
      </c>
      <c r="D23" s="14">
        <f t="shared" ref="D23:J23" si="25">+D7+D13</f>
        <v>1.1188264180672274</v>
      </c>
      <c r="E23" s="14">
        <f t="shared" si="25"/>
        <v>-3.1579831932772917E-2</v>
      </c>
      <c r="F23" s="14">
        <f t="shared" si="25"/>
        <v>-0.17151733193277341</v>
      </c>
      <c r="G23" s="14">
        <f t="shared" si="25"/>
        <v>0.83698897058823474</v>
      </c>
      <c r="H23" s="14">
        <f t="shared" si="25"/>
        <v>1.1802389705882348</v>
      </c>
      <c r="I23" s="14">
        <f t="shared" si="25"/>
        <v>0.18023897058823479</v>
      </c>
      <c r="J23" s="14">
        <f t="shared" si="25"/>
        <v>3.1131961659663823</v>
      </c>
      <c r="K23" s="14">
        <f t="shared" ref="K23:W23" si="26">+K7+K13</f>
        <v>0.81008535014005734</v>
      </c>
      <c r="L23" s="14">
        <f t="shared" si="26"/>
        <v>-1.9513521498599422</v>
      </c>
      <c r="M23" s="14">
        <f t="shared" si="26"/>
        <v>1.2748648133753502</v>
      </c>
      <c r="N23" s="14">
        <f t="shared" si="26"/>
        <v>8.2731769770541508</v>
      </c>
      <c r="O23" s="14">
        <f t="shared" si="26"/>
        <v>12.127048504831929</v>
      </c>
      <c r="P23" s="14">
        <f t="shared" si="26"/>
        <v>5.9699266714519172</v>
      </c>
      <c r="Q23" s="14">
        <f t="shared" si="26"/>
        <v>6.5228065532096142</v>
      </c>
      <c r="R23" s="14">
        <f t="shared" si="26"/>
        <v>4.3828412754318364</v>
      </c>
      <c r="S23" s="14">
        <f t="shared" si="26"/>
        <v>-0.25226858158263354</v>
      </c>
      <c r="T23" s="14">
        <f t="shared" si="26"/>
        <v>-0.29849283452381314</v>
      </c>
      <c r="U23" s="14">
        <f t="shared" si="26"/>
        <v>1.4847666654761866</v>
      </c>
      <c r="V23" s="14">
        <f t="shared" si="26"/>
        <v>1.4340701376050369</v>
      </c>
      <c r="W23" s="14">
        <f t="shared" si="26"/>
        <v>39.777473382609656</v>
      </c>
      <c r="X23" s="14">
        <f>+X7+X13</f>
        <v>94.615888837072816</v>
      </c>
      <c r="Y23" s="14">
        <f>+Y7+Y13</f>
        <v>272.89175568212909</v>
      </c>
    </row>
    <row r="24" spans="2:25" x14ac:dyDescent="0.25"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2:25" x14ac:dyDescent="0.25">
      <c r="B25" s="5" t="s">
        <v>121</v>
      </c>
      <c r="D25" s="14">
        <f t="shared" ref="D25:J25" si="27">+D5+D23</f>
        <v>1.1188264180672274</v>
      </c>
      <c r="E25" s="14">
        <f t="shared" si="27"/>
        <v>1.0872465861344545</v>
      </c>
      <c r="F25" s="14">
        <f t="shared" si="27"/>
        <v>0.91572925420168105</v>
      </c>
      <c r="G25" s="14">
        <f t="shared" si="27"/>
        <v>1.7527182247899158</v>
      </c>
      <c r="H25" s="14">
        <f t="shared" si="27"/>
        <v>2.9329571953781506</v>
      </c>
      <c r="I25" s="14">
        <f t="shared" si="27"/>
        <v>3.1131961659663854</v>
      </c>
      <c r="J25" s="14">
        <f t="shared" si="27"/>
        <v>3.1131961659663823</v>
      </c>
      <c r="K25" s="14">
        <f t="shared" ref="K25:W25" si="28">+K5+K23</f>
        <v>3.9232815161064396</v>
      </c>
      <c r="L25" s="14">
        <f t="shared" si="28"/>
        <v>1.9719293662464974</v>
      </c>
      <c r="M25" s="14">
        <f t="shared" si="28"/>
        <v>3.2467941796218476</v>
      </c>
      <c r="N25" s="14">
        <f t="shared" si="28"/>
        <v>11.519971156675998</v>
      </c>
      <c r="O25" s="14">
        <f t="shared" si="28"/>
        <v>23.647019661507926</v>
      </c>
      <c r="P25" s="14">
        <f t="shared" si="28"/>
        <v>29.616946332959841</v>
      </c>
      <c r="Q25" s="14">
        <f t="shared" si="28"/>
        <v>36.139752886169454</v>
      </c>
      <c r="R25" s="14">
        <f t="shared" si="28"/>
        <v>40.52259416160129</v>
      </c>
      <c r="S25" s="14">
        <f t="shared" si="28"/>
        <v>40.270325580018657</v>
      </c>
      <c r="T25" s="14">
        <f t="shared" si="28"/>
        <v>39.971832745494844</v>
      </c>
      <c r="U25" s="14">
        <f t="shared" si="28"/>
        <v>41.45659941097103</v>
      </c>
      <c r="V25" s="14">
        <f t="shared" si="28"/>
        <v>42.890669548576071</v>
      </c>
      <c r="W25" s="14">
        <f t="shared" si="28"/>
        <v>42.890669548576042</v>
      </c>
      <c r="X25" s="14">
        <f>+X5+X23</f>
        <v>137.50655838564887</v>
      </c>
      <c r="Y25" s="14">
        <f>+Y5+Y23</f>
        <v>410.39831406777796</v>
      </c>
    </row>
    <row r="27" spans="2:25" ht="17.25" x14ac:dyDescent="0.25">
      <c r="B27" t="s">
        <v>115</v>
      </c>
    </row>
  </sheetData>
  <mergeCells count="22">
    <mergeCell ref="V2:V3"/>
    <mergeCell ref="W2:W3"/>
    <mergeCell ref="X2:X3"/>
    <mergeCell ref="Y2:Y3"/>
    <mergeCell ref="P2:P3"/>
    <mergeCell ref="Q2:Q3"/>
    <mergeCell ref="R2:R3"/>
    <mergeCell ref="S2:S3"/>
    <mergeCell ref="T2:T3"/>
    <mergeCell ref="U2:U3"/>
    <mergeCell ref="O2:O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A60B-7F5F-4261-BBFF-C618AB39A26F}">
  <dimension ref="B2:R39"/>
  <sheetViews>
    <sheetView showGridLines="0" workbookViewId="0">
      <selection activeCell="K22" sqref="K22"/>
    </sheetView>
  </sheetViews>
  <sheetFormatPr defaultRowHeight="15" x14ac:dyDescent="0.25"/>
  <cols>
    <col min="2" max="2" width="21.7109375" bestFit="1" customWidth="1"/>
    <col min="3" max="3" width="1.7109375" customWidth="1"/>
    <col min="4" max="4" width="8.42578125" bestFit="1" customWidth="1"/>
    <col min="5" max="7" width="9.5703125" bestFit="1" customWidth="1"/>
    <col min="9" max="9" width="17.42578125" bestFit="1" customWidth="1"/>
    <col min="10" max="10" width="1.7109375" customWidth="1"/>
    <col min="11" max="11" width="17.5703125" customWidth="1"/>
    <col min="17" max="17" width="26.85546875" bestFit="1" customWidth="1"/>
  </cols>
  <sheetData>
    <row r="2" spans="2:18" x14ac:dyDescent="0.25">
      <c r="B2" s="4" t="s">
        <v>39</v>
      </c>
      <c r="D2" s="28" t="s">
        <v>34</v>
      </c>
      <c r="E2" s="27">
        <v>2024</v>
      </c>
      <c r="F2" s="27">
        <v>2025</v>
      </c>
      <c r="G2" s="27">
        <v>2026</v>
      </c>
      <c r="I2" s="4" t="s">
        <v>48</v>
      </c>
      <c r="K2" s="28" t="s">
        <v>58</v>
      </c>
    </row>
    <row r="3" spans="2:18" x14ac:dyDescent="0.25">
      <c r="B3" s="4" t="s">
        <v>111</v>
      </c>
      <c r="D3" s="27"/>
      <c r="E3" s="27"/>
      <c r="F3" s="27"/>
      <c r="G3" s="27"/>
      <c r="I3" s="4" t="s">
        <v>36</v>
      </c>
      <c r="K3" s="27"/>
    </row>
    <row r="4" spans="2:18" x14ac:dyDescent="0.25">
      <c r="Q4" t="s">
        <v>53</v>
      </c>
      <c r="R4">
        <v>150</v>
      </c>
    </row>
    <row r="5" spans="2:18" x14ac:dyDescent="0.25">
      <c r="B5" s="5" t="s">
        <v>40</v>
      </c>
      <c r="D5" s="14">
        <f>+SUM(D6:D7)</f>
        <v>0</v>
      </c>
      <c r="E5" s="14">
        <f t="shared" ref="E5:G5" si="0">+SUM(E6:E7)</f>
        <v>5</v>
      </c>
      <c r="F5" s="14">
        <f t="shared" si="0"/>
        <v>5</v>
      </c>
      <c r="G5" s="14">
        <f t="shared" si="0"/>
        <v>5</v>
      </c>
      <c r="I5" s="5" t="s">
        <v>40</v>
      </c>
      <c r="K5" s="7">
        <f>+SUM(K6:K10)</f>
        <v>3100</v>
      </c>
      <c r="Q5" t="s">
        <v>55</v>
      </c>
      <c r="R5">
        <v>100</v>
      </c>
    </row>
    <row r="6" spans="2:18" x14ac:dyDescent="0.25">
      <c r="B6" s="9" t="s">
        <v>57</v>
      </c>
      <c r="D6" s="20"/>
      <c r="E6" s="20">
        <v>5</v>
      </c>
      <c r="F6" s="20">
        <v>5</v>
      </c>
      <c r="G6" s="20">
        <v>5</v>
      </c>
      <c r="I6" s="9" t="s">
        <v>43</v>
      </c>
      <c r="K6" s="8">
        <v>600</v>
      </c>
      <c r="Q6" t="s">
        <v>54</v>
      </c>
      <c r="R6">
        <v>500</v>
      </c>
    </row>
    <row r="7" spans="2:18" x14ac:dyDescent="0.25">
      <c r="D7" s="15"/>
      <c r="E7" s="15"/>
      <c r="F7" s="15"/>
      <c r="G7" s="15"/>
      <c r="I7" s="9" t="s">
        <v>44</v>
      </c>
      <c r="K7" s="8">
        <v>100</v>
      </c>
      <c r="Q7" t="s">
        <v>56</v>
      </c>
      <c r="R7">
        <v>100</v>
      </c>
    </row>
    <row r="8" spans="2:18" x14ac:dyDescent="0.25">
      <c r="B8" s="5" t="s">
        <v>42</v>
      </c>
      <c r="D8" s="14">
        <f>+SUM(D9:D10)</f>
        <v>0.5</v>
      </c>
      <c r="E8" s="14">
        <f t="shared" ref="E8" si="1">+SUM(E9:E10)</f>
        <v>0.5</v>
      </c>
      <c r="F8" s="14">
        <f t="shared" ref="F8" si="2">+SUM(F9:F10)</f>
        <v>0.5</v>
      </c>
      <c r="G8" s="14">
        <f t="shared" ref="G8" si="3">+SUM(G9:G10)</f>
        <v>0.5</v>
      </c>
      <c r="I8" s="9" t="s">
        <v>45</v>
      </c>
      <c r="K8" s="8">
        <v>300</v>
      </c>
      <c r="Q8" t="s">
        <v>147</v>
      </c>
      <c r="R8">
        <v>1000</v>
      </c>
    </row>
    <row r="9" spans="2:18" x14ac:dyDescent="0.25">
      <c r="B9" s="9" t="s">
        <v>59</v>
      </c>
      <c r="D9" s="20">
        <v>0.5</v>
      </c>
      <c r="E9" s="20">
        <v>0.5</v>
      </c>
      <c r="F9" s="20">
        <v>0.5</v>
      </c>
      <c r="G9" s="20">
        <v>0.5</v>
      </c>
      <c r="I9" s="9" t="s">
        <v>46</v>
      </c>
      <c r="K9" s="8">
        <v>400</v>
      </c>
    </row>
    <row r="10" spans="2:18" x14ac:dyDescent="0.25">
      <c r="D10" s="15"/>
      <c r="E10" s="15"/>
      <c r="F10" s="15"/>
      <c r="G10" s="15"/>
      <c r="I10" s="9" t="s">
        <v>47</v>
      </c>
      <c r="K10" s="8">
        <v>1700</v>
      </c>
    </row>
    <row r="11" spans="2:18" x14ac:dyDescent="0.25">
      <c r="B11" s="5" t="s">
        <v>37</v>
      </c>
      <c r="D11" s="14">
        <f>+D5+D8</f>
        <v>0.5</v>
      </c>
      <c r="E11" s="14">
        <f t="shared" ref="E11:G11" si="4">+E5+E8</f>
        <v>5.5</v>
      </c>
      <c r="F11" s="14">
        <f t="shared" si="4"/>
        <v>5.5</v>
      </c>
      <c r="G11" s="14">
        <f t="shared" si="4"/>
        <v>5.5</v>
      </c>
    </row>
    <row r="12" spans="2:18" x14ac:dyDescent="0.25">
      <c r="I12" s="5" t="s">
        <v>41</v>
      </c>
      <c r="K12" s="7">
        <f>+SUM(K13:K15)</f>
        <v>600</v>
      </c>
    </row>
    <row r="13" spans="2:18" x14ac:dyDescent="0.25">
      <c r="I13" s="9" t="s">
        <v>49</v>
      </c>
      <c r="K13" s="8">
        <v>400</v>
      </c>
    </row>
    <row r="14" spans="2:18" x14ac:dyDescent="0.25">
      <c r="I14" s="9" t="s">
        <v>50</v>
      </c>
      <c r="K14" s="8">
        <v>100</v>
      </c>
    </row>
    <row r="15" spans="2:18" x14ac:dyDescent="0.25">
      <c r="I15" s="9" t="s">
        <v>51</v>
      </c>
      <c r="K15" s="8">
        <v>100</v>
      </c>
    </row>
    <row r="17" spans="2:11" x14ac:dyDescent="0.25">
      <c r="I17" s="5" t="s">
        <v>37</v>
      </c>
      <c r="K17" s="7">
        <f>+K12+K5</f>
        <v>3700</v>
      </c>
    </row>
    <row r="19" spans="2:11" x14ac:dyDescent="0.25">
      <c r="I19" t="s">
        <v>52</v>
      </c>
    </row>
    <row r="24" spans="2:11" x14ac:dyDescent="0.25">
      <c r="B24" s="4" t="s">
        <v>95</v>
      </c>
      <c r="D24" s="28" t="s">
        <v>34</v>
      </c>
      <c r="E24" s="27">
        <v>2024</v>
      </c>
      <c r="F24" s="27">
        <v>2025</v>
      </c>
      <c r="G24" s="27">
        <v>2026</v>
      </c>
    </row>
    <row r="25" spans="2:11" x14ac:dyDescent="0.25">
      <c r="B25" s="4" t="s">
        <v>36</v>
      </c>
      <c r="D25" s="27"/>
      <c r="E25" s="27"/>
      <c r="F25" s="27"/>
      <c r="G25" s="27"/>
    </row>
    <row r="27" spans="2:11" x14ac:dyDescent="0.25">
      <c r="B27" s="5" t="s">
        <v>40</v>
      </c>
      <c r="D27" s="7">
        <f>+SUM(D28:D31)</f>
        <v>0</v>
      </c>
      <c r="E27" s="7">
        <f t="shared" ref="E27:G27" si="5">+SUM(E28:E31)</f>
        <v>1.6666666666666667</v>
      </c>
      <c r="F27" s="7">
        <f t="shared" si="5"/>
        <v>3.3333333333333335</v>
      </c>
      <c r="G27" s="7">
        <f t="shared" si="5"/>
        <v>5</v>
      </c>
    </row>
    <row r="28" spans="2:11" x14ac:dyDescent="0.25">
      <c r="B28">
        <v>2023</v>
      </c>
      <c r="D28" s="17">
        <f>+D5/36*6</f>
        <v>0</v>
      </c>
      <c r="E28" s="17">
        <f>+$D$5/36*12</f>
        <v>0</v>
      </c>
      <c r="F28" s="17">
        <f t="shared" ref="F28" si="6">+$D$5/36*12</f>
        <v>0</v>
      </c>
      <c r="G28" s="17">
        <f>+$D$5/36*6</f>
        <v>0</v>
      </c>
    </row>
    <row r="29" spans="2:11" x14ac:dyDescent="0.25">
      <c r="B29">
        <v>2024</v>
      </c>
      <c r="D29" s="17"/>
      <c r="E29" s="17">
        <f>+$E$5/36*12</f>
        <v>1.6666666666666667</v>
      </c>
      <c r="F29" s="17">
        <f t="shared" ref="F29:G29" si="7">+$E$5/36*12</f>
        <v>1.6666666666666667</v>
      </c>
      <c r="G29" s="17">
        <f t="shared" si="7"/>
        <v>1.6666666666666667</v>
      </c>
    </row>
    <row r="30" spans="2:11" x14ac:dyDescent="0.25">
      <c r="B30">
        <v>2025</v>
      </c>
      <c r="D30" s="17"/>
      <c r="E30" s="17"/>
      <c r="F30" s="17">
        <f>+$F$5/36*12</f>
        <v>1.6666666666666667</v>
      </c>
      <c r="G30" s="17">
        <f>+$F$5/36*12</f>
        <v>1.6666666666666667</v>
      </c>
    </row>
    <row r="31" spans="2:11" x14ac:dyDescent="0.25">
      <c r="B31">
        <v>2026</v>
      </c>
      <c r="D31" s="17"/>
      <c r="E31" s="17"/>
      <c r="F31" s="17"/>
      <c r="G31" s="17">
        <f>+$G$5/36*12</f>
        <v>1.6666666666666667</v>
      </c>
    </row>
    <row r="33" spans="2:7" x14ac:dyDescent="0.25">
      <c r="B33" s="5" t="s">
        <v>42</v>
      </c>
      <c r="D33" s="7">
        <f>+SUM(D34:D37)</f>
        <v>0.5</v>
      </c>
      <c r="E33" s="7">
        <f t="shared" ref="E33:G33" si="8">+SUM(E34:E37)</f>
        <v>0.5</v>
      </c>
      <c r="F33" s="7">
        <f t="shared" si="8"/>
        <v>0.5</v>
      </c>
      <c r="G33" s="7">
        <f t="shared" si="8"/>
        <v>0.5</v>
      </c>
    </row>
    <row r="34" spans="2:7" x14ac:dyDescent="0.25">
      <c r="B34">
        <v>2023</v>
      </c>
      <c r="D34" s="17">
        <f>+D9</f>
        <v>0.5</v>
      </c>
      <c r="E34" s="17"/>
      <c r="F34" s="17"/>
      <c r="G34" s="17"/>
    </row>
    <row r="35" spans="2:7" x14ac:dyDescent="0.25">
      <c r="B35">
        <v>2024</v>
      </c>
      <c r="D35" s="23"/>
      <c r="E35" s="23">
        <f>+E9</f>
        <v>0.5</v>
      </c>
      <c r="F35" s="23"/>
      <c r="G35" s="23"/>
    </row>
    <row r="36" spans="2:7" x14ac:dyDescent="0.25">
      <c r="B36">
        <v>2025</v>
      </c>
      <c r="D36" s="23"/>
      <c r="E36" s="23"/>
      <c r="F36" s="23">
        <f>+F9</f>
        <v>0.5</v>
      </c>
      <c r="G36" s="23"/>
    </row>
    <row r="37" spans="2:7" x14ac:dyDescent="0.25">
      <c r="B37">
        <v>2026</v>
      </c>
      <c r="D37" s="17"/>
      <c r="E37" s="17"/>
      <c r="F37" s="17"/>
      <c r="G37" s="17">
        <f>+G9</f>
        <v>0.5</v>
      </c>
    </row>
    <row r="38" spans="2:7" x14ac:dyDescent="0.25">
      <c r="D38" s="11"/>
      <c r="E38" s="11"/>
      <c r="F38" s="11"/>
      <c r="G38" s="11"/>
    </row>
    <row r="39" spans="2:7" x14ac:dyDescent="0.25">
      <c r="B39" s="5" t="s">
        <v>37</v>
      </c>
      <c r="D39" s="7">
        <f>+D27+D33</f>
        <v>0.5</v>
      </c>
      <c r="E39" s="7">
        <f>+E27+E33</f>
        <v>2.166666666666667</v>
      </c>
      <c r="F39" s="7">
        <f>+F27+F33</f>
        <v>3.8333333333333335</v>
      </c>
      <c r="G39" s="7">
        <f>+G27+G33</f>
        <v>5.5</v>
      </c>
    </row>
  </sheetData>
  <mergeCells count="9">
    <mergeCell ref="K2:K3"/>
    <mergeCell ref="D24:D25"/>
    <mergeCell ref="E24:E25"/>
    <mergeCell ref="F24:F25"/>
    <mergeCell ref="G24:G25"/>
    <mergeCell ref="D2:D3"/>
    <mergeCell ref="E2:E3"/>
    <mergeCell ref="F2:F3"/>
    <mergeCell ref="G2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D60A-9215-4E30-833C-55FC9295A0D0}">
  <dimension ref="B2:L41"/>
  <sheetViews>
    <sheetView showGridLines="0" workbookViewId="0">
      <selection activeCell="J10" sqref="J10"/>
    </sheetView>
  </sheetViews>
  <sheetFormatPr defaultRowHeight="15" x14ac:dyDescent="0.25"/>
  <cols>
    <col min="1" max="1" width="2.42578125" customWidth="1"/>
    <col min="2" max="2" width="34.85546875" customWidth="1"/>
    <col min="3" max="3" width="1.7109375" customWidth="1"/>
    <col min="4" max="4" width="9.42578125" bestFit="1" customWidth="1"/>
    <col min="5" max="5" width="10.85546875" customWidth="1"/>
    <col min="6" max="8" width="10.5703125" bestFit="1" customWidth="1"/>
  </cols>
  <sheetData>
    <row r="2" spans="2:8" ht="15" customHeight="1" x14ac:dyDescent="0.25">
      <c r="B2" s="4" t="s">
        <v>8</v>
      </c>
      <c r="D2" s="27" t="s">
        <v>9</v>
      </c>
      <c r="E2" s="28" t="s">
        <v>34</v>
      </c>
      <c r="F2" s="27">
        <v>2024</v>
      </c>
      <c r="G2" s="27">
        <v>2025</v>
      </c>
      <c r="H2" s="27">
        <v>2026</v>
      </c>
    </row>
    <row r="3" spans="2:8" x14ac:dyDescent="0.25">
      <c r="B3" s="4" t="s">
        <v>36</v>
      </c>
      <c r="D3" s="27"/>
      <c r="E3" s="28"/>
      <c r="F3" s="27"/>
      <c r="G3" s="27"/>
      <c r="H3" s="27"/>
    </row>
    <row r="5" spans="2:8" x14ac:dyDescent="0.25">
      <c r="B5" s="5" t="s">
        <v>10</v>
      </c>
      <c r="D5" s="6">
        <f>+SUM(D6:D9)</f>
        <v>949.72333333333336</v>
      </c>
      <c r="E5" s="6">
        <f t="shared" ref="E5:H5" si="0">+SUM(E6:E9)</f>
        <v>5698.3399999999992</v>
      </c>
      <c r="F5" s="6">
        <f t="shared" si="0"/>
        <v>11738.580400000001</v>
      </c>
      <c r="G5" s="6">
        <f t="shared" si="0"/>
        <v>12090.737812000001</v>
      </c>
      <c r="H5" s="6">
        <f t="shared" si="0"/>
        <v>12453.459946360001</v>
      </c>
    </row>
    <row r="6" spans="2:8" x14ac:dyDescent="0.25">
      <c r="B6" s="9" t="s">
        <v>11</v>
      </c>
      <c r="D6" s="25">
        <f>+E6/6</f>
        <v>855</v>
      </c>
      <c r="E6" s="25">
        <f>(725+130)*6</f>
        <v>5130</v>
      </c>
      <c r="F6" s="25">
        <f>+E6/6*12*1.03</f>
        <v>10567.800000000001</v>
      </c>
      <c r="G6" s="25">
        <f t="shared" ref="G6:H6" si="1">+F6*1.03</f>
        <v>10884.834000000001</v>
      </c>
      <c r="H6" s="25">
        <f t="shared" si="1"/>
        <v>11211.37902</v>
      </c>
    </row>
    <row r="7" spans="2:8" x14ac:dyDescent="0.25">
      <c r="B7" s="9" t="s">
        <v>12</v>
      </c>
      <c r="D7" s="25">
        <f t="shared" ref="D7:D8" si="2">+E7/6</f>
        <v>49.733333333333327</v>
      </c>
      <c r="E7" s="25">
        <f>0.373*800</f>
        <v>298.39999999999998</v>
      </c>
      <c r="F7" s="25">
        <f t="shared" ref="F7:F9" si="3">+E7/6*12*1.03</f>
        <v>614.70399999999995</v>
      </c>
      <c r="G7" s="25">
        <f t="shared" ref="G7:H7" si="4">+F7*1.03</f>
        <v>633.14512000000002</v>
      </c>
      <c r="H7" s="25">
        <f t="shared" si="4"/>
        <v>652.13947360000009</v>
      </c>
    </row>
    <row r="8" spans="2:8" x14ac:dyDescent="0.25">
      <c r="B8" s="9" t="s">
        <v>35</v>
      </c>
      <c r="D8" s="25">
        <f t="shared" si="2"/>
        <v>39.99</v>
      </c>
      <c r="E8" s="25">
        <f>39.99*6</f>
        <v>239.94</v>
      </c>
      <c r="F8" s="25">
        <f t="shared" si="3"/>
        <v>494.27640000000002</v>
      </c>
      <c r="G8" s="25">
        <f t="shared" ref="G8:H9" si="5">+F8*1.03</f>
        <v>509.10469200000006</v>
      </c>
      <c r="H8" s="25">
        <f t="shared" si="5"/>
        <v>524.37783276000005</v>
      </c>
    </row>
    <row r="9" spans="2:8" x14ac:dyDescent="0.25">
      <c r="B9" s="9" t="s">
        <v>13</v>
      </c>
      <c r="D9" s="25">
        <f>+E9/6</f>
        <v>5</v>
      </c>
      <c r="E9" s="25">
        <f>5*6</f>
        <v>30</v>
      </c>
      <c r="F9" s="25">
        <f t="shared" si="3"/>
        <v>61.800000000000004</v>
      </c>
      <c r="G9" s="25">
        <f t="shared" si="5"/>
        <v>63.654000000000003</v>
      </c>
      <c r="H9" s="25">
        <f t="shared" si="5"/>
        <v>65.56362</v>
      </c>
    </row>
    <row r="10" spans="2:8" x14ac:dyDescent="0.25">
      <c r="D10" s="10"/>
      <c r="E10" s="10"/>
      <c r="F10" s="10"/>
      <c r="G10" s="10"/>
      <c r="H10" s="10"/>
    </row>
    <row r="11" spans="2:8" x14ac:dyDescent="0.25">
      <c r="B11" s="5" t="s">
        <v>14</v>
      </c>
      <c r="D11" s="6">
        <f>+SUM(D12:D14)</f>
        <v>895.61</v>
      </c>
      <c r="E11" s="6">
        <f t="shared" ref="E11" si="6">+SUM(E12:E14)</f>
        <v>5373.66</v>
      </c>
      <c r="F11" s="6">
        <f t="shared" ref="F11" si="7">+SUM(F12:F14)</f>
        <v>11069.739600000001</v>
      </c>
      <c r="G11" s="6">
        <f t="shared" ref="G11" si="8">+SUM(G12:G14)</f>
        <v>11401.831788000001</v>
      </c>
      <c r="H11" s="6">
        <f t="shared" ref="H11" si="9">+SUM(H12:H14)</f>
        <v>11743.886741640001</v>
      </c>
    </row>
    <row r="12" spans="2:8" x14ac:dyDescent="0.25">
      <c r="B12" s="9" t="s">
        <v>15</v>
      </c>
      <c r="D12" s="25">
        <f t="shared" ref="D12:D15" si="10">+E12/6</f>
        <v>220</v>
      </c>
      <c r="E12" s="25">
        <f>220*6</f>
        <v>1320</v>
      </c>
      <c r="F12" s="25">
        <f t="shared" ref="F12:F15" si="11">+E12/6*12*1.03</f>
        <v>2719.2000000000003</v>
      </c>
      <c r="G12" s="25">
        <f t="shared" ref="G12:H12" si="12">+F12*1.03</f>
        <v>2800.7760000000003</v>
      </c>
      <c r="H12" s="25">
        <f t="shared" si="12"/>
        <v>2884.7992800000002</v>
      </c>
    </row>
    <row r="13" spans="2:8" x14ac:dyDescent="0.25">
      <c r="B13" s="9" t="s">
        <v>16</v>
      </c>
      <c r="D13" s="25">
        <f t="shared" si="10"/>
        <v>631.47</v>
      </c>
      <c r="E13" s="25">
        <f>631.47*6</f>
        <v>3788.82</v>
      </c>
      <c r="F13" s="25">
        <f t="shared" si="11"/>
        <v>7804.9692000000005</v>
      </c>
      <c r="G13" s="25">
        <f t="shared" ref="G13:H13" si="13">+F13*1.03</f>
        <v>8039.1182760000011</v>
      </c>
      <c r="H13" s="25">
        <f t="shared" si="13"/>
        <v>8280.2918242800006</v>
      </c>
    </row>
    <row r="14" spans="2:8" x14ac:dyDescent="0.25">
      <c r="B14" s="9" t="s">
        <v>17</v>
      </c>
      <c r="D14" s="25">
        <f t="shared" si="10"/>
        <v>44.140000000000008</v>
      </c>
      <c r="E14" s="25">
        <f>44.14*6</f>
        <v>264.84000000000003</v>
      </c>
      <c r="F14" s="25">
        <f t="shared" si="11"/>
        <v>545.57040000000006</v>
      </c>
      <c r="G14" s="25">
        <f t="shared" ref="G14:H14" si="14">+F14*1.03</f>
        <v>561.93751200000008</v>
      </c>
      <c r="H14" s="25">
        <f t="shared" si="14"/>
        <v>578.79563736000011</v>
      </c>
    </row>
    <row r="15" spans="2:8" x14ac:dyDescent="0.25">
      <c r="B15" s="9" t="s">
        <v>18</v>
      </c>
      <c r="D15" s="25">
        <f t="shared" si="10"/>
        <v>0</v>
      </c>
      <c r="E15" s="25"/>
      <c r="F15" s="25">
        <f t="shared" si="11"/>
        <v>0</v>
      </c>
      <c r="G15" s="25">
        <f t="shared" ref="G15:H15" si="15">+F15*1.03</f>
        <v>0</v>
      </c>
      <c r="H15" s="25">
        <f t="shared" si="15"/>
        <v>0</v>
      </c>
    </row>
    <row r="16" spans="2:8" x14ac:dyDescent="0.25">
      <c r="D16" s="10"/>
      <c r="E16" s="10"/>
      <c r="F16" s="10"/>
      <c r="G16" s="10"/>
      <c r="H16" s="10"/>
    </row>
    <row r="17" spans="2:8" x14ac:dyDescent="0.25">
      <c r="B17" s="5" t="s">
        <v>19</v>
      </c>
      <c r="D17" s="6">
        <f>+SUM(D18:D20)</f>
        <v>50</v>
      </c>
      <c r="E17" s="6">
        <f t="shared" ref="E17" si="16">+SUM(E18:E20)</f>
        <v>300</v>
      </c>
      <c r="F17" s="6">
        <f t="shared" ref="F17" si="17">+SUM(F18:F20)</f>
        <v>618</v>
      </c>
      <c r="G17" s="6">
        <f t="shared" ref="G17" si="18">+SUM(G18:G20)</f>
        <v>636.54</v>
      </c>
      <c r="H17" s="6">
        <f t="shared" ref="H17" si="19">+SUM(H18:H20)</f>
        <v>655.63620000000003</v>
      </c>
    </row>
    <row r="18" spans="2:8" x14ac:dyDescent="0.25">
      <c r="B18" s="9" t="s">
        <v>20</v>
      </c>
      <c r="D18" s="25">
        <f t="shared" ref="D18:D20" si="20">+E18/6</f>
        <v>0</v>
      </c>
      <c r="E18" s="25">
        <v>0</v>
      </c>
      <c r="F18" s="25">
        <f t="shared" ref="F18:F20" si="21">+E18/6*12*1.03</f>
        <v>0</v>
      </c>
      <c r="G18" s="25">
        <f t="shared" ref="G18:H18" si="22">+F18*1.03</f>
        <v>0</v>
      </c>
      <c r="H18" s="25">
        <f t="shared" si="22"/>
        <v>0</v>
      </c>
    </row>
    <row r="19" spans="2:8" x14ac:dyDescent="0.25">
      <c r="B19" s="9" t="s">
        <v>21</v>
      </c>
      <c r="D19" s="25">
        <f t="shared" si="20"/>
        <v>0</v>
      </c>
      <c r="E19" s="25">
        <v>0</v>
      </c>
      <c r="F19" s="25">
        <f t="shared" si="21"/>
        <v>0</v>
      </c>
      <c r="G19" s="25">
        <f t="shared" ref="G19:H19" si="23">+F19*1.03</f>
        <v>0</v>
      </c>
      <c r="H19" s="25">
        <f t="shared" si="23"/>
        <v>0</v>
      </c>
    </row>
    <row r="20" spans="2:8" x14ac:dyDescent="0.25">
      <c r="B20" s="9" t="s">
        <v>22</v>
      </c>
      <c r="D20" s="25">
        <f t="shared" si="20"/>
        <v>50</v>
      </c>
      <c r="E20" s="25">
        <f>50*6</f>
        <v>300</v>
      </c>
      <c r="F20" s="25">
        <f t="shared" si="21"/>
        <v>618</v>
      </c>
      <c r="G20" s="25">
        <f t="shared" ref="G20:H20" si="24">+F20*1.03</f>
        <v>636.54</v>
      </c>
      <c r="H20" s="25">
        <f t="shared" si="24"/>
        <v>655.63620000000003</v>
      </c>
    </row>
    <row r="21" spans="2:8" x14ac:dyDescent="0.25">
      <c r="D21" s="10"/>
      <c r="E21" s="10"/>
      <c r="F21" s="10"/>
      <c r="G21" s="10"/>
      <c r="H21" s="10"/>
    </row>
    <row r="22" spans="2:8" x14ac:dyDescent="0.25">
      <c r="B22" s="5" t="s">
        <v>23</v>
      </c>
      <c r="D22" s="6">
        <f t="shared" ref="D22:E22" si="25">+SUM(D23:D25)</f>
        <v>146.58750000000001</v>
      </c>
      <c r="E22" s="6">
        <f t="shared" si="25"/>
        <v>879.52499999999998</v>
      </c>
      <c r="F22" s="6">
        <f>+SUM(F23:F25)</f>
        <v>1811.8215</v>
      </c>
      <c r="G22" s="6">
        <f t="shared" ref="G22:H22" si="26">+SUM(G23:G25)</f>
        <v>1866.1761449999999</v>
      </c>
      <c r="H22" s="6">
        <f t="shared" si="26"/>
        <v>1922.1614293500002</v>
      </c>
    </row>
    <row r="23" spans="2:8" x14ac:dyDescent="0.25">
      <c r="B23" s="9" t="s">
        <v>24</v>
      </c>
      <c r="D23" s="25">
        <f t="shared" ref="D23:D25" si="27">+E23/6</f>
        <v>46.587499999999999</v>
      </c>
      <c r="E23" s="25">
        <f>559.05/12*6</f>
        <v>279.52499999999998</v>
      </c>
      <c r="F23" s="25">
        <f t="shared" ref="F23:F25" si="28">+E23/6*12*1.03</f>
        <v>575.82150000000001</v>
      </c>
      <c r="G23" s="25">
        <f t="shared" ref="G23:H23" si="29">+F23*1.03</f>
        <v>593.09614499999998</v>
      </c>
      <c r="H23" s="25">
        <f t="shared" si="29"/>
        <v>610.88902934999999</v>
      </c>
    </row>
    <row r="24" spans="2:8" x14ac:dyDescent="0.25">
      <c r="B24" s="9" t="s">
        <v>25</v>
      </c>
      <c r="D24" s="25">
        <f t="shared" si="27"/>
        <v>100</v>
      </c>
      <c r="E24" s="25">
        <f>100*6</f>
        <v>600</v>
      </c>
      <c r="F24" s="25">
        <f t="shared" si="28"/>
        <v>1236</v>
      </c>
      <c r="G24" s="25">
        <f t="shared" ref="G24:H24" si="30">+F24*1.03</f>
        <v>1273.08</v>
      </c>
      <c r="H24" s="25">
        <f t="shared" si="30"/>
        <v>1311.2724000000001</v>
      </c>
    </row>
    <row r="25" spans="2:8" x14ac:dyDescent="0.25">
      <c r="B25" s="9" t="s">
        <v>26</v>
      </c>
      <c r="D25" s="25">
        <f t="shared" si="27"/>
        <v>0</v>
      </c>
      <c r="E25" s="25">
        <v>0</v>
      </c>
      <c r="F25" s="25">
        <f t="shared" si="28"/>
        <v>0</v>
      </c>
      <c r="G25" s="25">
        <f t="shared" ref="G25:H25" si="31">+F25*1.03</f>
        <v>0</v>
      </c>
      <c r="H25" s="25">
        <f t="shared" si="31"/>
        <v>0</v>
      </c>
    </row>
    <row r="26" spans="2:8" x14ac:dyDescent="0.25">
      <c r="D26" s="10"/>
      <c r="E26" s="10"/>
      <c r="F26" s="10"/>
      <c r="G26" s="10"/>
      <c r="H26" s="10"/>
    </row>
    <row r="27" spans="2:8" x14ac:dyDescent="0.25">
      <c r="B27" s="5" t="s">
        <v>27</v>
      </c>
      <c r="D27" s="6">
        <f>+SUM(D28:D30)</f>
        <v>600</v>
      </c>
      <c r="E27" s="6">
        <f t="shared" ref="E27" si="32">+SUM(E28:E30)</f>
        <v>3600</v>
      </c>
      <c r="F27" s="6">
        <f t="shared" ref="F27" si="33">+SUM(F28:F30)</f>
        <v>7416</v>
      </c>
      <c r="G27" s="6">
        <f t="shared" ref="G27" si="34">+SUM(G28:G30)</f>
        <v>7638.4800000000005</v>
      </c>
      <c r="H27" s="6">
        <f t="shared" ref="H27" si="35">+SUM(H28:H30)</f>
        <v>7867.6344000000008</v>
      </c>
    </row>
    <row r="28" spans="2:8" x14ac:dyDescent="0.25">
      <c r="B28" s="9" t="s">
        <v>28</v>
      </c>
      <c r="D28" s="25">
        <f t="shared" ref="D28:D30" si="36">+E28/6</f>
        <v>500</v>
      </c>
      <c r="E28" s="25">
        <f>500*6</f>
        <v>3000</v>
      </c>
      <c r="F28" s="25">
        <f t="shared" ref="F28:F30" si="37">+E28/6*12*1.03</f>
        <v>6180</v>
      </c>
      <c r="G28" s="25">
        <f t="shared" ref="G28:H28" si="38">+F28*1.03</f>
        <v>6365.4000000000005</v>
      </c>
      <c r="H28" s="25">
        <f t="shared" si="38"/>
        <v>6556.362000000001</v>
      </c>
    </row>
    <row r="29" spans="2:8" x14ac:dyDescent="0.25">
      <c r="B29" s="9" t="s">
        <v>29</v>
      </c>
      <c r="D29" s="25">
        <f t="shared" si="36"/>
        <v>50</v>
      </c>
      <c r="E29" s="25">
        <f>50*6</f>
        <v>300</v>
      </c>
      <c r="F29" s="25">
        <f t="shared" si="37"/>
        <v>618</v>
      </c>
      <c r="G29" s="25">
        <f t="shared" ref="G29:H29" si="39">+F29*1.03</f>
        <v>636.54</v>
      </c>
      <c r="H29" s="25">
        <f t="shared" si="39"/>
        <v>655.63620000000003</v>
      </c>
    </row>
    <row r="30" spans="2:8" x14ac:dyDescent="0.25">
      <c r="B30" s="9" t="s">
        <v>30</v>
      </c>
      <c r="D30" s="25">
        <f t="shared" si="36"/>
        <v>50</v>
      </c>
      <c r="E30" s="25">
        <f>50*6</f>
        <v>300</v>
      </c>
      <c r="F30" s="25">
        <f t="shared" si="37"/>
        <v>618</v>
      </c>
      <c r="G30" s="25">
        <f t="shared" ref="G30:H30" si="40">+F30*1.03</f>
        <v>636.54</v>
      </c>
      <c r="H30" s="25">
        <f t="shared" si="40"/>
        <v>655.63620000000003</v>
      </c>
    </row>
    <row r="31" spans="2:8" x14ac:dyDescent="0.25">
      <c r="D31" s="10"/>
      <c r="E31" s="10"/>
      <c r="F31" s="10"/>
      <c r="G31" s="10"/>
      <c r="H31" s="10"/>
    </row>
    <row r="32" spans="2:8" x14ac:dyDescent="0.25">
      <c r="B32" t="s">
        <v>31</v>
      </c>
      <c r="D32" s="25">
        <f t="shared" ref="D32:D33" si="41">+E32/6</f>
        <v>83.333333333333329</v>
      </c>
      <c r="E32" s="25">
        <f>83.3333333333333*6</f>
        <v>500</v>
      </c>
      <c r="F32" s="25">
        <f t="shared" ref="F32:F33" si="42">+E32/6*12*1.03</f>
        <v>1030</v>
      </c>
      <c r="G32" s="25">
        <f t="shared" ref="G32:H32" si="43">+F32*1.03</f>
        <v>1060.9000000000001</v>
      </c>
      <c r="H32" s="25">
        <f t="shared" si="43"/>
        <v>1092.7270000000001</v>
      </c>
    </row>
    <row r="33" spans="2:12" x14ac:dyDescent="0.25">
      <c r="B33" t="s">
        <v>32</v>
      </c>
      <c r="D33" s="25">
        <f t="shared" si="41"/>
        <v>10</v>
      </c>
      <c r="E33" s="25">
        <f>10*6</f>
        <v>60</v>
      </c>
      <c r="F33" s="25">
        <f t="shared" si="42"/>
        <v>123.60000000000001</v>
      </c>
      <c r="G33" s="25">
        <f t="shared" ref="G33:H33" si="44">+F33*1.03</f>
        <v>127.30800000000001</v>
      </c>
      <c r="H33" s="25">
        <f t="shared" si="44"/>
        <v>131.12724</v>
      </c>
    </row>
    <row r="34" spans="2:12" x14ac:dyDescent="0.25">
      <c r="D34" s="10"/>
      <c r="E34" s="10"/>
      <c r="F34" s="10"/>
      <c r="G34" s="10"/>
      <c r="H34" s="10"/>
    </row>
    <row r="35" spans="2:12" x14ac:dyDescent="0.25">
      <c r="B35" s="5" t="s">
        <v>33</v>
      </c>
      <c r="D35" s="6">
        <f>+D5+D11+D17+D22+D27+SUM(D32:D33)</f>
        <v>2735.2541666666671</v>
      </c>
      <c r="E35" s="6">
        <f t="shared" ref="E35:H35" si="45">+E5+E11+E17+E22+E27+SUM(E32:E33)</f>
        <v>16411.525000000001</v>
      </c>
      <c r="F35" s="6">
        <f t="shared" si="45"/>
        <v>33807.741499999996</v>
      </c>
      <c r="G35" s="6">
        <f t="shared" si="45"/>
        <v>34821.973745000003</v>
      </c>
      <c r="H35" s="6">
        <f t="shared" si="45"/>
        <v>35866.632957350004</v>
      </c>
    </row>
    <row r="36" spans="2:12" x14ac:dyDescent="0.25">
      <c r="B36" s="12"/>
      <c r="D36" s="26"/>
      <c r="E36" s="26"/>
      <c r="F36" s="26"/>
      <c r="G36" s="26"/>
      <c r="H36" s="26"/>
      <c r="L36" s="24"/>
    </row>
    <row r="37" spans="2:12" x14ac:dyDescent="0.25">
      <c r="B37" s="9" t="s">
        <v>107</v>
      </c>
      <c r="D37" s="10">
        <f>+D35*0.18</f>
        <v>492.34575000000007</v>
      </c>
      <c r="E37" s="10">
        <f>+E35*0.18</f>
        <v>2954.0745000000002</v>
      </c>
      <c r="F37" s="10">
        <f t="shared" ref="F37:H37" si="46">+F35*0.18</f>
        <v>6085.3934699999991</v>
      </c>
      <c r="G37" s="10">
        <f t="shared" si="46"/>
        <v>6267.9552741000007</v>
      </c>
      <c r="H37" s="10">
        <f t="shared" si="46"/>
        <v>6455.9939323230001</v>
      </c>
    </row>
    <row r="38" spans="2:12" x14ac:dyDescent="0.25">
      <c r="D38" s="10"/>
      <c r="E38" s="10"/>
      <c r="F38" s="10"/>
      <c r="G38" s="10"/>
      <c r="H38" s="10"/>
    </row>
    <row r="39" spans="2:12" x14ac:dyDescent="0.25">
      <c r="B39" s="5" t="s">
        <v>37</v>
      </c>
      <c r="D39" s="6">
        <f>+D35+D37</f>
        <v>3227.599916666667</v>
      </c>
      <c r="E39" s="6">
        <f t="shared" ref="E39:H39" si="47">+E35+E37</f>
        <v>19365.5995</v>
      </c>
      <c r="F39" s="6">
        <f t="shared" si="47"/>
        <v>39893.134969999999</v>
      </c>
      <c r="G39" s="6">
        <f t="shared" si="47"/>
        <v>41089.929019100004</v>
      </c>
      <c r="H39" s="6">
        <f t="shared" si="47"/>
        <v>42322.626889673003</v>
      </c>
    </row>
    <row r="41" spans="2:12" x14ac:dyDescent="0.25">
      <c r="B41" t="s">
        <v>106</v>
      </c>
    </row>
  </sheetData>
  <mergeCells count="5"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CAB1-CF9E-46FB-8B69-BC7D16BCD9A5}">
  <dimension ref="B2:N23"/>
  <sheetViews>
    <sheetView showGridLines="0" workbookViewId="0">
      <selection activeCell="C4" sqref="C4"/>
    </sheetView>
  </sheetViews>
  <sheetFormatPr defaultRowHeight="15" x14ac:dyDescent="0.2"/>
  <cols>
    <col min="1" max="1" width="9.140625" style="1"/>
    <col min="2" max="2" width="18.42578125" style="1" customWidth="1"/>
    <col min="3" max="3" width="16.85546875" style="1" bestFit="1" customWidth="1"/>
    <col min="4" max="16384" width="9.140625" style="1"/>
  </cols>
  <sheetData>
    <row r="2" spans="2:14" x14ac:dyDescent="0.2">
      <c r="B2" s="1" t="s">
        <v>0</v>
      </c>
    </row>
    <row r="3" spans="2:14" x14ac:dyDescent="0.2">
      <c r="B3" s="1" t="s">
        <v>1</v>
      </c>
      <c r="C3" s="2">
        <f>1-C4</f>
        <v>0.91017808691615265</v>
      </c>
    </row>
    <row r="4" spans="2:14" x14ac:dyDescent="0.2">
      <c r="B4" s="1" t="s">
        <v>2</v>
      </c>
      <c r="C4" s="2">
        <f>-0.3*6/GuV!J51</f>
        <v>8.9821913083847377E-2</v>
      </c>
      <c r="N4" s="22"/>
    </row>
    <row r="18" spans="2:3" x14ac:dyDescent="0.2">
      <c r="B18" s="1" t="s">
        <v>3</v>
      </c>
    </row>
    <row r="19" spans="2:3" x14ac:dyDescent="0.2">
      <c r="B19" s="1" t="s">
        <v>4</v>
      </c>
      <c r="C19" s="3">
        <f>+GuV!J51</f>
        <v>-20.039653334033616</v>
      </c>
    </row>
    <row r="20" spans="2:3" x14ac:dyDescent="0.2">
      <c r="B20" s="1" t="s">
        <v>5</v>
      </c>
      <c r="C20" s="3">
        <f>+GuV!W51</f>
        <v>33.959579134831934</v>
      </c>
    </row>
    <row r="21" spans="2:3" x14ac:dyDescent="0.2">
      <c r="B21" s="1" t="s">
        <v>6</v>
      </c>
      <c r="C21" s="3">
        <f>+GuV!X51</f>
        <v>93.847933562972813</v>
      </c>
    </row>
    <row r="22" spans="2:3" x14ac:dyDescent="0.2">
      <c r="B22" s="1" t="s">
        <v>7</v>
      </c>
      <c r="C22" s="3">
        <f>+GuV!Y51</f>
        <v>273.16845962037922</v>
      </c>
    </row>
    <row r="23" spans="2:3" x14ac:dyDescent="0.2">
      <c r="C23" s="3"/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96B7-1EE2-497A-9EA8-37092167FF15}">
  <dimension ref="B2:G53"/>
  <sheetViews>
    <sheetView showGridLines="0" workbookViewId="0">
      <selection activeCell="G53" sqref="B2:G53"/>
    </sheetView>
  </sheetViews>
  <sheetFormatPr defaultRowHeight="15" outlineLevelRow="1" x14ac:dyDescent="0.25"/>
  <cols>
    <col min="1" max="1" width="2.140625" customWidth="1"/>
    <col min="2" max="2" width="39.140625" bestFit="1" customWidth="1"/>
    <col min="3" max="3" width="1.7109375" customWidth="1"/>
  </cols>
  <sheetData>
    <row r="2" spans="2:7" x14ac:dyDescent="0.25">
      <c r="B2" s="4" t="s">
        <v>38</v>
      </c>
      <c r="D2" s="28" t="s">
        <v>34</v>
      </c>
      <c r="E2" s="27">
        <v>2024</v>
      </c>
      <c r="F2" s="27">
        <v>2025</v>
      </c>
      <c r="G2" s="27">
        <v>2026</v>
      </c>
    </row>
    <row r="3" spans="2:7" x14ac:dyDescent="0.25">
      <c r="B3" s="4" t="s">
        <v>111</v>
      </c>
      <c r="D3" s="27"/>
      <c r="E3" s="27"/>
      <c r="F3" s="27"/>
      <c r="G3" s="27"/>
    </row>
    <row r="5" spans="2:7" x14ac:dyDescent="0.25">
      <c r="B5" s="5" t="s">
        <v>60</v>
      </c>
      <c r="D5" s="6">
        <f>+GuV!J5</f>
        <v>8.0437499999999993</v>
      </c>
      <c r="E5" s="6">
        <f>+GuV!W5</f>
        <v>169.315</v>
      </c>
      <c r="F5" s="6">
        <f>+GuV!X5</f>
        <v>727.31999999999994</v>
      </c>
      <c r="G5" s="6">
        <f>+GuV!Y5</f>
        <v>1609.6500000000003</v>
      </c>
    </row>
    <row r="6" spans="2:7" x14ac:dyDescent="0.25">
      <c r="B6" s="9" t="s">
        <v>94</v>
      </c>
      <c r="D6" s="10">
        <f>+GuV!J6</f>
        <v>0</v>
      </c>
      <c r="E6" s="10">
        <f>+GuV!W6</f>
        <v>97.375</v>
      </c>
      <c r="F6" s="10">
        <f>+GuV!X6</f>
        <v>532.5</v>
      </c>
      <c r="G6" s="10">
        <f>+GuV!Y6</f>
        <v>1293.7500000000002</v>
      </c>
    </row>
    <row r="7" spans="2:7" x14ac:dyDescent="0.25">
      <c r="B7" s="9" t="s">
        <v>93</v>
      </c>
      <c r="D7" s="10">
        <f>+GuV!J7</f>
        <v>8.0437499999999993</v>
      </c>
      <c r="E7" s="10">
        <f>+GuV!W7</f>
        <v>71.94</v>
      </c>
      <c r="F7" s="10">
        <f>+GuV!X7</f>
        <v>194.82</v>
      </c>
      <c r="G7" s="10">
        <f>+GuV!Y7</f>
        <v>315.90000000000003</v>
      </c>
    </row>
    <row r="8" spans="2:7" x14ac:dyDescent="0.25">
      <c r="D8" s="10"/>
      <c r="E8" s="10"/>
      <c r="F8" s="10"/>
      <c r="G8" s="10"/>
    </row>
    <row r="9" spans="2:7" x14ac:dyDescent="0.25">
      <c r="B9" s="9" t="s">
        <v>61</v>
      </c>
      <c r="D9" s="10">
        <f>+GuV!J9</f>
        <v>-0.92773109243697494</v>
      </c>
      <c r="E9" s="10">
        <f>+GuV!W9</f>
        <v>-8.788235294117646</v>
      </c>
      <c r="F9" s="10">
        <f>+GuV!X9</f>
        <v>-25.109243697478995</v>
      </c>
      <c r="G9" s="10">
        <f>+GuV!Y9</f>
        <v>-50.21848739495799</v>
      </c>
    </row>
    <row r="10" spans="2:7" x14ac:dyDescent="0.25">
      <c r="B10" s="9"/>
      <c r="D10" s="10"/>
      <c r="E10" s="10"/>
      <c r="F10" s="10"/>
      <c r="G10" s="10"/>
    </row>
    <row r="11" spans="2:7" x14ac:dyDescent="0.25">
      <c r="B11" s="5" t="s">
        <v>145</v>
      </c>
      <c r="D11" s="6">
        <f t="shared" ref="D11:G13" si="0">+SUM(D12:D13)</f>
        <v>0</v>
      </c>
      <c r="E11" s="6">
        <f t="shared" si="0"/>
        <v>-73.199999999999989</v>
      </c>
      <c r="F11" s="6">
        <f t="shared" si="0"/>
        <v>-432.39599999999996</v>
      </c>
      <c r="G11" s="6">
        <f t="shared" si="0"/>
        <v>-957.06788000000006</v>
      </c>
    </row>
    <row r="12" spans="2:7" x14ac:dyDescent="0.25">
      <c r="D12" s="10"/>
      <c r="E12" s="10"/>
      <c r="F12" s="10"/>
      <c r="G12" s="10"/>
    </row>
    <row r="13" spans="2:7" x14ac:dyDescent="0.25">
      <c r="B13" s="5" t="s">
        <v>62</v>
      </c>
      <c r="D13" s="6">
        <f t="shared" si="0"/>
        <v>0</v>
      </c>
      <c r="E13" s="6">
        <f t="shared" si="0"/>
        <v>-73.199999999999989</v>
      </c>
      <c r="F13" s="6">
        <f t="shared" si="0"/>
        <v>-432.39599999999996</v>
      </c>
      <c r="G13" s="6">
        <f t="shared" si="0"/>
        <v>-957.06788000000006</v>
      </c>
    </row>
    <row r="14" spans="2:7" x14ac:dyDescent="0.25">
      <c r="B14" s="9" t="s">
        <v>63</v>
      </c>
      <c r="D14" s="10">
        <f>+GuV!J14</f>
        <v>0</v>
      </c>
      <c r="E14" s="10">
        <f>+GuV!W14</f>
        <v>-61.512605042016801</v>
      </c>
      <c r="F14" s="10">
        <f>+GuV!X14</f>
        <v>-363.35798319327728</v>
      </c>
      <c r="G14" s="10">
        <f>+GuV!Y14</f>
        <v>-804.25872268907563</v>
      </c>
    </row>
    <row r="15" spans="2:7" x14ac:dyDescent="0.25">
      <c r="B15" s="9" t="s">
        <v>64</v>
      </c>
      <c r="D15" s="10">
        <f>+GuV!J15</f>
        <v>0</v>
      </c>
      <c r="E15" s="10">
        <f>+GuV!W15</f>
        <v>-11.687394957983193</v>
      </c>
      <c r="F15" s="10">
        <f>+GuV!X15</f>
        <v>-69.03801680672268</v>
      </c>
      <c r="G15" s="10">
        <f>+GuV!Y15</f>
        <v>-152.80915731092438</v>
      </c>
    </row>
    <row r="16" spans="2:7" x14ac:dyDescent="0.25">
      <c r="D16" s="10"/>
      <c r="E16" s="10"/>
      <c r="F16" s="10"/>
      <c r="G16" s="10"/>
    </row>
    <row r="17" spans="2:7" x14ac:dyDescent="0.25">
      <c r="B17" s="5" t="s">
        <v>65</v>
      </c>
      <c r="D17" s="6">
        <f>+GuV!J17</f>
        <v>-8.2300727415966382</v>
      </c>
      <c r="E17" s="6">
        <f>+GuV!W17</f>
        <v>-30.43599166666667</v>
      </c>
      <c r="F17" s="6">
        <f>+GuV!X17</f>
        <v>-79.32587333333332</v>
      </c>
      <c r="G17" s="6">
        <f>+GuV!Y17</f>
        <v>-154.40538819999998</v>
      </c>
    </row>
    <row r="18" spans="2:7" hidden="1" outlineLevel="1" x14ac:dyDescent="0.25">
      <c r="B18" s="9" t="s">
        <v>67</v>
      </c>
      <c r="D18" s="10"/>
      <c r="E18" s="10"/>
      <c r="F18" s="10"/>
      <c r="G18" s="10"/>
    </row>
    <row r="19" spans="2:7" hidden="1" outlineLevel="1" x14ac:dyDescent="0.25">
      <c r="B19" s="9" t="s">
        <v>66</v>
      </c>
      <c r="D19" s="10"/>
      <c r="E19" s="10"/>
      <c r="F19" s="10"/>
      <c r="G19" s="10"/>
    </row>
    <row r="20" spans="2:7" hidden="1" outlineLevel="1" x14ac:dyDescent="0.25">
      <c r="B20" s="9" t="s">
        <v>68</v>
      </c>
      <c r="D20" s="10"/>
      <c r="E20" s="10"/>
      <c r="F20" s="10"/>
      <c r="G20" s="10"/>
    </row>
    <row r="21" spans="2:7" hidden="1" outlineLevel="1" x14ac:dyDescent="0.25">
      <c r="B21" s="9" t="s">
        <v>69</v>
      </c>
      <c r="D21" s="10"/>
      <c r="E21" s="10"/>
      <c r="F21" s="10"/>
      <c r="G21" s="10"/>
    </row>
    <row r="22" spans="2:7" hidden="1" outlineLevel="1" x14ac:dyDescent="0.25">
      <c r="B22" s="9" t="s">
        <v>70</v>
      </c>
      <c r="D22" s="10"/>
      <c r="E22" s="10"/>
      <c r="F22" s="10"/>
      <c r="G22" s="10"/>
    </row>
    <row r="23" spans="2:7" hidden="1" outlineLevel="1" x14ac:dyDescent="0.25">
      <c r="B23" s="9" t="s">
        <v>71</v>
      </c>
      <c r="D23" s="10"/>
      <c r="E23" s="10"/>
      <c r="F23" s="10"/>
      <c r="G23" s="10"/>
    </row>
    <row r="24" spans="2:7" hidden="1" outlineLevel="1" x14ac:dyDescent="0.25">
      <c r="B24" s="9" t="s">
        <v>72</v>
      </c>
      <c r="D24" s="10"/>
      <c r="E24" s="10"/>
      <c r="F24" s="10"/>
      <c r="G24" s="10"/>
    </row>
    <row r="25" spans="2:7" hidden="1" outlineLevel="1" x14ac:dyDescent="0.25">
      <c r="B25" s="9" t="s">
        <v>73</v>
      </c>
      <c r="D25" s="10"/>
      <c r="E25" s="10"/>
      <c r="F25" s="10"/>
      <c r="G25" s="10"/>
    </row>
    <row r="26" spans="2:7" hidden="1" outlineLevel="1" x14ac:dyDescent="0.25">
      <c r="B26" s="9" t="s">
        <v>74</v>
      </c>
      <c r="D26" s="10"/>
      <c r="E26" s="10"/>
      <c r="F26" s="10"/>
      <c r="G26" s="10"/>
    </row>
    <row r="27" spans="2:7" hidden="1" outlineLevel="1" x14ac:dyDescent="0.25">
      <c r="B27" s="9" t="s">
        <v>75</v>
      </c>
      <c r="D27" s="10"/>
      <c r="E27" s="10"/>
      <c r="F27" s="10"/>
      <c r="G27" s="10"/>
    </row>
    <row r="28" spans="2:7" hidden="1" outlineLevel="1" x14ac:dyDescent="0.25">
      <c r="B28" s="9" t="s">
        <v>76</v>
      </c>
      <c r="D28" s="10"/>
      <c r="E28" s="10"/>
      <c r="F28" s="10"/>
      <c r="G28" s="10"/>
    </row>
    <row r="29" spans="2:7" hidden="1" outlineLevel="1" x14ac:dyDescent="0.25">
      <c r="B29" s="9" t="s">
        <v>77</v>
      </c>
      <c r="D29" s="10"/>
      <c r="E29" s="10"/>
      <c r="F29" s="10"/>
      <c r="G29" s="10"/>
    </row>
    <row r="30" spans="2:7" hidden="1" outlineLevel="1" x14ac:dyDescent="0.25">
      <c r="B30" s="9" t="s">
        <v>78</v>
      </c>
      <c r="D30" s="10"/>
      <c r="E30" s="10"/>
      <c r="F30" s="10"/>
      <c r="G30" s="10"/>
    </row>
    <row r="31" spans="2:7" hidden="1" outlineLevel="1" x14ac:dyDescent="0.25">
      <c r="B31" s="9" t="s">
        <v>79</v>
      </c>
      <c r="D31" s="10"/>
      <c r="E31" s="10"/>
      <c r="F31" s="10"/>
      <c r="G31" s="10"/>
    </row>
    <row r="32" spans="2:7" hidden="1" outlineLevel="1" x14ac:dyDescent="0.25">
      <c r="B32" s="9" t="s">
        <v>80</v>
      </c>
      <c r="D32" s="10"/>
      <c r="E32" s="10"/>
      <c r="F32" s="10"/>
      <c r="G32" s="10"/>
    </row>
    <row r="33" spans="2:7" hidden="1" outlineLevel="1" x14ac:dyDescent="0.25">
      <c r="B33" s="9" t="s">
        <v>81</v>
      </c>
      <c r="D33" s="10"/>
      <c r="E33" s="10"/>
      <c r="F33" s="10"/>
      <c r="G33" s="10"/>
    </row>
    <row r="34" spans="2:7" hidden="1" outlineLevel="1" x14ac:dyDescent="0.25">
      <c r="B34" s="9" t="s">
        <v>82</v>
      </c>
      <c r="D34" s="10"/>
      <c r="E34" s="10"/>
      <c r="F34" s="10"/>
      <c r="G34" s="10"/>
    </row>
    <row r="35" spans="2:7" collapsed="1" x14ac:dyDescent="0.25">
      <c r="D35" s="10"/>
      <c r="E35" s="10"/>
      <c r="F35" s="10"/>
      <c r="G35" s="10"/>
    </row>
    <row r="36" spans="2:7" x14ac:dyDescent="0.25">
      <c r="B36" s="5" t="s">
        <v>83</v>
      </c>
      <c r="D36" s="6">
        <f>+D5+D9+D13+D17</f>
        <v>-1.1140538340336139</v>
      </c>
      <c r="E36" s="6">
        <f>+E5+E9+E13+E17</f>
        <v>56.890773039215702</v>
      </c>
      <c r="F36" s="6">
        <f>+F5+F9+F13+F17</f>
        <v>190.48888296918767</v>
      </c>
      <c r="G36" s="6">
        <f>+G5+G9+G13+G17</f>
        <v>447.95824440504236</v>
      </c>
    </row>
    <row r="37" spans="2:7" x14ac:dyDescent="0.25">
      <c r="D37" s="10"/>
      <c r="E37" s="10"/>
      <c r="F37" s="10"/>
      <c r="G37" s="10"/>
    </row>
    <row r="38" spans="2:7" x14ac:dyDescent="0.25">
      <c r="B38" s="9" t="s">
        <v>84</v>
      </c>
      <c r="D38" s="10">
        <f>+GuV!J36</f>
        <v>-6.0000000000000005E-2</v>
      </c>
      <c r="E38" s="10">
        <f>+GuV!W36</f>
        <v>-0.11999999999999998</v>
      </c>
      <c r="F38" s="10">
        <f>+GuV!X36</f>
        <v>-0.12</v>
      </c>
      <c r="G38" s="10">
        <f>+GuV!Y36</f>
        <v>-0.12</v>
      </c>
    </row>
    <row r="39" spans="2:7" x14ac:dyDescent="0.25">
      <c r="D39" s="10"/>
      <c r="E39" s="10"/>
      <c r="F39" s="10"/>
      <c r="G39" s="10"/>
    </row>
    <row r="40" spans="2:7" x14ac:dyDescent="0.25">
      <c r="B40" s="5" t="s">
        <v>85</v>
      </c>
      <c r="D40" s="6">
        <f t="shared" ref="D40:G40" si="1">+D36+D38</f>
        <v>-1.174053834033614</v>
      </c>
      <c r="E40" s="6">
        <f t="shared" si="1"/>
        <v>56.770773039215705</v>
      </c>
      <c r="F40" s="6">
        <f t="shared" si="1"/>
        <v>190.36888296918767</v>
      </c>
      <c r="G40" s="6">
        <f t="shared" si="1"/>
        <v>447.83824440504236</v>
      </c>
    </row>
    <row r="41" spans="2:7" x14ac:dyDescent="0.25">
      <c r="D41" s="10"/>
      <c r="E41" s="10"/>
      <c r="F41" s="10"/>
      <c r="G41" s="10"/>
    </row>
    <row r="42" spans="2:7" x14ac:dyDescent="0.25">
      <c r="B42" s="9" t="s">
        <v>86</v>
      </c>
      <c r="D42" s="10">
        <f>+GuV!J40</f>
        <v>0</v>
      </c>
      <c r="E42" s="10">
        <f>+GuV!W40</f>
        <v>14.915274398949578</v>
      </c>
      <c r="F42" s="10">
        <f>+GuV!X40</f>
        <v>-59.014353720448177</v>
      </c>
      <c r="G42" s="10">
        <f>+GuV!Y40</f>
        <v>-138.82985576556314</v>
      </c>
    </row>
    <row r="43" spans="2:7" x14ac:dyDescent="0.25">
      <c r="D43" s="10"/>
      <c r="E43" s="10"/>
      <c r="F43" s="10"/>
      <c r="G43" s="10"/>
    </row>
    <row r="44" spans="2:7" x14ac:dyDescent="0.25">
      <c r="B44" s="5" t="s">
        <v>87</v>
      </c>
      <c r="D44" s="6">
        <f t="shared" ref="D44:G44" si="2">+D40+D42</f>
        <v>-1.174053834033614</v>
      </c>
      <c r="E44" s="6">
        <f t="shared" si="2"/>
        <v>71.686047438165275</v>
      </c>
      <c r="F44" s="6">
        <f t="shared" si="2"/>
        <v>131.35452924873948</v>
      </c>
      <c r="G44" s="6">
        <f t="shared" si="2"/>
        <v>309.00838863947922</v>
      </c>
    </row>
    <row r="45" spans="2:7" x14ac:dyDescent="0.25">
      <c r="D45" s="10"/>
      <c r="E45" s="10"/>
      <c r="F45" s="10"/>
      <c r="G45" s="10"/>
    </row>
    <row r="46" spans="2:7" x14ac:dyDescent="0.25">
      <c r="B46" s="9" t="s">
        <v>88</v>
      </c>
      <c r="D46" s="10">
        <f>+GuV!J44</f>
        <v>0</v>
      </c>
      <c r="E46" s="10">
        <f>+GuV!W44</f>
        <v>0</v>
      </c>
      <c r="F46" s="10">
        <f>+GuV!X44</f>
        <v>-0.25</v>
      </c>
      <c r="G46" s="10">
        <f>+GuV!Y44</f>
        <v>-0.25</v>
      </c>
    </row>
    <row r="47" spans="2:7" x14ac:dyDescent="0.25">
      <c r="D47" s="10"/>
      <c r="E47" s="10"/>
      <c r="F47" s="10"/>
      <c r="G47" s="10"/>
    </row>
    <row r="48" spans="2:7" x14ac:dyDescent="0.25">
      <c r="B48" s="5" t="s">
        <v>89</v>
      </c>
      <c r="D48" s="6">
        <f t="shared" ref="D48:G48" si="3">+D44+D46</f>
        <v>-1.174053834033614</v>
      </c>
      <c r="E48" s="6">
        <f t="shared" si="3"/>
        <v>71.686047438165275</v>
      </c>
      <c r="F48" s="6">
        <f t="shared" si="3"/>
        <v>131.10452924873948</v>
      </c>
      <c r="G48" s="6">
        <f t="shared" si="3"/>
        <v>308.75838863947922</v>
      </c>
    </row>
    <row r="49" spans="2:7" x14ac:dyDescent="0.25">
      <c r="D49" s="10"/>
      <c r="E49" s="10"/>
      <c r="F49" s="10"/>
      <c r="G49" s="10"/>
    </row>
    <row r="50" spans="2:7" x14ac:dyDescent="0.25">
      <c r="B50" t="s">
        <v>90</v>
      </c>
      <c r="D50" s="10">
        <f>+GuV!J48</f>
        <v>-19.365599500000002</v>
      </c>
      <c r="E50" s="10">
        <f>+GuV!W48</f>
        <v>-39.893134970000006</v>
      </c>
      <c r="F50" s="10">
        <f>+GuV!X48</f>
        <v>-41.089929019100005</v>
      </c>
      <c r="G50" s="10">
        <f>+GuV!Y48</f>
        <v>-41.089929019100005</v>
      </c>
    </row>
    <row r="51" spans="2:7" x14ac:dyDescent="0.25">
      <c r="B51" t="s">
        <v>91</v>
      </c>
      <c r="D51" s="10">
        <f>+GuV!J49</f>
        <v>0.49999999999999994</v>
      </c>
      <c r="E51" s="10">
        <f>+GuV!W49</f>
        <v>2.166666666666667</v>
      </c>
      <c r="F51" s="10">
        <f>+GuV!X49</f>
        <v>3.8333333333333335</v>
      </c>
      <c r="G51" s="10">
        <f>+GuV!Y49</f>
        <v>5.5</v>
      </c>
    </row>
    <row r="52" spans="2:7" x14ac:dyDescent="0.25">
      <c r="D52" s="10"/>
      <c r="E52" s="10"/>
      <c r="F52" s="10"/>
      <c r="G52" s="10"/>
    </row>
    <row r="53" spans="2:7" x14ac:dyDescent="0.25">
      <c r="B53" s="5" t="s">
        <v>92</v>
      </c>
      <c r="D53" s="6">
        <f t="shared" ref="D53:G53" si="4">+D48+D50+D51</f>
        <v>-20.039653334033616</v>
      </c>
      <c r="E53" s="6">
        <f t="shared" si="4"/>
        <v>33.959579134831934</v>
      </c>
      <c r="F53" s="6">
        <f t="shared" si="4"/>
        <v>93.847933562972813</v>
      </c>
      <c r="G53" s="6">
        <f t="shared" si="4"/>
        <v>273.16845962037922</v>
      </c>
    </row>
  </sheetData>
  <mergeCells count="4">
    <mergeCell ref="E2:E3"/>
    <mergeCell ref="F2:F3"/>
    <mergeCell ref="G2:G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GuV</vt:lpstr>
      <vt:lpstr>Umsatz</vt:lpstr>
      <vt:lpstr>Kapitalbedarf</vt:lpstr>
      <vt:lpstr>Personalplanung</vt:lpstr>
      <vt:lpstr>Liquidität</vt:lpstr>
      <vt:lpstr>Investitionen</vt:lpstr>
      <vt:lpstr>Lebenshaltung</vt:lpstr>
      <vt:lpstr>Helper_BP</vt:lpstr>
      <vt:lpstr>GuV_BP</vt:lpstr>
      <vt:lpstr>Liquidität_BP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Eichhorn</dc:creator>
  <cp:lastModifiedBy>Dennis Eichhorn</cp:lastModifiedBy>
  <dcterms:created xsi:type="dcterms:W3CDTF">2015-06-05T18:17:20Z</dcterms:created>
  <dcterms:modified xsi:type="dcterms:W3CDTF">2023-03-17T21:23:20Z</dcterms:modified>
</cp:coreProperties>
</file>