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apa\Documents\EkonomTask\6_11_Kuznetsov\"/>
    </mc:Choice>
  </mc:AlternateContent>
  <xr:revisionPtr revIDLastSave="0" documentId="13_ncr:1_{F237D1AA-871A-468B-A9EF-B9AC3A6799C2}" xr6:coauthVersionLast="47" xr6:coauthVersionMax="47" xr10:uidLastSave="{00000000-0000-0000-0000-000000000000}"/>
  <bookViews>
    <workbookView xWindow="-108" yWindow="-108" windowWidth="23256" windowHeight="12576" activeTab="6" xr2:uid="{38E89222-C305-4862-BC70-DF854EF4FD54}"/>
  </bookViews>
  <sheets>
    <sheet name="Zad8" sheetId="2" r:id="rId1"/>
    <sheet name="Zad9" sheetId="3" r:id="rId2"/>
    <sheet name="Zad10" sheetId="4" r:id="rId3"/>
    <sheet name="Zad11" sheetId="5" r:id="rId4"/>
    <sheet name="Zad12" sheetId="6" r:id="rId5"/>
    <sheet name="Zad7 из 92" sheetId="7" r:id="rId6"/>
    <sheet name="Zad8 из 92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51" i="7" l="1"/>
  <c r="B251" i="7"/>
  <c r="B232" i="7"/>
  <c r="G3" i="7"/>
  <c r="H226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09" i="7"/>
  <c r="E226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08" i="7"/>
  <c r="A152" i="7" l="1" a="1"/>
  <c r="A152" i="7" s="1"/>
  <c r="K141" i="7" s="1"/>
  <c r="L141" i="7" s="1"/>
  <c r="A75" i="7" a="1"/>
  <c r="A75" i="7" s="1"/>
  <c r="H59" i="7" s="1"/>
  <c r="I59" i="7" s="1"/>
  <c r="D44" i="7"/>
  <c r="D28" i="7"/>
  <c r="G4" i="7"/>
  <c r="H4" i="7" s="1"/>
  <c r="G5" i="7"/>
  <c r="H5" i="7" s="1"/>
  <c r="G6" i="7"/>
  <c r="H6" i="7" s="1"/>
  <c r="G7" i="7"/>
  <c r="H7" i="7" s="1"/>
  <c r="G8" i="7"/>
  <c r="H8" i="7" s="1"/>
  <c r="G9" i="7"/>
  <c r="H9" i="7" s="1"/>
  <c r="G10" i="7"/>
  <c r="H10" i="7" s="1"/>
  <c r="G11" i="7"/>
  <c r="H11" i="7" s="1"/>
  <c r="G12" i="7"/>
  <c r="H12" i="7" s="1"/>
  <c r="G13" i="7"/>
  <c r="H13" i="7" s="1"/>
  <c r="G14" i="7"/>
  <c r="H14" i="7" s="1"/>
  <c r="G15" i="7"/>
  <c r="H15" i="7" s="1"/>
  <c r="G16" i="7"/>
  <c r="H16" i="7" s="1"/>
  <c r="G17" i="7"/>
  <c r="H17" i="7" s="1"/>
  <c r="G18" i="7"/>
  <c r="H18" i="7" s="1"/>
  <c r="G19" i="7"/>
  <c r="H19" i="7" s="1"/>
  <c r="G20" i="7"/>
  <c r="H20" i="7" s="1"/>
  <c r="G21" i="7"/>
  <c r="H21" i="7" s="1"/>
  <c r="H3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K142" i="7" l="1"/>
  <c r="L142" i="7" s="1"/>
  <c r="H143" i="7"/>
  <c r="I143" i="7" s="1"/>
  <c r="K144" i="7"/>
  <c r="L144" i="7" s="1"/>
  <c r="H140" i="7"/>
  <c r="I140" i="7" s="1"/>
  <c r="N137" i="7"/>
  <c r="O137" i="7" s="1"/>
  <c r="N149" i="7"/>
  <c r="O149" i="7" s="1"/>
  <c r="N144" i="7"/>
  <c r="O144" i="7" s="1"/>
  <c r="N145" i="7"/>
  <c r="O145" i="7" s="1"/>
  <c r="N135" i="7"/>
  <c r="O135" i="7" s="1"/>
  <c r="N148" i="7"/>
  <c r="O148" i="7" s="1"/>
  <c r="N138" i="7"/>
  <c r="O138" i="7" s="1"/>
  <c r="N146" i="7"/>
  <c r="O146" i="7" s="1"/>
  <c r="N136" i="7"/>
  <c r="O136" i="7" s="1"/>
  <c r="N139" i="7"/>
  <c r="O139" i="7" s="1"/>
  <c r="N143" i="7"/>
  <c r="O143" i="7" s="1"/>
  <c r="N132" i="7"/>
  <c r="O132" i="7" s="1"/>
  <c r="N147" i="7"/>
  <c r="O147" i="7" s="1"/>
  <c r="N140" i="7"/>
  <c r="O140" i="7" s="1"/>
  <c r="N142" i="7"/>
  <c r="O142" i="7" s="1"/>
  <c r="N133" i="7"/>
  <c r="O133" i="7" s="1"/>
  <c r="N134" i="7"/>
  <c r="O134" i="7" s="1"/>
  <c r="N141" i="7"/>
  <c r="O141" i="7" s="1"/>
  <c r="H139" i="7"/>
  <c r="I139" i="7" s="1"/>
  <c r="K140" i="7"/>
  <c r="L140" i="7" s="1"/>
  <c r="H132" i="7"/>
  <c r="I132" i="7" s="1"/>
  <c r="H138" i="7"/>
  <c r="I138" i="7" s="1"/>
  <c r="K139" i="7"/>
  <c r="L139" i="7" s="1"/>
  <c r="H149" i="7"/>
  <c r="I149" i="7" s="1"/>
  <c r="H137" i="7"/>
  <c r="I137" i="7" s="1"/>
  <c r="K132" i="7"/>
  <c r="L132" i="7" s="1"/>
  <c r="K138" i="7"/>
  <c r="L138" i="7" s="1"/>
  <c r="H142" i="7"/>
  <c r="I142" i="7" s="1"/>
  <c r="H148" i="7"/>
  <c r="I148" i="7" s="1"/>
  <c r="H136" i="7"/>
  <c r="I136" i="7" s="1"/>
  <c r="K149" i="7"/>
  <c r="L149" i="7" s="1"/>
  <c r="K137" i="7"/>
  <c r="L137" i="7" s="1"/>
  <c r="K143" i="7"/>
  <c r="L143" i="7" s="1"/>
  <c r="H147" i="7"/>
  <c r="I147" i="7" s="1"/>
  <c r="H135" i="7"/>
  <c r="I135" i="7" s="1"/>
  <c r="K148" i="7"/>
  <c r="L148" i="7" s="1"/>
  <c r="K136" i="7"/>
  <c r="L136" i="7" s="1"/>
  <c r="H146" i="7"/>
  <c r="I146" i="7" s="1"/>
  <c r="H134" i="7"/>
  <c r="I134" i="7" s="1"/>
  <c r="K147" i="7"/>
  <c r="L147" i="7" s="1"/>
  <c r="K135" i="7"/>
  <c r="L135" i="7" s="1"/>
  <c r="H145" i="7"/>
  <c r="I145" i="7" s="1"/>
  <c r="H133" i="7"/>
  <c r="I133" i="7" s="1"/>
  <c r="K146" i="7"/>
  <c r="L146" i="7" s="1"/>
  <c r="K134" i="7"/>
  <c r="L134" i="7" s="1"/>
  <c r="H141" i="7"/>
  <c r="I141" i="7" s="1"/>
  <c r="H144" i="7"/>
  <c r="I144" i="7" s="1"/>
  <c r="K145" i="7"/>
  <c r="L145" i="7" s="1"/>
  <c r="K133" i="7"/>
  <c r="L133" i="7" s="1"/>
  <c r="N66" i="7"/>
  <c r="O66" i="7" s="1"/>
  <c r="N65" i="7"/>
  <c r="O65" i="7" s="1"/>
  <c r="N64" i="7"/>
  <c r="O64" i="7" s="1"/>
  <c r="N63" i="7"/>
  <c r="O63" i="7" s="1"/>
  <c r="N62" i="7"/>
  <c r="O62" i="7" s="1"/>
  <c r="N54" i="7"/>
  <c r="O54" i="7" s="1"/>
  <c r="N61" i="7"/>
  <c r="O61" i="7" s="1"/>
  <c r="N72" i="7"/>
  <c r="O72" i="7" s="1"/>
  <c r="N60" i="7"/>
  <c r="O60" i="7" s="1"/>
  <c r="N71" i="7"/>
  <c r="O71" i="7" s="1"/>
  <c r="N59" i="7"/>
  <c r="O59" i="7" s="1"/>
  <c r="N70" i="7"/>
  <c r="O70" i="7" s="1"/>
  <c r="N58" i="7"/>
  <c r="O58" i="7" s="1"/>
  <c r="N69" i="7"/>
  <c r="O69" i="7" s="1"/>
  <c r="N57" i="7"/>
  <c r="O57" i="7" s="1"/>
  <c r="N68" i="7"/>
  <c r="O68" i="7" s="1"/>
  <c r="N56" i="7"/>
  <c r="O56" i="7" s="1"/>
  <c r="N67" i="7"/>
  <c r="O67" i="7" s="1"/>
  <c r="N55" i="7"/>
  <c r="O55" i="7" s="1"/>
  <c r="K66" i="7"/>
  <c r="L66" i="7" s="1"/>
  <c r="K64" i="7"/>
  <c r="L64" i="7" s="1"/>
  <c r="K63" i="7"/>
  <c r="L63" i="7" s="1"/>
  <c r="K62" i="7"/>
  <c r="L62" i="7" s="1"/>
  <c r="K54" i="7"/>
  <c r="L54" i="7" s="1"/>
  <c r="K61" i="7"/>
  <c r="L61" i="7" s="1"/>
  <c r="K72" i="7"/>
  <c r="L72" i="7" s="1"/>
  <c r="K60" i="7"/>
  <c r="L60" i="7" s="1"/>
  <c r="K71" i="7"/>
  <c r="L71" i="7" s="1"/>
  <c r="K59" i="7"/>
  <c r="L59" i="7" s="1"/>
  <c r="K70" i="7"/>
  <c r="L70" i="7" s="1"/>
  <c r="K58" i="7"/>
  <c r="L58" i="7" s="1"/>
  <c r="K69" i="7"/>
  <c r="L69" i="7" s="1"/>
  <c r="K57" i="7"/>
  <c r="L57" i="7" s="1"/>
  <c r="K68" i="7"/>
  <c r="L68" i="7" s="1"/>
  <c r="K56" i="7"/>
  <c r="L56" i="7" s="1"/>
  <c r="K65" i="7"/>
  <c r="L65" i="7" s="1"/>
  <c r="K67" i="7"/>
  <c r="L67" i="7" s="1"/>
  <c r="K55" i="7"/>
  <c r="L55" i="7" s="1"/>
  <c r="H70" i="7"/>
  <c r="I70" i="7" s="1"/>
  <c r="H58" i="7"/>
  <c r="I58" i="7" s="1"/>
  <c r="H66" i="7"/>
  <c r="I66" i="7" s="1"/>
  <c r="H54" i="7"/>
  <c r="I54" i="7" s="1"/>
  <c r="H57" i="7"/>
  <c r="I57" i="7" s="1"/>
  <c r="H55" i="7"/>
  <c r="I55" i="7" s="1"/>
  <c r="H65" i="7"/>
  <c r="I65" i="7" s="1"/>
  <c r="H68" i="7"/>
  <c r="I68" i="7" s="1"/>
  <c r="H67" i="7"/>
  <c r="I67" i="7" s="1"/>
  <c r="H64" i="7"/>
  <c r="I64" i="7" s="1"/>
  <c r="H63" i="7"/>
  <c r="I63" i="7" s="1"/>
  <c r="H69" i="7"/>
  <c r="I69" i="7" s="1"/>
  <c r="H62" i="7"/>
  <c r="I62" i="7" s="1"/>
  <c r="H61" i="7"/>
  <c r="I61" i="7" s="1"/>
  <c r="H72" i="7"/>
  <c r="I72" i="7" s="1"/>
  <c r="H60" i="7"/>
  <c r="I60" i="7" s="1"/>
  <c r="H56" i="7"/>
  <c r="I56" i="7" s="1"/>
  <c r="H71" i="7"/>
  <c r="I71" i="7" s="1"/>
  <c r="F22" i="7"/>
  <c r="H22" i="7"/>
  <c r="D26" i="7" l="1"/>
  <c r="A80" i="4" l="1"/>
  <c r="B81" i="4"/>
  <c r="B80" i="4"/>
  <c r="A81" i="4"/>
  <c r="E19" i="4"/>
  <c r="E18" i="4"/>
  <c r="B71" i="4"/>
  <c r="B70" i="4"/>
  <c r="A71" i="4"/>
  <c r="A70" i="4"/>
  <c r="B66" i="4"/>
  <c r="B65" i="4"/>
  <c r="A66" i="4"/>
  <c r="A65" i="4"/>
  <c r="F18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2" i="4"/>
  <c r="A26" i="4"/>
  <c r="B25" i="4"/>
  <c r="D2" i="4"/>
  <c r="B26" i="4" s="1"/>
  <c r="B19" i="4"/>
  <c r="B18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2" i="4"/>
  <c r="C18" i="4" s="1"/>
  <c r="A25" i="4" s="1"/>
  <c r="J8" i="4"/>
  <c r="I7" i="4"/>
  <c r="B22" i="4" l="1"/>
  <c r="A29" i="4" l="1"/>
  <c r="B29" i="4"/>
  <c r="B28" i="4"/>
  <c r="A28" i="4"/>
  <c r="B12" i="6" l="1"/>
  <c r="B11" i="6"/>
  <c r="B9" i="6"/>
  <c r="B8" i="6"/>
  <c r="B6" i="6"/>
  <c r="B9" i="5"/>
  <c r="B8" i="5"/>
  <c r="C5" i="5"/>
  <c r="C2" i="5"/>
  <c r="F2" i="2"/>
  <c r="F4" i="2"/>
  <c r="F3" i="2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2" i="3"/>
  <c r="C27" i="2"/>
  <c r="C2" i="3"/>
  <c r="E3" i="3" s="1"/>
  <c r="AA33" i="2"/>
  <c r="AA30" i="2"/>
  <c r="AA27" i="2"/>
  <c r="H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2" i="2"/>
  <c r="E11" i="3" l="1"/>
  <c r="E10" i="3"/>
  <c r="E9" i="3"/>
  <c r="E12" i="3"/>
  <c r="D4" i="3"/>
  <c r="E8" i="3"/>
  <c r="D15" i="3"/>
  <c r="D3" i="3"/>
  <c r="E7" i="3"/>
  <c r="E14" i="3"/>
  <c r="D8" i="3"/>
  <c r="D6" i="3"/>
  <c r="D16" i="3"/>
  <c r="D14" i="3"/>
  <c r="E2" i="3"/>
  <c r="E6" i="3"/>
  <c r="D10" i="3"/>
  <c r="D5" i="3"/>
  <c r="D13" i="3"/>
  <c r="E17" i="3"/>
  <c r="E5" i="3"/>
  <c r="E13" i="3"/>
  <c r="D7" i="3"/>
  <c r="D17" i="3"/>
  <c r="D12" i="3"/>
  <c r="E16" i="3"/>
  <c r="E4" i="3"/>
  <c r="D9" i="3"/>
  <c r="D2" i="3"/>
  <c r="D11" i="3"/>
  <c r="E15" i="3"/>
  <c r="G2" i="2"/>
  <c r="I2" i="2" s="1"/>
  <c r="F10" i="2" l="1"/>
  <c r="E6" i="2"/>
  <c r="E8" i="2"/>
  <c r="E9" i="2"/>
  <c r="E10" i="2"/>
  <c r="F11" i="2"/>
  <c r="E7" i="2"/>
  <c r="F12" i="2"/>
  <c r="F13" i="2"/>
  <c r="F14" i="2"/>
  <c r="F15" i="2"/>
  <c r="E11" i="2"/>
  <c r="F7" i="2"/>
  <c r="E4" i="2"/>
  <c r="F16" i="2"/>
  <c r="E12" i="2"/>
  <c r="E14" i="2"/>
  <c r="E15" i="2"/>
  <c r="E5" i="2"/>
  <c r="F5" i="2"/>
  <c r="F17" i="2"/>
  <c r="E13" i="2"/>
  <c r="F8" i="2"/>
  <c r="E16" i="2"/>
  <c r="E17" i="2"/>
  <c r="F6" i="2"/>
  <c r="E3" i="2"/>
  <c r="F9" i="2"/>
  <c r="E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<sst xmlns="http://schemas.openxmlformats.org/spreadsheetml/2006/main" count="475" uniqueCount="174">
  <si>
    <t>Y</t>
  </si>
  <si>
    <t>X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</si>
  <si>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</si>
  <si>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</si>
  <si>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</si>
  <si>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</si>
  <si>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</si>
  <si>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</si>
  <si>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</si>
  <si>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</si>
  <si>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</si>
  <si>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</si>
  <si>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</si>
  <si>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</si>
  <si>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</si>
  <si>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</si>
  <si>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</si>
  <si>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</si>
  <si>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</si>
  <si>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</si>
  <si>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</si>
  <si>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</si>
  <si>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</si>
  <si>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</si>
  <si>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</si>
  <si>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</si>
  <si>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Переменная X 1</t>
  </si>
  <si>
    <t>ВЫВОД ОСТАТКА</t>
  </si>
  <si>
    <t>Наблюдение</t>
  </si>
  <si>
    <t>Предсказанное Y</t>
  </si>
  <si>
    <t>Остатки</t>
  </si>
  <si>
    <t>e</t>
  </si>
  <si>
    <t>e2</t>
  </si>
  <si>
    <t>E(e2)</t>
  </si>
  <si>
    <t>n</t>
  </si>
  <si>
    <t>сигма</t>
  </si>
  <si>
    <t>сигма2</t>
  </si>
  <si>
    <t>e2/сигма2</t>
  </si>
  <si>
    <t>Z</t>
  </si>
  <si>
    <t>РЕГРЕССИЯ ОТ e2/сигма2 и Z</t>
  </si>
  <si>
    <t>А ДАЛЬШЕ ESS/2</t>
  </si>
  <si>
    <t>x2кр</t>
  </si>
  <si>
    <t>(кол-во степеней = 1)</t>
  </si>
  <si>
    <t>СРАВНИВАЕМ</t>
  </si>
  <si>
    <t>h0 гипотеза о гомоскедостичности отвергается, соответственно, гетероскедостичность присутствует в нашей модели</t>
  </si>
  <si>
    <t>ОТВЕТ</t>
  </si>
  <si>
    <t>ПРЕДПОСЫЛКИ ГАУССА-МАРКОВА</t>
  </si>
  <si>
    <t>1) Мат ожидание остатков равно 0</t>
  </si>
  <si>
    <t>3) Нет автокорелляции (Остатки независимо распределены друг от друга)</t>
  </si>
  <si>
    <t>2) Гомоскедастичность (Дисперсия остатков одинакова для любых наблюдений)</t>
  </si>
  <si>
    <t>4) Эндогенность (X не зависит от остатков)</t>
  </si>
  <si>
    <t>Суть взвешенного МНК</t>
  </si>
  <si>
    <t>Поделить x и у исходные на взвешенный коэффициент</t>
  </si>
  <si>
    <t xml:space="preserve">от y/сигма и x/сигма </t>
  </si>
  <si>
    <t>Y= b0+b1*x + u</t>
  </si>
  <si>
    <t>y/сигма = b0/сигма + b1 * x/сигма + u/сигма</t>
  </si>
  <si>
    <t>В итоге изменится константа b0 и коэффициент b1</t>
  </si>
  <si>
    <t>Столбец1</t>
  </si>
  <si>
    <t>Среднее</t>
  </si>
  <si>
    <t>Медиана</t>
  </si>
  <si>
    <t>Мода</t>
  </si>
  <si>
    <t>Стандартное отклонение</t>
  </si>
  <si>
    <t>Дисперсия выборки</t>
  </si>
  <si>
    <t>Эксцесс</t>
  </si>
  <si>
    <t>Асимметричность</t>
  </si>
  <si>
    <t>Интервал</t>
  </si>
  <si>
    <t>Минимум</t>
  </si>
  <si>
    <t>Максимум</t>
  </si>
  <si>
    <t>Сумма</t>
  </si>
  <si>
    <t>Счет</t>
  </si>
  <si>
    <t>Ст отклонение ошибки</t>
  </si>
  <si>
    <t>y/ст ошибка</t>
  </si>
  <si>
    <t>y/сигма</t>
  </si>
  <si>
    <t>по y/ст ошибку и x/ст ошибку</t>
  </si>
  <si>
    <t xml:space="preserve">Сигма2 </t>
  </si>
  <si>
    <t>СИГМАi=</t>
  </si>
  <si>
    <t>A*ki</t>
  </si>
  <si>
    <t>R2= 1 - ESS/TSS</t>
  </si>
  <si>
    <t>RSS=</t>
  </si>
  <si>
    <t>RSS/2=</t>
  </si>
  <si>
    <t>RSS/2 &gt; хи2кр</t>
  </si>
  <si>
    <t>ТЕПЕРЬ ИЩЕМ RSS</t>
  </si>
  <si>
    <t>ESS для 1 уравнения</t>
  </si>
  <si>
    <t>ESS для 1 уравнения =</t>
  </si>
  <si>
    <t>ESS= (1-R2)*TSS</t>
  </si>
  <si>
    <t>ESS=(1-R2)*TSS</t>
  </si>
  <si>
    <t xml:space="preserve">ESS для 2 уравнения = </t>
  </si>
  <si>
    <t>ESS для 2 уравнения</t>
  </si>
  <si>
    <t>по сумме квадратов остатков</t>
  </si>
  <si>
    <t>F=ESS2/ESS1</t>
  </si>
  <si>
    <t>Fкр</t>
  </si>
  <si>
    <t>Соответственно</t>
  </si>
  <si>
    <t>F &gt; Fкр -&gt; h0 отвергаем, h1 гипотеза о гетероскедастичности принимается</t>
  </si>
  <si>
    <t>r2 = 1 - ESS/TSS</t>
  </si>
  <si>
    <t>r2 = RSS/TSS</t>
  </si>
  <si>
    <t xml:space="preserve">TSS = </t>
  </si>
  <si>
    <t>RSS + ESS</t>
  </si>
  <si>
    <t>TSS=</t>
  </si>
  <si>
    <t xml:space="preserve">R2 = </t>
  </si>
  <si>
    <t>1 способ</t>
  </si>
  <si>
    <t>2 способ</t>
  </si>
  <si>
    <t>n=</t>
  </si>
  <si>
    <t>Проверка гипотезы!</t>
  </si>
  <si>
    <t>F &gt; Fкр -&gt; h0 (о гомоскедастичности отвергается), принимаем h1 гипотезу о гетероскедастичности</t>
  </si>
  <si>
    <t>ОТВЕТ: ВОЗМУЩЕНИЕ НАШЕЙ МОДЕЛИ ГЕТЕРОСКЕДАСТИЧНО!</t>
  </si>
  <si>
    <t>Ответ: Возмущение нашей модель гетероскедастично!</t>
  </si>
  <si>
    <t>Месяц</t>
  </si>
  <si>
    <t>Yt</t>
  </si>
  <si>
    <t>X1t</t>
  </si>
  <si>
    <t>X2t</t>
  </si>
  <si>
    <t>Состоятельная автоковариационная матрица оценок параметров Уайта</t>
  </si>
  <si>
    <t>X2</t>
  </si>
  <si>
    <t>СУММЫ</t>
  </si>
  <si>
    <t>Сумма2</t>
  </si>
  <si>
    <t>((Xt*x))^(-1)</t>
  </si>
  <si>
    <t>(Xt * x)^-1</t>
  </si>
  <si>
    <t>Матрица</t>
  </si>
  <si>
    <t>Матрица (xT*x)^-1</t>
  </si>
  <si>
    <t>xiT матрица</t>
  </si>
  <si>
    <t>xi матрица</t>
  </si>
  <si>
    <t>ei2*xi*xiT</t>
  </si>
  <si>
    <t xml:space="preserve">Теперь имеем значение </t>
  </si>
  <si>
    <t xml:space="preserve">Умножаем </t>
  </si>
  <si>
    <t>Ответ</t>
  </si>
  <si>
    <t>Ковариационная матрица между y и x (Показывает взаимосвязь между у и x, а также, рассеивание x и у от их мат ожидания)</t>
  </si>
  <si>
    <t>2 вариация ответа:</t>
  </si>
  <si>
    <t>(Автоковариационная матрица Оценок параметров Уайта)</t>
  </si>
  <si>
    <t>Ответ: Автоковариационная матрица оценок параметров</t>
  </si>
  <si>
    <t>Переменная X 2</t>
  </si>
  <si>
    <t>y=3,8470+1,8107*x1t + 0,6342*x2t</t>
  </si>
  <si>
    <t>Спецификация модели:</t>
  </si>
  <si>
    <t>ei-1</t>
  </si>
  <si>
    <t>ei-ei-1</t>
  </si>
  <si>
    <t>-</t>
  </si>
  <si>
    <t>(ei-ei-1)^2</t>
  </si>
  <si>
    <t>DW=</t>
  </si>
  <si>
    <t>n=20</t>
  </si>
  <si>
    <t xml:space="preserve">dl = </t>
  </si>
  <si>
    <t>du</t>
  </si>
  <si>
    <t>&lt;</t>
  </si>
  <si>
    <t>0 &lt;</t>
  </si>
  <si>
    <t>Ответ: гипотеза h0 отвергается, есть автокорреляция в остатках</t>
  </si>
  <si>
    <t>ТЕПЕРЬ ПРОВОДИМ КОРРЕКЦИЮ АВТОКОРРЕЛЯЦИИ</t>
  </si>
  <si>
    <t>МЕТОД КОХРЕЙНА-ОРКАТТА</t>
  </si>
  <si>
    <t>et-1</t>
  </si>
  <si>
    <t>et=0,542378*et-1</t>
  </si>
  <si>
    <t>yt-1</t>
  </si>
  <si>
    <t>p*yt-1</t>
  </si>
  <si>
    <t>yt-(p*yt-1)</t>
  </si>
  <si>
    <t>xt-1</t>
  </si>
  <si>
    <t>p*xt-1</t>
  </si>
  <si>
    <t>xt-(p*xt-1)</t>
  </si>
  <si>
    <t>x2t-1</t>
  </si>
  <si>
    <t>p*x2t-1</t>
  </si>
  <si>
    <t>x2t-(p*x2t-1)</t>
  </si>
  <si>
    <t>Спецификация модели исходное</t>
  </si>
  <si>
    <t>Спецификация модели полученное</t>
  </si>
  <si>
    <t>y = 0,8114 + 1,76 * x1t + 0,76 * x2t</t>
  </si>
  <si>
    <t>Теперь проводим 2 итерацию</t>
  </si>
  <si>
    <t>et=0,2954725*et-1</t>
  </si>
  <si>
    <t>x1t-1</t>
  </si>
  <si>
    <t>p*x1t-1</t>
  </si>
  <si>
    <t>x1t-(p*x1t-1)</t>
  </si>
  <si>
    <t>x2-(p*x2t-1)</t>
  </si>
  <si>
    <t>Спецификация модели полученное второе</t>
  </si>
  <si>
    <t>y = 0,47922 + 1,7216 *x1t + 0,8243 * x2t</t>
  </si>
  <si>
    <t>Проверяем предпосылки</t>
  </si>
  <si>
    <t>1,53 &lt;</t>
  </si>
  <si>
    <t xml:space="preserve">&lt; </t>
  </si>
  <si>
    <t>Соответственно, гипотеза h0 не отвергается, автокорреляции нет!</t>
  </si>
  <si>
    <t>Вывод</t>
  </si>
  <si>
    <t xml:space="preserve">Ответ: </t>
  </si>
  <si>
    <t>Коэф автокорреляции = 0,585876</t>
  </si>
  <si>
    <t>Количество итераций =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</si>
</sst>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204"/>
      <scheme val="minor"/>
    </font>
    <font>
      <sz val="8"/>
      <color rgb="FF4B4B4B"/>
      <name val="Arial Unicode MS"/>
    </font>
    <font>
      <sz val="11"/>
      <color rgb="FF4B4B4B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/>
    <xf numFmtId="0" fontId="2" fillId="0" borderId="0" xfId="0" applyFont="1" applyAlignment="1">
      <alignment vertic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0" fillId="2" borderId="0" xfId="0" applyFill="1"/>
    <xf numFmtId="0" fontId="0" fillId="3" borderId="0" xfId="0" applyFill="1"/>
    <xf numFmtId="0" fontId="0" fillId="3" borderId="0" xfId="0" applyFill="1" applyBorder="1" applyAlignment="1"/>
    <xf numFmtId="0" fontId="0" fillId="4" borderId="0" xfId="0" applyFill="1" applyBorder="1" applyAlignment="1"/>
    <xf numFmtId="0" fontId="0" fillId="5" borderId="0" xfId="0" applyFill="1"/>
    <xf numFmtId="0" fontId="0" fillId="5" borderId="0" xfId="0" applyFill="1" applyBorder="1" applyAlignmen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0" borderId="3" xfId="0" applyBorder="1"/>
    <xf numFmtId="0" fontId="0" fillId="0" borderId="0" xfId="0" applyBorder="1"/>
    <xf numFmtId="0" fontId="2" fillId="0" borderId="3" xfId="0" applyFont="1" applyBorder="1" applyAlignment="1">
      <alignment vertical="center"/>
    </xf>
    <xf numFmtId="0" fontId="0" fillId="0" borderId="4" xfId="0" applyBorder="1" applyAlignment="1">
      <alignment horizontal="center"/>
    </xf>
    <xf numFmtId="0" fontId="0" fillId="9" borderId="0" xfId="0" applyFill="1" applyBorder="1" applyAlignment="1"/>
    <xf numFmtId="0" fontId="2" fillId="9" borderId="0" xfId="0" applyFont="1" applyFill="1" applyAlignment="1">
      <alignment vertical="center"/>
    </xf>
    <xf numFmtId="0" fontId="0" fillId="10" borderId="0" xfId="0" applyFill="1"/>
    <xf numFmtId="2" fontId="0" fillId="0" borderId="0" xfId="0" applyNumberFormat="1"/>
    <xf numFmtId="0" fontId="4" fillId="0" borderId="0" xfId="0" applyFont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205740</xdr:colOff>
      <xdr:row>0</xdr:row>
      <xdr:rowOff>53340</xdr:rowOff>
    </xdr:from>
    <xdr:to>
      <xdr:col>15</xdr:col>
      <xdr:colOff>386238</xdr:colOff>
      <xdr:row>4</xdr:row>
      <xdr:rowOff>17242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27990AE-B0D2-4DBE-88AF-0EC63A44D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1740" y="53340"/>
          <a:ext cx="6325483" cy="695422"/>
        </a:xfrm>
        <a:prstGeom prst="rect">
          <a:avLst/>
        </a:prstGeom>
      </xdr:spPr>
    </xdr:pic>
    <xdr:clientData/>
  </xdr:twoCellAnchor>
  <xdr:twoCellAnchor editAs="oneCell">
    <xdr:from>
      <xdr:col>17</xdr:col>
      <xdr:colOff>1088</xdr:colOff>
      <xdr:row>0</xdr:row>
      <xdr:rowOff>0</xdr:rowOff>
    </xdr:from>
    <xdr:to>
      <xdr:col>23</xdr:col>
      <xdr:colOff>119783</xdr:colOff>
      <xdr:row>19</xdr:row>
      <xdr:rowOff>111493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2EB93D4-DB51-4F67-ADA3-A199D3D1D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42431" y="0"/>
          <a:ext cx="6475952" cy="36602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551911</xdr:colOff>
      <xdr:row>0</xdr:row>
      <xdr:rowOff>0</xdr:rowOff>
    </xdr:from>
    <xdr:to>
      <xdr:col>18</xdr:col>
      <xdr:colOff>731521</xdr:colOff>
      <xdr:row>3</xdr:row>
      <xdr:rowOff>71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2748B26-E98E-443C-966D-D0454C5D9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731" y="0"/>
          <a:ext cx="5399310" cy="5487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19</xdr:col>
      <xdr:colOff>439062</xdr:colOff>
      <xdr:row>2</xdr:row>
      <xdr:rowOff>62925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4CFD385-1CE8-4B0A-B2B9-E5249722E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6535062" cy="428685"/>
        </a:xfrm>
        <a:prstGeom prst="rect">
          <a:avLst/>
        </a:prstGeom>
      </xdr:spPr>
    </xdr:pic>
    <xdr:clientData/>
  </xdr:twoCellAnchor>
  <xdr:twoCellAnchor editAs="oneCell">
    <xdr:from>
      <xdr:col>7</xdr:col>
      <xdr:colOff>192602</xdr:colOff>
      <xdr:row>8</xdr:row>
      <xdr:rowOff>157392</xdr:rowOff>
    </xdr:from>
    <xdr:to>
      <xdr:col>14</xdr:col>
      <xdr:colOff>2995</xdr:colOff>
      <xdr:row>15</xdr:row>
      <xdr:rowOff>90777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9A7B5DF-510A-4746-9217-BEE7641F7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162" y="1635672"/>
          <a:ext cx="4077593" cy="1213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538942</xdr:colOff>
      <xdr:row>19</xdr:row>
      <xdr:rowOff>20089</xdr:rowOff>
    </xdr:from>
    <xdr:to>
      <xdr:col>20</xdr:col>
      <xdr:colOff>578324</xdr:colOff>
      <xdr:row>30</xdr:row>
      <xdr:rowOff>58471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BE95032-BF89-4B6A-AB08-B1013952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00302" y="3510049"/>
          <a:ext cx="9183382" cy="205006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73</xdr:row>
      <xdr:rowOff>167640</xdr:rowOff>
    </xdr:from>
    <xdr:to>
      <xdr:col>5</xdr:col>
      <xdr:colOff>450096</xdr:colOff>
      <xdr:row>77</xdr:row>
      <xdr:rowOff>122016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078403A-B9FB-4F1D-B77F-A9709F9A5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" y="13533120"/>
          <a:ext cx="3696216" cy="6858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20</xdr:col>
      <xdr:colOff>138144</xdr:colOff>
      <xdr:row>16</xdr:row>
      <xdr:rowOff>182568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CC93B71-044A-41BD-9850-62A1CE915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6234144" cy="3108648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16</xdr:row>
      <xdr:rowOff>175260</xdr:rowOff>
    </xdr:from>
    <xdr:to>
      <xdr:col>18</xdr:col>
      <xdr:colOff>510539</xdr:colOff>
      <xdr:row>37</xdr:row>
      <xdr:rowOff>74855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F21D4A9-3CE8-40DB-86D1-D83D6F42D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0" y="3101340"/>
          <a:ext cx="5349239" cy="3740075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38</xdr:row>
      <xdr:rowOff>106680</xdr:rowOff>
    </xdr:from>
    <xdr:to>
      <xdr:col>16</xdr:col>
      <xdr:colOff>164364</xdr:colOff>
      <xdr:row>44</xdr:row>
      <xdr:rowOff>38244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3963FED-F6A7-4EF2-AA2E-DE0FC747D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8380" y="7056120"/>
          <a:ext cx="3829584" cy="102884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16</xdr:col>
      <xdr:colOff>276774</xdr:colOff>
      <xdr:row>67</xdr:row>
      <xdr:rowOff>72962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6D02712-451C-45A9-A45E-1F781BC70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8229600"/>
          <a:ext cx="3934374" cy="4096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0</xdr:rowOff>
    </xdr:from>
    <xdr:to>
      <xdr:col>21</xdr:col>
      <xdr:colOff>477167</xdr:colOff>
      <xdr:row>17</xdr:row>
      <xdr:rowOff>82360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18973A2-E12A-48A9-8605-42BBAC3D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0"/>
          <a:ext cx="6573167" cy="3191320"/>
        </a:xfrm>
        <a:prstGeom prst="rect">
          <a:avLst/>
        </a:prstGeom>
      </xdr:spPr>
    </xdr:pic>
    <xdr:clientData/>
  </xdr:twoCellAnchor>
  <xdr:twoCellAnchor editAs="oneCell">
    <xdr:from>
      <xdr:col>10</xdr:col>
      <xdr:colOff>579120</xdr:colOff>
      <xdr:row>17</xdr:row>
      <xdr:rowOff>125506</xdr:rowOff>
    </xdr:from>
    <xdr:to>
      <xdr:col>22</xdr:col>
      <xdr:colOff>373587</xdr:colOff>
      <xdr:row>42</xdr:row>
      <xdr:rowOff>41686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9033CDF-BA61-4F7F-A3DE-4D5DBBBC0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6014" y="3173506"/>
          <a:ext cx="7109667" cy="43985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777240</xdr:colOff>
      <xdr:row>0</xdr:row>
      <xdr:rowOff>38100</xdr:rowOff>
    </xdr:from>
    <xdr:to>
      <xdr:col>28</xdr:col>
      <xdr:colOff>479223</xdr:colOff>
      <xdr:row>12</xdr:row>
      <xdr:rowOff>120333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E4BD7B1-F6EF-4CF5-B888-6D71C6B42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07980" y="38100"/>
          <a:ext cx="7649643" cy="2276793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13</xdr:row>
      <xdr:rowOff>106680</xdr:rowOff>
    </xdr:from>
    <xdr:to>
      <xdr:col>23</xdr:col>
      <xdr:colOff>663528</xdr:colOff>
      <xdr:row>18</xdr:row>
      <xdr:rowOff>144780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C56A593-D3AC-49D0-AF1F-B60DC712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3860" y="2484120"/>
          <a:ext cx="3101928" cy="960120"/>
        </a:xfrm>
        <a:prstGeom prst="rect">
          <a:avLst/>
        </a:prstGeom>
      </xdr:spPr>
    </xdr:pic>
    <xdr:clientData/>
  </xdr:twoCellAnchor>
  <xdr:twoCellAnchor editAs="oneCell">
    <xdr:from>
      <xdr:col>17</xdr:col>
      <xdr:colOff>312420</xdr:colOff>
      <xdr:row>13</xdr:row>
      <xdr:rowOff>45720</xdr:rowOff>
    </xdr:from>
    <xdr:to>
      <xdr:col>20</xdr:col>
      <xdr:colOff>236661</xdr:colOff>
      <xdr:row>23</xdr:row>
      <xdr:rowOff>42168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B97C416-D7D5-4167-B7DA-7C14E8588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2980" y="2423160"/>
          <a:ext cx="3162741" cy="1848108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0</xdr:rowOff>
    </xdr:from>
    <xdr:to>
      <xdr:col>5</xdr:col>
      <xdr:colOff>583525</xdr:colOff>
      <xdr:row>41</xdr:row>
      <xdr:rowOff>76200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7107D7A-F47F-46E0-BA3D-5261A486B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7181" y="5532120"/>
          <a:ext cx="4553544" cy="2103120"/>
        </a:xfrm>
        <a:prstGeom prst="rect">
          <a:avLst/>
        </a:prstGeom>
      </xdr:spPr>
    </xdr:pic>
    <xdr:clientData/>
  </xdr:twoCellAnchor>
  <xdr:twoCellAnchor editAs="oneCell">
    <xdr:from>
      <xdr:col>15</xdr:col>
      <xdr:colOff>99060</xdr:colOff>
      <xdr:row>59</xdr:row>
      <xdr:rowOff>53340</xdr:rowOff>
    </xdr:from>
    <xdr:to>
      <xdr:col>18</xdr:col>
      <xdr:colOff>436884</xdr:colOff>
      <xdr:row>76</xdr:row>
      <xdr:rowOff>175712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DFF76A5-6A3B-4E09-8999-B0DBC0011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3300" y="10911840"/>
          <a:ext cx="4582164" cy="3238952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126</xdr:row>
      <xdr:rowOff>137160</xdr:rowOff>
    </xdr:from>
    <xdr:to>
      <xdr:col>18</xdr:col>
      <xdr:colOff>452124</xdr:colOff>
      <xdr:row>144</xdr:row>
      <xdr:rowOff>84272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723A52C-7467-454C-9D2F-AC92305EE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23317200"/>
          <a:ext cx="4582164" cy="3238952"/>
        </a:xfrm>
        <a:prstGeom prst="rect">
          <a:avLst/>
        </a:prstGeom>
      </xdr:spPr>
    </xdr:pic>
    <xdr:clientData/>
  </xdr:twoCellAnchor>
  <xdr:twoCellAnchor editAs="oneCell">
    <xdr:from>
      <xdr:col>9</xdr:col>
      <xdr:colOff>80681</xdr:colOff>
      <xdr:row>202</xdr:row>
      <xdr:rowOff>80683</xdr:rowOff>
    </xdr:from>
    <xdr:to>
      <xdr:col>13</xdr:col>
      <xdr:colOff>529056</xdr:colOff>
      <xdr:row>207</xdr:row>
      <xdr:rowOff>127748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254D885A-731C-4E94-B013-919AA484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26587" y="36540142"/>
          <a:ext cx="3101928" cy="943535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227</xdr:row>
      <xdr:rowOff>170329</xdr:rowOff>
    </xdr:from>
    <xdr:to>
      <xdr:col>7</xdr:col>
      <xdr:colOff>139394</xdr:colOff>
      <xdr:row>238</xdr:row>
      <xdr:rowOff>14377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628604E-AA81-4491-A770-C4DCBE759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41112141"/>
          <a:ext cx="3169465" cy="1816283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236</xdr:row>
      <xdr:rowOff>143436</xdr:rowOff>
    </xdr:from>
    <xdr:to>
      <xdr:col>5</xdr:col>
      <xdr:colOff>375991</xdr:colOff>
      <xdr:row>248</xdr:row>
      <xdr:rowOff>58271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6F0F481-2EFD-450B-B812-A2381063B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7" y="42698895"/>
          <a:ext cx="4553544" cy="20663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11</xdr:row>
      <xdr:rowOff>45720</xdr:rowOff>
    </xdr:from>
    <xdr:to>
      <xdr:col>11</xdr:col>
      <xdr:colOff>315092</xdr:colOff>
      <xdr:row>25</xdr:row>
      <xdr:rowOff>114667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C4C6F78-E0C1-4660-BFF1-FAC31E7D4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057400"/>
          <a:ext cx="5496692" cy="2629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91440</xdr:rowOff>
    </xdr:from>
    <xdr:to>
      <xdr:col>11</xdr:col>
      <xdr:colOff>477252</xdr:colOff>
      <xdr:row>7</xdr:row>
      <xdr:rowOff>59229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2D2F730-8ACD-4FC0-AFC5-3A80766C7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440"/>
          <a:ext cx="7182852" cy="1247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D2D80-E92A-4787-9B90-DC659DCED80A}">
  <dimension ref="A1:AC68"/>
  <sheetViews>
    <sheetView zoomScale="85" zoomScaleNormal="85" workbookViewId="0">
      <selection activeCell="N8" sqref="N8:N12"/>
    </sheetView>
  </sheetViews>
  <sheetFormatPr defaultRowHeight="14.4"/>
  <cols>
    <col min="4" max="7" width="15.77734375" customWidth="1"/>
    <col min="8" max="8" width="24.88671875" bestFit="1" customWidth="1"/>
    <col min="9" max="9" width="16" bestFit="1" customWidth="1"/>
    <col min="10" max="10" width="21" bestFit="1" customWidth="1"/>
    <col min="11" max="11" width="14.21875" bestFit="1" customWidth="1"/>
    <col min="12" max="12" width="12" bestFit="1" customWidth="1"/>
    <col min="13" max="13" width="9.109375" customWidth="1"/>
    <col min="14" max="14" width="75.77734375" bestFit="1" customWidth="1"/>
    <col min="15" max="15" width="13.88671875" bestFit="1" customWidth="1"/>
    <col min="16" max="16" width="14.109375" bestFit="1" customWidth="1"/>
    <col min="21" max="21" width="26.88671875" bestFit="1" customWidth="1"/>
    <col min="22" max="22" width="16.88671875" bestFit="1" customWidth="1"/>
    <col min="23" max="23" width="22.44140625" bestFit="1" customWidth="1"/>
    <col min="24" max="24" width="14.88671875" bestFit="1" customWidth="1"/>
    <col min="25" max="25" width="13.33203125" bestFit="1" customWidth="1"/>
    <col min="26" max="26" width="14.21875" bestFit="1" customWidth="1"/>
    <col min="27" max="27" width="108.33203125" bestFit="1" customWidth="1"/>
    <col min="28" max="28" width="14.5546875" bestFit="1" customWidth="1"/>
    <col min="29" max="29" width="14.88671875" bestFit="1" customWidth="1"/>
  </cols>
  <sheetData>
    <row r="1" spans="1:14">
      <c r="A1" s="3" t="s">
        <v>0</v>
      </c>
      <c r="B1" s="3" t="s">
        <v>1</v>
      </c>
      <c r="C1" t="s">
        <v>31</v>
      </c>
      <c r="D1" t="s">
        <v>32</v>
      </c>
      <c r="E1" t="s">
        <v>37</v>
      </c>
      <c r="F1" t="s">
        <v>38</v>
      </c>
      <c r="G1" t="s">
        <v>33</v>
      </c>
      <c r="H1" t="s">
        <v>34</v>
      </c>
      <c r="I1" s="9" t="s">
        <v>36</v>
      </c>
    </row>
    <row r="2" spans="1:14">
      <c r="A2" s="4">
        <v>0.3</v>
      </c>
      <c r="B2" s="4">
        <v>3.9</v>
      </c>
      <c r="C2" s="5">
        <v>-0.141191680631645</v>
      </c>
      <c r="D2">
        <f>C2^2</f>
        <v>1.9935090679588437E-2</v>
      </c>
      <c r="E2">
        <f>D2/$I$2</f>
        <v>2.5133082746676114E-2</v>
      </c>
      <c r="F2">
        <f>B2/$I$2</f>
        <v>4.9169087960256253</v>
      </c>
      <c r="G2">
        <f>SUM(D2:D17)</f>
        <v>12.69090043940583</v>
      </c>
      <c r="H2">
        <f>COUNT(A2:A17)</f>
        <v>16</v>
      </c>
      <c r="I2" s="9">
        <f>G2/H2</f>
        <v>0.79318127746286438</v>
      </c>
    </row>
    <row r="3" spans="1:14">
      <c r="A3" s="4">
        <v>0.1</v>
      </c>
      <c r="B3" s="4">
        <v>5</v>
      </c>
      <c r="C3" s="5">
        <v>-0.48954999090090001</v>
      </c>
      <c r="D3">
        <f t="shared" ref="D3:D17" si="0">C3^2</f>
        <v>0.2396591935910713</v>
      </c>
      <c r="E3">
        <f t="shared" ref="E3:E17" si="1">D3/$I$2</f>
        <v>0.30214933256829402</v>
      </c>
      <c r="F3">
        <f>B3/$I$2</f>
        <v>6.3037292256738784</v>
      </c>
    </row>
    <row r="4" spans="1:14">
      <c r="A4" s="4">
        <v>1</v>
      </c>
      <c r="B4" s="4">
        <v>7.2</v>
      </c>
      <c r="C4" s="5">
        <v>0.11373338856058957</v>
      </c>
      <c r="D4">
        <f t="shared" si="0"/>
        <v>1.2935283673474046E-2</v>
      </c>
      <c r="E4">
        <f t="shared" si="1"/>
        <v>1.6308105146972104E-2</v>
      </c>
      <c r="F4">
        <f>B4/$I$2</f>
        <v>9.0773700849703864</v>
      </c>
    </row>
    <row r="5" spans="1:14">
      <c r="A5" s="4">
        <v>0.8</v>
      </c>
      <c r="B5" s="4">
        <v>10</v>
      </c>
      <c r="C5" s="5">
        <v>-0.46390594667024176</v>
      </c>
      <c r="D5">
        <f t="shared" si="0"/>
        <v>0.21520872735601321</v>
      </c>
      <c r="E5">
        <f t="shared" si="1"/>
        <v>0.27132350885083639</v>
      </c>
      <c r="F5">
        <f t="shared" ref="F5:F17" si="2">B5/$I$2</f>
        <v>12.607458451347757</v>
      </c>
    </row>
    <row r="6" spans="1:14">
      <c r="A6" s="4">
        <v>2.2000000000000002</v>
      </c>
      <c r="B6" s="4">
        <v>13.3</v>
      </c>
      <c r="C6" s="5">
        <v>0.49101912252199265</v>
      </c>
      <c r="D6">
        <f t="shared" si="0"/>
        <v>0.24109977868226762</v>
      </c>
      <c r="E6">
        <f t="shared" si="1"/>
        <v>0.3039655442365829</v>
      </c>
      <c r="F6">
        <f t="shared" si="2"/>
        <v>16.76791974029252</v>
      </c>
    </row>
    <row r="7" spans="1:14">
      <c r="A7" s="4">
        <v>2.5</v>
      </c>
      <c r="B7" s="4">
        <v>18</v>
      </c>
      <c r="C7" s="5">
        <v>0.1571245240988115</v>
      </c>
      <c r="D7">
        <f t="shared" si="0"/>
        <v>2.4688116073277998E-2</v>
      </c>
      <c r="E7">
        <f t="shared" si="1"/>
        <v>3.112543976359031E-2</v>
      </c>
      <c r="F7">
        <f t="shared" si="2"/>
        <v>22.693425212425964</v>
      </c>
    </row>
    <row r="8" spans="1:14">
      <c r="A8" s="4">
        <v>2</v>
      </c>
      <c r="B8" s="4">
        <v>19.399999999999999</v>
      </c>
      <c r="C8" s="5">
        <v>-0.53169514351660441</v>
      </c>
      <c r="D8">
        <f t="shared" si="0"/>
        <v>0.28269972563914259</v>
      </c>
      <c r="E8">
        <f t="shared" si="1"/>
        <v>0.35641250452029005</v>
      </c>
      <c r="F8">
        <f t="shared" si="2"/>
        <v>24.458469395614646</v>
      </c>
      <c r="N8" s="13" t="s">
        <v>46</v>
      </c>
    </row>
    <row r="9" spans="1:14">
      <c r="A9" s="4">
        <v>3.8</v>
      </c>
      <c r="B9" s="4">
        <v>22.3</v>
      </c>
      <c r="C9" s="5">
        <v>0.87717840213717713</v>
      </c>
      <c r="D9">
        <f t="shared" si="0"/>
        <v>0.76944194917593123</v>
      </c>
      <c r="E9">
        <f t="shared" si="1"/>
        <v>0.97007074049595854</v>
      </c>
      <c r="F9">
        <f t="shared" si="2"/>
        <v>28.114632346505498</v>
      </c>
      <c r="N9" s="13" t="s">
        <v>47</v>
      </c>
    </row>
    <row r="10" spans="1:14">
      <c r="A10" s="4">
        <v>3.1</v>
      </c>
      <c r="B10" s="4">
        <v>29</v>
      </c>
      <c r="C10" s="5">
        <v>-0.72645857859374052</v>
      </c>
      <c r="D10">
        <f t="shared" si="0"/>
        <v>0.52774206641243793</v>
      </c>
      <c r="E10">
        <f t="shared" si="1"/>
        <v>0.665348617532322</v>
      </c>
      <c r="F10">
        <f t="shared" si="2"/>
        <v>36.561629508908496</v>
      </c>
      <c r="N10" s="13" t="s">
        <v>49</v>
      </c>
    </row>
    <row r="11" spans="1:14">
      <c r="A11" s="4">
        <v>5</v>
      </c>
      <c r="B11" s="4">
        <v>30.8</v>
      </c>
      <c r="C11" s="5">
        <v>0.93077327732929582</v>
      </c>
      <c r="D11">
        <f t="shared" si="0"/>
        <v>0.86633889379031825</v>
      </c>
      <c r="E11">
        <f t="shared" si="1"/>
        <v>1.0922331608248015</v>
      </c>
      <c r="F11">
        <f t="shared" si="2"/>
        <v>38.830972030151095</v>
      </c>
      <c r="N11" s="13" t="s">
        <v>48</v>
      </c>
    </row>
    <row r="12" spans="1:14">
      <c r="A12" s="4">
        <v>6.2</v>
      </c>
      <c r="B12" s="4">
        <v>39</v>
      </c>
      <c r="C12" s="5">
        <v>1.0248295098675753</v>
      </c>
      <c r="D12">
        <f t="shared" si="0"/>
        <v>1.0502755242954145</v>
      </c>
      <c r="E12">
        <f t="shared" si="1"/>
        <v>1.324130503502192</v>
      </c>
      <c r="F12">
        <f t="shared" si="2"/>
        <v>49.169087960256256</v>
      </c>
      <c r="H12" t="s">
        <v>2</v>
      </c>
      <c r="N12" s="13" t="s">
        <v>50</v>
      </c>
    </row>
    <row r="13" spans="1:14" ht="15" thickBot="1">
      <c r="A13" s="4">
        <v>5</v>
      </c>
      <c r="B13" s="4">
        <v>43.5</v>
      </c>
      <c r="C13" s="5">
        <v>-0.78209085032483117</v>
      </c>
      <c r="D13">
        <f t="shared" si="0"/>
        <v>0.6116660981618175</v>
      </c>
      <c r="E13">
        <f t="shared" si="1"/>
        <v>0.77115549186731125</v>
      </c>
      <c r="F13">
        <f t="shared" si="2"/>
        <v>54.842444263362744</v>
      </c>
    </row>
    <row r="14" spans="1:14">
      <c r="A14" s="4">
        <v>5.3</v>
      </c>
      <c r="B14" s="4">
        <v>50.2</v>
      </c>
      <c r="C14" s="5">
        <v>-1.3857278310557506</v>
      </c>
      <c r="D14">
        <f t="shared" si="0"/>
        <v>1.9202416217624749</v>
      </c>
      <c r="E14">
        <f t="shared" si="1"/>
        <v>2.4209366462919037</v>
      </c>
      <c r="F14">
        <f t="shared" si="2"/>
        <v>63.289441425765744</v>
      </c>
      <c r="H14" s="8" t="s">
        <v>3</v>
      </c>
      <c r="I14" s="8"/>
    </row>
    <row r="15" spans="1:14">
      <c r="A15" s="4">
        <v>8.8000000000000007</v>
      </c>
      <c r="B15" s="4">
        <v>54.9</v>
      </c>
      <c r="C15" s="5">
        <v>1.4803775705210693</v>
      </c>
      <c r="D15">
        <f t="shared" si="0"/>
        <v>2.1915177513018635</v>
      </c>
      <c r="E15">
        <f t="shared" si="1"/>
        <v>2.7629468994929312</v>
      </c>
      <c r="F15">
        <f t="shared" si="2"/>
        <v>69.214946897899182</v>
      </c>
      <c r="H15" s="5" t="s">
        <v>4</v>
      </c>
      <c r="I15" s="5">
        <v>0.94775108305807998</v>
      </c>
    </row>
    <row r="16" spans="1:14">
      <c r="A16" s="4">
        <v>9.1999999999999993</v>
      </c>
      <c r="B16" s="4">
        <v>61</v>
      </c>
      <c r="C16" s="5">
        <v>1.057663304482471</v>
      </c>
      <c r="D16">
        <f t="shared" si="0"/>
        <v>1.1186516656487802</v>
      </c>
      <c r="E16">
        <f t="shared" si="1"/>
        <v>1.410335439619796</v>
      </c>
      <c r="F16">
        <f t="shared" si="2"/>
        <v>76.905496553221326</v>
      </c>
      <c r="H16" s="5" t="s">
        <v>5</v>
      </c>
      <c r="I16" s="5">
        <v>0.8982321154377636</v>
      </c>
    </row>
    <row r="17" spans="1:27" ht="15" thickBot="1">
      <c r="A17" s="4">
        <v>6.8</v>
      </c>
      <c r="B17" s="4">
        <v>63</v>
      </c>
      <c r="C17" s="6">
        <v>-1.6120790778252649</v>
      </c>
      <c r="D17">
        <f t="shared" si="0"/>
        <v>2.5987989531619564</v>
      </c>
      <c r="E17">
        <f t="shared" si="1"/>
        <v>3.2764249825395413</v>
      </c>
      <c r="F17">
        <f t="shared" si="2"/>
        <v>79.426988243490868</v>
      </c>
      <c r="H17" s="5" t="s">
        <v>6</v>
      </c>
      <c r="I17" s="5">
        <v>0.8909629808261752</v>
      </c>
    </row>
    <row r="18" spans="1:27">
      <c r="H18" s="5" t="s">
        <v>7</v>
      </c>
      <c r="I18" s="5">
        <v>0.95209920099167611</v>
      </c>
    </row>
    <row r="19" spans="1:27" ht="15" thickBot="1">
      <c r="H19" s="6" t="s">
        <v>8</v>
      </c>
      <c r="I19" s="6">
        <v>16</v>
      </c>
    </row>
    <row r="20" spans="1:27">
      <c r="A20" s="8" t="s">
        <v>57</v>
      </c>
      <c r="B20" s="8"/>
    </row>
    <row r="21" spans="1:27" ht="15" thickBot="1">
      <c r="A21" s="5"/>
      <c r="B21" s="5"/>
      <c r="H21" t="s">
        <v>9</v>
      </c>
    </row>
    <row r="22" spans="1:27">
      <c r="A22" s="5" t="s">
        <v>58</v>
      </c>
      <c r="B22" s="5">
        <v>2.4980018054066022E-16</v>
      </c>
      <c r="H22" s="7"/>
      <c r="I22" s="7" t="s">
        <v>14</v>
      </c>
      <c r="J22" s="7" t="s">
        <v>15</v>
      </c>
      <c r="K22" s="7" t="s">
        <v>16</v>
      </c>
      <c r="L22" s="7" t="s">
        <v>17</v>
      </c>
      <c r="M22" s="7" t="s">
        <v>18</v>
      </c>
    </row>
    <row r="23" spans="1:27">
      <c r="A23" s="5" t="s">
        <v>7</v>
      </c>
      <c r="B23" s="5">
        <v>0.2299538036886053</v>
      </c>
      <c r="H23" s="5" t="s">
        <v>10</v>
      </c>
      <c r="I23" s="5">
        <v>1</v>
      </c>
      <c r="J23" s="5">
        <v>112.01347456059415</v>
      </c>
      <c r="K23" s="5">
        <v>112.01347456059415</v>
      </c>
      <c r="L23" s="5">
        <v>123.56795731995656</v>
      </c>
      <c r="M23" s="5">
        <v>2.4812980161968888E-8</v>
      </c>
    </row>
    <row r="24" spans="1:27">
      <c r="A24" s="5" t="s">
        <v>59</v>
      </c>
      <c r="B24" s="5">
        <v>-1.3729146035527634E-2</v>
      </c>
      <c r="H24" s="5" t="s">
        <v>11</v>
      </c>
      <c r="I24" s="5">
        <v>14</v>
      </c>
      <c r="J24" s="5">
        <v>12.690900439405834</v>
      </c>
      <c r="K24" s="5">
        <v>0.90649288852898813</v>
      </c>
      <c r="L24" s="5"/>
      <c r="M24" s="5"/>
    </row>
    <row r="25" spans="1:27" ht="15" thickBot="1">
      <c r="A25" s="5" t="s">
        <v>60</v>
      </c>
      <c r="B25" s="5" t="e">
        <v>#N/A</v>
      </c>
      <c r="H25" s="6" t="s">
        <v>12</v>
      </c>
      <c r="I25" s="6">
        <v>15</v>
      </c>
      <c r="J25" s="6">
        <v>124.70437499999998</v>
      </c>
      <c r="K25" s="6"/>
      <c r="L25" s="6"/>
      <c r="M25" s="6"/>
    </row>
    <row r="26" spans="1:27" ht="15" thickBot="1">
      <c r="A26" s="5" t="s">
        <v>61</v>
      </c>
      <c r="B26" s="5">
        <v>0.91981521475442118</v>
      </c>
      <c r="Z26" t="s">
        <v>81</v>
      </c>
    </row>
    <row r="27" spans="1:27">
      <c r="A27" s="5" t="s">
        <v>62</v>
      </c>
      <c r="B27" s="5">
        <v>0.84606002929372204</v>
      </c>
      <c r="C27">
        <f>SQRT(B27)</f>
        <v>0.91981521475442118</v>
      </c>
      <c r="H27" s="7"/>
      <c r="I27" s="7" t="s">
        <v>19</v>
      </c>
      <c r="J27" s="7" t="s">
        <v>7</v>
      </c>
      <c r="K27" s="7" t="s">
        <v>20</v>
      </c>
      <c r="L27" s="7" t="s">
        <v>21</v>
      </c>
      <c r="M27" s="7" t="s">
        <v>22</v>
      </c>
      <c r="N27" s="7" t="s">
        <v>23</v>
      </c>
      <c r="O27" s="7" t="s">
        <v>24</v>
      </c>
      <c r="P27" s="7" t="s">
        <v>25</v>
      </c>
      <c r="U27" t="s">
        <v>39</v>
      </c>
      <c r="Z27" t="s">
        <v>78</v>
      </c>
      <c r="AA27" s="10">
        <f>W40</f>
        <v>11.915211222526633</v>
      </c>
    </row>
    <row r="28" spans="1:27">
      <c r="A28" s="5" t="s">
        <v>63</v>
      </c>
      <c r="B28" s="5">
        <v>-0.94777518604065625</v>
      </c>
      <c r="H28" s="5" t="s">
        <v>13</v>
      </c>
      <c r="I28" s="5">
        <v>-8.480596486844183E-2</v>
      </c>
      <c r="J28" s="5">
        <v>0.42889502375879246</v>
      </c>
      <c r="K28" s="5">
        <v>-0.19773128660997499</v>
      </c>
      <c r="L28" s="5">
        <v>0.84609752696310747</v>
      </c>
      <c r="M28" s="5">
        <v>-1.0046943023404902</v>
      </c>
      <c r="N28" s="5">
        <v>0.83508237260360663</v>
      </c>
      <c r="O28" s="5">
        <v>-1.0046943023404902</v>
      </c>
      <c r="P28" s="5">
        <v>0.83508237260360663</v>
      </c>
    </row>
    <row r="29" spans="1:27" ht="15" thickBot="1">
      <c r="A29" s="5" t="s">
        <v>64</v>
      </c>
      <c r="B29" s="5">
        <v>-9.5321710403630036E-2</v>
      </c>
      <c r="H29" s="6" t="s">
        <v>26</v>
      </c>
      <c r="I29" s="6">
        <v>0.13487119115386836</v>
      </c>
      <c r="J29" s="6">
        <v>1.2132945851414955E-2</v>
      </c>
      <c r="K29" s="6">
        <v>11.116112509324317</v>
      </c>
      <c r="L29" s="6">
        <v>2.4812980161968888E-8</v>
      </c>
      <c r="M29" s="6">
        <v>0.10884861040652602</v>
      </c>
      <c r="N29" s="6">
        <v>0.16089377190121071</v>
      </c>
      <c r="O29" s="6">
        <v>0.10884861040652602</v>
      </c>
      <c r="P29" s="6">
        <v>0.16089377190121071</v>
      </c>
      <c r="U29" t="s">
        <v>2</v>
      </c>
      <c r="Z29" t="s">
        <v>40</v>
      </c>
    </row>
    <row r="30" spans="1:27" ht="15" thickBot="1">
      <c r="A30" s="5" t="s">
        <v>65</v>
      </c>
      <c r="B30" s="5">
        <v>3.0924566483463343</v>
      </c>
      <c r="Z30" s="13" t="s">
        <v>79</v>
      </c>
      <c r="AA30" s="13">
        <f>AA27/2</f>
        <v>5.9576056112633164</v>
      </c>
    </row>
    <row r="31" spans="1:27">
      <c r="A31" s="5" t="s">
        <v>66</v>
      </c>
      <c r="B31" s="5">
        <v>-1.6120790778252649</v>
      </c>
      <c r="U31" s="8" t="s">
        <v>3</v>
      </c>
      <c r="V31" s="8"/>
    </row>
    <row r="32" spans="1:27">
      <c r="A32" s="5" t="s">
        <v>67</v>
      </c>
      <c r="B32" s="5">
        <v>1.4803775705210693</v>
      </c>
      <c r="U32" s="5" t="s">
        <v>4</v>
      </c>
      <c r="V32" s="5">
        <v>0.87592930608058428</v>
      </c>
    </row>
    <row r="33" spans="1:29">
      <c r="A33" s="5" t="s">
        <v>68</v>
      </c>
      <c r="B33" s="5">
        <v>3.9968028886505635E-15</v>
      </c>
      <c r="H33" t="s">
        <v>27</v>
      </c>
      <c r="U33" s="5" t="s">
        <v>5</v>
      </c>
      <c r="V33" s="5">
        <v>0.76725214925081398</v>
      </c>
      <c r="Z33" s="13" t="s">
        <v>41</v>
      </c>
      <c r="AA33" s="13">
        <f>CHIINV(5%,1)</f>
        <v>3.8414588206941236</v>
      </c>
      <c r="AB33" t="s">
        <v>42</v>
      </c>
    </row>
    <row r="34" spans="1:29" ht="15" thickBot="1">
      <c r="A34" s="6" t="s">
        <v>69</v>
      </c>
      <c r="B34" s="6">
        <v>16</v>
      </c>
      <c r="U34" s="5" t="s">
        <v>6</v>
      </c>
      <c r="V34" s="5">
        <v>0.75062730276872924</v>
      </c>
    </row>
    <row r="35" spans="1:29">
      <c r="B35">
        <v>0</v>
      </c>
      <c r="H35" s="7" t="s">
        <v>28</v>
      </c>
      <c r="I35" s="7" t="s">
        <v>29</v>
      </c>
      <c r="J35" s="7" t="s">
        <v>30</v>
      </c>
      <c r="U35" s="5" t="s">
        <v>7</v>
      </c>
      <c r="V35" s="5">
        <v>0.5081133876482411</v>
      </c>
      <c r="Z35" t="s">
        <v>43</v>
      </c>
    </row>
    <row r="36" spans="1:29" ht="15" thickBot="1">
      <c r="H36" s="5">
        <v>1</v>
      </c>
      <c r="I36" s="5">
        <v>0.44119168063164482</v>
      </c>
      <c r="J36" s="5">
        <v>-0.14119168063164483</v>
      </c>
      <c r="U36" s="6" t="s">
        <v>8</v>
      </c>
      <c r="V36" s="6">
        <v>16</v>
      </c>
      <c r="Y36" s="13" t="s">
        <v>45</v>
      </c>
      <c r="Z36" s="13" t="s">
        <v>80</v>
      </c>
      <c r="AA36" s="13" t="s">
        <v>44</v>
      </c>
    </row>
    <row r="37" spans="1:29">
      <c r="H37" s="5">
        <v>2</v>
      </c>
      <c r="I37" s="5">
        <v>0.58954999090089999</v>
      </c>
      <c r="J37" s="5">
        <v>-0.48954999090090001</v>
      </c>
    </row>
    <row r="38" spans="1:29" ht="15" thickBot="1">
      <c r="H38" s="5">
        <v>3</v>
      </c>
      <c r="I38" s="5">
        <v>0.88626661143941043</v>
      </c>
      <c r="J38" s="5">
        <v>0.11373338856058957</v>
      </c>
      <c r="U38" t="s">
        <v>9</v>
      </c>
    </row>
    <row r="39" spans="1:29">
      <c r="H39" s="5">
        <v>4</v>
      </c>
      <c r="I39" s="5">
        <v>1.2639059466702418</v>
      </c>
      <c r="J39" s="5">
        <v>-0.46390594667024176</v>
      </c>
      <c r="U39" s="7"/>
      <c r="V39" s="7" t="s">
        <v>14</v>
      </c>
      <c r="W39" s="7" t="s">
        <v>15</v>
      </c>
      <c r="X39" s="7" t="s">
        <v>16</v>
      </c>
      <c r="Y39" s="7" t="s">
        <v>17</v>
      </c>
      <c r="Z39" s="7" t="s">
        <v>18</v>
      </c>
    </row>
    <row r="40" spans="1:29">
      <c r="H40" s="5">
        <v>5</v>
      </c>
      <c r="I40" s="5">
        <v>1.7089808774780075</v>
      </c>
      <c r="J40" s="5">
        <v>0.49101912252199265</v>
      </c>
      <c r="U40" s="5" t="s">
        <v>10</v>
      </c>
      <c r="V40" s="5">
        <v>1</v>
      </c>
      <c r="W40" s="11">
        <v>11.915211222526633</v>
      </c>
      <c r="X40" s="5">
        <v>11.915211222526633</v>
      </c>
      <c r="Y40" s="5">
        <v>46.150931383193267</v>
      </c>
      <c r="Z40" s="5">
        <v>8.6883986555443622E-6</v>
      </c>
    </row>
    <row r="41" spans="1:29">
      <c r="H41" s="5">
        <v>6</v>
      </c>
      <c r="I41" s="5">
        <v>2.3428754759011885</v>
      </c>
      <c r="J41" s="5">
        <v>0.1571245240988115</v>
      </c>
      <c r="U41" s="5" t="s">
        <v>11</v>
      </c>
      <c r="V41" s="5">
        <v>14</v>
      </c>
      <c r="W41" s="12">
        <v>3.6145090059032037</v>
      </c>
      <c r="X41" s="5">
        <v>0.25817921470737171</v>
      </c>
      <c r="Y41" s="5"/>
      <c r="Z41" s="5"/>
    </row>
    <row r="42" spans="1:29" ht="15" thickBot="1">
      <c r="H42" s="5">
        <v>7</v>
      </c>
      <c r="I42" s="5">
        <v>2.5316951435166044</v>
      </c>
      <c r="J42" s="5">
        <v>-0.53169514351660441</v>
      </c>
      <c r="U42" s="6" t="s">
        <v>12</v>
      </c>
      <c r="V42" s="6">
        <v>15</v>
      </c>
      <c r="W42" s="6">
        <v>15.529720228429836</v>
      </c>
      <c r="X42" s="6"/>
      <c r="Y42" s="6"/>
      <c r="Z42" s="6"/>
    </row>
    <row r="43" spans="1:29" ht="15" thickBot="1">
      <c r="H43" s="5">
        <v>8</v>
      </c>
      <c r="I43" s="5">
        <v>2.9228215978628227</v>
      </c>
      <c r="J43" s="5">
        <v>0.87717840213717713</v>
      </c>
    </row>
    <row r="44" spans="1:29">
      <c r="H44" s="5">
        <v>9</v>
      </c>
      <c r="I44" s="5">
        <v>3.8264585785937406</v>
      </c>
      <c r="J44" s="5">
        <v>-0.72645857859374052</v>
      </c>
      <c r="U44" s="7"/>
      <c r="V44" s="7" t="s">
        <v>19</v>
      </c>
      <c r="W44" s="7" t="s">
        <v>7</v>
      </c>
      <c r="X44" s="7" t="s">
        <v>20</v>
      </c>
      <c r="Y44" s="7" t="s">
        <v>21</v>
      </c>
      <c r="Z44" s="7" t="s">
        <v>22</v>
      </c>
      <c r="AA44" s="7" t="s">
        <v>23</v>
      </c>
      <c r="AB44" s="7" t="s">
        <v>24</v>
      </c>
      <c r="AC44" s="7" t="s">
        <v>25</v>
      </c>
    </row>
    <row r="45" spans="1:29">
      <c r="H45" s="5">
        <v>10</v>
      </c>
      <c r="I45" s="5">
        <v>4.0692267226707042</v>
      </c>
      <c r="J45" s="5">
        <v>0.93077327732929582</v>
      </c>
      <c r="U45" s="5" t="s">
        <v>13</v>
      </c>
      <c r="V45" s="5">
        <v>-0.29352425479920985</v>
      </c>
      <c r="W45" s="5">
        <v>0.22889138362952799</v>
      </c>
      <c r="X45" s="5">
        <v>-1.2823735439263775</v>
      </c>
      <c r="Y45" s="5">
        <v>0.2205390530176102</v>
      </c>
      <c r="Z45" s="5">
        <v>-0.78444744738690875</v>
      </c>
      <c r="AA45" s="5">
        <v>0.19739893778848905</v>
      </c>
      <c r="AB45" s="5">
        <v>-0.78444744738690875</v>
      </c>
      <c r="AC45" s="5">
        <v>0.19739893778848905</v>
      </c>
    </row>
    <row r="46" spans="1:29" ht="15" thickBot="1">
      <c r="H46" s="5">
        <v>11</v>
      </c>
      <c r="I46" s="5">
        <v>5.1751704901324249</v>
      </c>
      <c r="J46" s="5">
        <v>1.0248295098675753</v>
      </c>
      <c r="U46" s="6" t="s">
        <v>26</v>
      </c>
      <c r="V46" s="6">
        <v>3.4890515480581058E-2</v>
      </c>
      <c r="W46" s="6">
        <v>5.1359069979196792E-3</v>
      </c>
      <c r="X46" s="6">
        <v>6.7934476801689767</v>
      </c>
      <c r="Y46" s="6">
        <v>8.6883986555443775E-6</v>
      </c>
      <c r="Z46" s="6">
        <v>2.3875090521059038E-2</v>
      </c>
      <c r="AA46" s="6">
        <v>4.5905940440103078E-2</v>
      </c>
      <c r="AB46" s="6">
        <v>2.3875090521059038E-2</v>
      </c>
      <c r="AC46" s="6">
        <v>4.5905940440103078E-2</v>
      </c>
    </row>
    <row r="47" spans="1:29">
      <c r="H47" s="5">
        <v>12</v>
      </c>
      <c r="I47" s="5">
        <v>5.7820908503248312</v>
      </c>
      <c r="J47" s="5">
        <v>-0.78209085032483117</v>
      </c>
    </row>
    <row r="48" spans="1:29">
      <c r="H48" s="5">
        <v>13</v>
      </c>
      <c r="I48" s="5">
        <v>6.6857278310557504</v>
      </c>
      <c r="J48" s="5">
        <v>-1.3857278310557506</v>
      </c>
    </row>
    <row r="49" spans="8:23">
      <c r="H49" s="5">
        <v>14</v>
      </c>
      <c r="I49" s="5">
        <v>7.3196224294789314</v>
      </c>
      <c r="J49" s="5">
        <v>1.4803775705210693</v>
      </c>
    </row>
    <row r="50" spans="8:23">
      <c r="H50" s="5">
        <v>15</v>
      </c>
      <c r="I50" s="5">
        <v>8.1423366955175283</v>
      </c>
      <c r="J50" s="5">
        <v>1.057663304482471</v>
      </c>
      <c r="U50" t="s">
        <v>27</v>
      </c>
    </row>
    <row r="51" spans="8:23" ht="15" thickBot="1">
      <c r="H51" s="6">
        <v>16</v>
      </c>
      <c r="I51" s="6">
        <v>8.4120790778252648</v>
      </c>
      <c r="J51" s="6">
        <v>-1.6120790778252649</v>
      </c>
    </row>
    <row r="52" spans="8:23">
      <c r="U52" s="7" t="s">
        <v>28</v>
      </c>
      <c r="V52" s="7" t="s">
        <v>29</v>
      </c>
      <c r="W52" s="7" t="s">
        <v>30</v>
      </c>
    </row>
    <row r="53" spans="8:23">
      <c r="U53" s="5">
        <v>1</v>
      </c>
      <c r="V53" s="5">
        <v>-0.12197077233487261</v>
      </c>
      <c r="W53" s="5">
        <v>0.14710385508154866</v>
      </c>
    </row>
    <row r="54" spans="8:23">
      <c r="U54" s="5">
        <v>2</v>
      </c>
      <c r="V54" s="5">
        <v>-7.3583892665444156E-2</v>
      </c>
      <c r="W54" s="5">
        <v>0.3757332252337382</v>
      </c>
    </row>
    <row r="55" spans="8:23">
      <c r="U55" s="5">
        <v>3</v>
      </c>
      <c r="V55" s="5">
        <v>2.3189866673412829E-2</v>
      </c>
      <c r="W55" s="5">
        <v>-6.8817615264407245E-3</v>
      </c>
    </row>
    <row r="56" spans="8:23">
      <c r="U56" s="5">
        <v>4</v>
      </c>
      <c r="V56" s="5">
        <v>0.14635646946832154</v>
      </c>
      <c r="W56" s="5">
        <v>0.12496703938251486</v>
      </c>
    </row>
    <row r="57" spans="8:23">
      <c r="U57" s="5">
        <v>5</v>
      </c>
      <c r="V57" s="5">
        <v>0.29151710847660706</v>
      </c>
      <c r="W57" s="5">
        <v>1.244843575997584E-2</v>
      </c>
    </row>
    <row r="58" spans="8:23">
      <c r="U58" s="5">
        <v>6</v>
      </c>
      <c r="V58" s="5">
        <v>0.49826104888234679</v>
      </c>
      <c r="W58" s="5">
        <v>-0.46713560911875646</v>
      </c>
    </row>
    <row r="59" spans="8:23">
      <c r="U59" s="5">
        <v>7</v>
      </c>
      <c r="V59" s="5">
        <v>0.55984435027980095</v>
      </c>
      <c r="W59" s="5">
        <v>-0.2034318457595109</v>
      </c>
    </row>
    <row r="60" spans="8:23">
      <c r="U60" s="5">
        <v>8</v>
      </c>
      <c r="V60" s="5">
        <v>0.68740976031738521</v>
      </c>
      <c r="W60" s="5">
        <v>0.28266098017857333</v>
      </c>
    </row>
    <row r="61" spans="8:23">
      <c r="U61" s="5">
        <v>9</v>
      </c>
      <c r="V61" s="5">
        <v>0.98212984557663119</v>
      </c>
      <c r="W61" s="5">
        <v>-0.31678122804430919</v>
      </c>
    </row>
    <row r="62" spans="8:23">
      <c r="U62" s="5">
        <v>10</v>
      </c>
      <c r="V62" s="5">
        <v>1.061308375944787</v>
      </c>
      <c r="W62" s="5">
        <v>3.0924784880014489E-2</v>
      </c>
    </row>
    <row r="63" spans="8:23">
      <c r="U63" s="5">
        <v>11</v>
      </c>
      <c r="V63" s="5">
        <v>1.4220105698441627</v>
      </c>
      <c r="W63" s="5">
        <v>-9.7880066341970773E-2</v>
      </c>
    </row>
    <row r="64" spans="8:23">
      <c r="U64" s="5">
        <v>12</v>
      </c>
      <c r="V64" s="5">
        <v>1.6199568957645518</v>
      </c>
      <c r="W64" s="5">
        <v>-0.84880140389724057</v>
      </c>
    </row>
    <row r="65" spans="21:23">
      <c r="U65" s="5">
        <v>13</v>
      </c>
      <c r="V65" s="5">
        <v>1.9146769810237978</v>
      </c>
      <c r="W65" s="5">
        <v>0.50625966526810595</v>
      </c>
    </row>
    <row r="66" spans="21:23">
      <c r="U66" s="5">
        <v>14</v>
      </c>
      <c r="V66" s="5">
        <v>2.1214209214295376</v>
      </c>
      <c r="W66" s="5">
        <v>0.64152597806339351</v>
      </c>
    </row>
    <row r="67" spans="21:23">
      <c r="U67" s="5">
        <v>15</v>
      </c>
      <c r="V67" s="5">
        <v>2.3897481632327322</v>
      </c>
      <c r="W67" s="5">
        <v>-0.97941272361293619</v>
      </c>
    </row>
    <row r="68" spans="21:23" ht="15" thickBot="1">
      <c r="U68" s="6">
        <v>16</v>
      </c>
      <c r="V68" s="6">
        <v>2.4777243080862381</v>
      </c>
      <c r="W68" s="6">
        <v>0.79870067445330317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6652C-BCA4-4E02-A274-D0957EB47DD7}">
  <dimension ref="A1:AT50"/>
  <sheetViews>
    <sheetView topLeftCell="V1" zoomScale="85" zoomScaleNormal="85" workbookViewId="0">
      <selection activeCell="R14" sqref="R14"/>
    </sheetView>
  </sheetViews>
  <sheetFormatPr defaultRowHeight="14.4"/>
  <cols>
    <col min="6" max="6" width="20.33203125" customWidth="1"/>
    <col min="7" max="7" width="16.33203125" customWidth="1"/>
    <col min="14" max="14" width="9" customWidth="1"/>
    <col min="15" max="15" width="24.88671875" bestFit="1" customWidth="1"/>
    <col min="16" max="16" width="16" bestFit="1" customWidth="1"/>
    <col min="17" max="17" width="21" bestFit="1" customWidth="1"/>
    <col min="18" max="18" width="14.21875" bestFit="1" customWidth="1"/>
    <col min="19" max="19" width="11.6640625" customWidth="1"/>
    <col min="20" max="20" width="17" customWidth="1"/>
    <col min="21" max="21" width="15.33203125" customWidth="1"/>
    <col min="22" max="22" width="13.88671875" bestFit="1" customWidth="1"/>
    <col min="23" max="23" width="14.109375" bestFit="1" customWidth="1"/>
    <col min="27" max="27" width="24.88671875" bestFit="1" customWidth="1"/>
    <col min="28" max="28" width="18.88671875" bestFit="1" customWidth="1"/>
    <col min="29" max="29" width="41.77734375" bestFit="1" customWidth="1"/>
    <col min="30" max="30" width="14.21875" bestFit="1" customWidth="1"/>
    <col min="31" max="31" width="12" bestFit="1" customWidth="1"/>
    <col min="32" max="32" width="13.5546875" bestFit="1" customWidth="1"/>
    <col min="33" max="33" width="12.5546875" bestFit="1" customWidth="1"/>
    <col min="34" max="34" width="26.21875" customWidth="1"/>
    <col min="35" max="35" width="18.77734375" customWidth="1"/>
    <col min="38" max="38" width="25.88671875" bestFit="1" customWidth="1"/>
    <col min="39" max="39" width="16.88671875" bestFit="1" customWidth="1"/>
    <col min="40" max="40" width="22.109375" bestFit="1" customWidth="1"/>
    <col min="41" max="41" width="15.109375" bestFit="1" customWidth="1"/>
    <col min="42" max="42" width="12.44140625" bestFit="1" customWidth="1"/>
    <col min="43" max="43" width="14.44140625" bestFit="1" customWidth="1"/>
    <col min="44" max="44" width="13" bestFit="1" customWidth="1"/>
    <col min="45" max="45" width="14.6640625" bestFit="1" customWidth="1"/>
    <col min="46" max="46" width="14.77734375" bestFit="1" customWidth="1"/>
  </cols>
  <sheetData>
    <row r="1" spans="1:39">
      <c r="A1" s="3" t="s">
        <v>0</v>
      </c>
      <c r="B1" s="3" t="s">
        <v>1</v>
      </c>
      <c r="C1" s="13" t="s">
        <v>35</v>
      </c>
      <c r="D1" t="s">
        <v>72</v>
      </c>
      <c r="E1" t="s">
        <v>38</v>
      </c>
      <c r="F1" t="s">
        <v>70</v>
      </c>
      <c r="G1" t="s">
        <v>71</v>
      </c>
      <c r="H1" t="s">
        <v>38</v>
      </c>
      <c r="J1" t="s">
        <v>74</v>
      </c>
      <c r="K1" t="s">
        <v>75</v>
      </c>
      <c r="L1" t="s">
        <v>76</v>
      </c>
    </row>
    <row r="2" spans="1:39">
      <c r="A2" s="4">
        <v>0.3</v>
      </c>
      <c r="B2" s="4">
        <v>3.9</v>
      </c>
      <c r="C2" s="13">
        <f>SQRT(0.793181277462864)</f>
        <v>0.89060725208301783</v>
      </c>
      <c r="D2">
        <f>A2/$C$2</f>
        <v>0.3368488178131695</v>
      </c>
      <c r="E2">
        <f>B2/$C$2</f>
        <v>4.3790346315712032</v>
      </c>
      <c r="F2" s="5">
        <v>0.91981521475442118</v>
      </c>
      <c r="G2">
        <f>A2/$F$2</f>
        <v>0.32615246539501536</v>
      </c>
      <c r="H2">
        <f>B2/$F$2</f>
        <v>4.2399820501351995</v>
      </c>
    </row>
    <row r="3" spans="1:39">
      <c r="A3" s="4">
        <v>0.1</v>
      </c>
      <c r="B3" s="4">
        <v>5</v>
      </c>
      <c r="D3">
        <f t="shared" ref="D3:D17" si="0">A3/$C$2</f>
        <v>0.11228293927105651</v>
      </c>
      <c r="E3">
        <f t="shared" ref="E3:E17" si="1">B3/$C$2</f>
        <v>5.6141469635528249</v>
      </c>
      <c r="G3">
        <f t="shared" ref="G3:G17" si="2">A3/$F$2</f>
        <v>0.10871748846500513</v>
      </c>
      <c r="H3">
        <f t="shared" ref="H3:H17" si="3">B3/$F$2</f>
        <v>5.4358744232502563</v>
      </c>
      <c r="I3" t="s">
        <v>51</v>
      </c>
    </row>
    <row r="4" spans="1:39">
      <c r="A4" s="4">
        <v>1</v>
      </c>
      <c r="B4" s="4">
        <v>7.2</v>
      </c>
      <c r="D4">
        <f t="shared" si="0"/>
        <v>1.122829392710565</v>
      </c>
      <c r="E4">
        <f t="shared" si="1"/>
        <v>8.0843716275160684</v>
      </c>
      <c r="G4">
        <f t="shared" si="2"/>
        <v>1.0871748846500513</v>
      </c>
      <c r="H4">
        <f t="shared" si="3"/>
        <v>7.827659169480369</v>
      </c>
      <c r="I4" t="s">
        <v>52</v>
      </c>
    </row>
    <row r="5" spans="1:39">
      <c r="A5" s="4">
        <v>0.8</v>
      </c>
      <c r="B5" s="4">
        <v>10</v>
      </c>
      <c r="D5">
        <f t="shared" si="0"/>
        <v>0.89826351416845207</v>
      </c>
      <c r="E5">
        <f t="shared" si="1"/>
        <v>11.22829392710565</v>
      </c>
      <c r="G5">
        <f t="shared" si="2"/>
        <v>0.86973990772004106</v>
      </c>
      <c r="H5">
        <f t="shared" si="3"/>
        <v>10.871748846500513</v>
      </c>
      <c r="I5" t="s">
        <v>56</v>
      </c>
    </row>
    <row r="6" spans="1:39">
      <c r="A6" s="4">
        <v>2.2000000000000002</v>
      </c>
      <c r="B6" s="4">
        <v>13.3</v>
      </c>
      <c r="D6">
        <f t="shared" si="0"/>
        <v>2.470224663963243</v>
      </c>
      <c r="E6">
        <f t="shared" si="1"/>
        <v>14.933630923050515</v>
      </c>
      <c r="G6">
        <f t="shared" si="2"/>
        <v>2.3917847462301132</v>
      </c>
      <c r="H6">
        <f t="shared" si="3"/>
        <v>14.459425965845682</v>
      </c>
    </row>
    <row r="7" spans="1:39">
      <c r="A7" s="4">
        <v>2.5</v>
      </c>
      <c r="B7" s="4">
        <v>18</v>
      </c>
      <c r="D7">
        <f t="shared" si="0"/>
        <v>2.8070734817764125</v>
      </c>
      <c r="E7">
        <f t="shared" si="1"/>
        <v>20.210929068790172</v>
      </c>
      <c r="G7">
        <f t="shared" si="2"/>
        <v>2.7179372116251281</v>
      </c>
      <c r="H7">
        <f t="shared" si="3"/>
        <v>19.569147923700925</v>
      </c>
    </row>
    <row r="8" spans="1:39">
      <c r="A8" s="4">
        <v>2</v>
      </c>
      <c r="B8" s="4">
        <v>19.399999999999999</v>
      </c>
      <c r="D8">
        <f t="shared" si="0"/>
        <v>2.2456587854211301</v>
      </c>
      <c r="E8">
        <f t="shared" si="1"/>
        <v>21.78289021858496</v>
      </c>
      <c r="G8">
        <f t="shared" si="2"/>
        <v>2.1743497693001026</v>
      </c>
      <c r="H8">
        <f t="shared" si="3"/>
        <v>21.091192762210994</v>
      </c>
    </row>
    <row r="9" spans="1:39">
      <c r="A9" s="4">
        <v>3.8</v>
      </c>
      <c r="B9" s="4">
        <v>22.3</v>
      </c>
      <c r="D9">
        <f t="shared" si="0"/>
        <v>4.2667516923001472</v>
      </c>
      <c r="E9">
        <f t="shared" si="1"/>
        <v>25.039095457445601</v>
      </c>
      <c r="G9">
        <f t="shared" si="2"/>
        <v>4.1312645616701946</v>
      </c>
      <c r="H9">
        <f t="shared" si="3"/>
        <v>24.243999927696144</v>
      </c>
      <c r="O9" t="s">
        <v>2</v>
      </c>
      <c r="P9" s="13" t="s">
        <v>54</v>
      </c>
    </row>
    <row r="10" spans="1:39" ht="15" thickBot="1">
      <c r="A10" s="4">
        <v>3.1</v>
      </c>
      <c r="B10" s="4">
        <v>29</v>
      </c>
      <c r="D10">
        <f t="shared" si="0"/>
        <v>3.4807711174027518</v>
      </c>
      <c r="E10">
        <f t="shared" si="1"/>
        <v>32.562052388606382</v>
      </c>
      <c r="G10">
        <f t="shared" si="2"/>
        <v>3.370242142415159</v>
      </c>
      <c r="H10">
        <f t="shared" si="3"/>
        <v>31.528071654851487</v>
      </c>
      <c r="AA10" t="s">
        <v>2</v>
      </c>
      <c r="AB10" t="s">
        <v>53</v>
      </c>
      <c r="AC10" s="15" t="s">
        <v>55</v>
      </c>
    </row>
    <row r="11" spans="1:39" ht="15" thickBot="1">
      <c r="A11" s="4">
        <v>5</v>
      </c>
      <c r="B11" s="4">
        <v>30.8</v>
      </c>
      <c r="D11">
        <f t="shared" si="0"/>
        <v>5.6141469635528249</v>
      </c>
      <c r="E11">
        <f t="shared" si="1"/>
        <v>34.583145295485402</v>
      </c>
      <c r="G11">
        <f t="shared" si="2"/>
        <v>5.4358744232502563</v>
      </c>
      <c r="H11">
        <f t="shared" si="3"/>
        <v>33.48498644722158</v>
      </c>
      <c r="J11" s="5"/>
      <c r="O11" s="8" t="s">
        <v>3</v>
      </c>
      <c r="P11" s="8"/>
      <c r="AL11" t="s">
        <v>2</v>
      </c>
      <c r="AM11" t="s">
        <v>73</v>
      </c>
    </row>
    <row r="12" spans="1:39" ht="15" thickBot="1">
      <c r="A12" s="4">
        <v>6.2</v>
      </c>
      <c r="B12" s="4">
        <v>39</v>
      </c>
      <c r="D12">
        <f t="shared" si="0"/>
        <v>6.9615422348055036</v>
      </c>
      <c r="E12">
        <f t="shared" si="1"/>
        <v>43.790346315712036</v>
      </c>
      <c r="G12">
        <f t="shared" si="2"/>
        <v>6.7404842848303179</v>
      </c>
      <c r="H12">
        <f t="shared" si="3"/>
        <v>42.399820501352004</v>
      </c>
      <c r="O12" s="5" t="s">
        <v>4</v>
      </c>
      <c r="P12" s="5">
        <v>0.94775108305807998</v>
      </c>
      <c r="AA12" s="8" t="s">
        <v>3</v>
      </c>
      <c r="AB12" s="8"/>
    </row>
    <row r="13" spans="1:39">
      <c r="A13" s="4">
        <v>5</v>
      </c>
      <c r="B13" s="4">
        <v>43.5</v>
      </c>
      <c r="D13">
        <f t="shared" si="0"/>
        <v>5.6141469635528249</v>
      </c>
      <c r="E13">
        <f t="shared" si="1"/>
        <v>48.843078582909577</v>
      </c>
      <c r="G13">
        <f t="shared" si="2"/>
        <v>5.4358744232502563</v>
      </c>
      <c r="H13">
        <f t="shared" si="3"/>
        <v>47.292107482277231</v>
      </c>
      <c r="O13" s="5" t="s">
        <v>5</v>
      </c>
      <c r="P13" s="5">
        <v>0.8982321154377636</v>
      </c>
      <c r="AA13" s="5" t="s">
        <v>4</v>
      </c>
      <c r="AB13" s="5">
        <v>0.94775108305807998</v>
      </c>
      <c r="AL13" s="8" t="s">
        <v>3</v>
      </c>
      <c r="AM13" s="8"/>
    </row>
    <row r="14" spans="1:39">
      <c r="A14" s="4">
        <v>5.3</v>
      </c>
      <c r="B14" s="4">
        <v>50.2</v>
      </c>
      <c r="D14">
        <f t="shared" si="0"/>
        <v>5.9509957813659939</v>
      </c>
      <c r="E14">
        <f t="shared" si="1"/>
        <v>56.366035514070369</v>
      </c>
      <c r="G14">
        <f t="shared" si="2"/>
        <v>5.7620268886452717</v>
      </c>
      <c r="H14">
        <f t="shared" si="3"/>
        <v>54.576179209432574</v>
      </c>
      <c r="O14" s="5" t="s">
        <v>6</v>
      </c>
      <c r="P14" s="5">
        <v>0.8909629808261752</v>
      </c>
      <c r="AA14" s="5" t="s">
        <v>5</v>
      </c>
      <c r="AB14" s="5">
        <v>0.89823211543776371</v>
      </c>
      <c r="AL14" s="5" t="s">
        <v>4</v>
      </c>
      <c r="AM14" s="5">
        <v>0.94775108305807998</v>
      </c>
    </row>
    <row r="15" spans="1:39">
      <c r="A15" s="4">
        <v>8.8000000000000007</v>
      </c>
      <c r="B15" s="4">
        <v>54.9</v>
      </c>
      <c r="D15">
        <f t="shared" si="0"/>
        <v>9.8808986558529721</v>
      </c>
      <c r="E15">
        <f t="shared" si="1"/>
        <v>61.643333659810018</v>
      </c>
      <c r="G15">
        <f t="shared" si="2"/>
        <v>9.5671389849204527</v>
      </c>
      <c r="H15">
        <f t="shared" si="3"/>
        <v>59.685901167287817</v>
      </c>
      <c r="O15" s="5" t="s">
        <v>7</v>
      </c>
      <c r="P15" s="5">
        <v>0.95209920099167611</v>
      </c>
      <c r="AA15" s="5" t="s">
        <v>6</v>
      </c>
      <c r="AB15" s="5">
        <v>0.89096298082617531</v>
      </c>
      <c r="AL15" s="5" t="s">
        <v>5</v>
      </c>
      <c r="AM15" s="5">
        <v>0.89823211543776371</v>
      </c>
    </row>
    <row r="16" spans="1:39" ht="15" thickBot="1">
      <c r="A16" s="4">
        <v>9.1999999999999993</v>
      </c>
      <c r="B16" s="4">
        <v>61</v>
      </c>
      <c r="D16">
        <f t="shared" si="0"/>
        <v>10.330030412937198</v>
      </c>
      <c r="E16">
        <f t="shared" si="1"/>
        <v>68.492592955344463</v>
      </c>
      <c r="G16">
        <f t="shared" si="2"/>
        <v>10.00200893878047</v>
      </c>
      <c r="H16">
        <f t="shared" si="3"/>
        <v>66.317667963653122</v>
      </c>
      <c r="O16" s="6" t="s">
        <v>8</v>
      </c>
      <c r="P16" s="6">
        <v>16</v>
      </c>
      <c r="AA16" s="5" t="s">
        <v>7</v>
      </c>
      <c r="AB16" s="5">
        <v>1.069044967649698</v>
      </c>
      <c r="AL16" s="5" t="s">
        <v>6</v>
      </c>
      <c r="AM16" s="5">
        <v>0.89096298082617531</v>
      </c>
    </row>
    <row r="17" spans="1:46" ht="15" thickBot="1">
      <c r="A17" s="4">
        <v>6.8</v>
      </c>
      <c r="B17" s="4">
        <v>63</v>
      </c>
      <c r="D17">
        <f t="shared" si="0"/>
        <v>7.6352398704318416</v>
      </c>
      <c r="E17">
        <f t="shared" si="1"/>
        <v>70.738251740765591</v>
      </c>
      <c r="G17">
        <f t="shared" si="2"/>
        <v>7.3927892156203487</v>
      </c>
      <c r="H17">
        <f t="shared" si="3"/>
        <v>68.492017732953229</v>
      </c>
      <c r="AA17" s="6" t="s">
        <v>8</v>
      </c>
      <c r="AB17" s="6">
        <v>16</v>
      </c>
      <c r="AL17" s="5" t="s">
        <v>7</v>
      </c>
      <c r="AM17" s="5">
        <v>1.0350983390135311</v>
      </c>
    </row>
    <row r="18" spans="1:46" ht="15" thickBot="1">
      <c r="O18" t="s">
        <v>9</v>
      </c>
      <c r="AL18" s="6" t="s">
        <v>8</v>
      </c>
      <c r="AM18" s="6">
        <v>16</v>
      </c>
    </row>
    <row r="19" spans="1:46" ht="15" thickBot="1">
      <c r="O19" s="7"/>
      <c r="P19" s="7" t="s">
        <v>14</v>
      </c>
      <c r="Q19" s="7" t="s">
        <v>15</v>
      </c>
      <c r="R19" s="7" t="s">
        <v>16</v>
      </c>
      <c r="S19" s="7" t="s">
        <v>17</v>
      </c>
      <c r="T19" s="7" t="s">
        <v>18</v>
      </c>
      <c r="AA19" t="s">
        <v>9</v>
      </c>
    </row>
    <row r="20" spans="1:46" ht="15" thickBot="1">
      <c r="O20" s="5" t="s">
        <v>10</v>
      </c>
      <c r="P20" s="5">
        <v>1</v>
      </c>
      <c r="Q20" s="5">
        <v>112.01347456059415</v>
      </c>
      <c r="R20" s="5">
        <v>112.01347456059415</v>
      </c>
      <c r="S20" s="5">
        <v>123.56795731995656</v>
      </c>
      <c r="T20" s="5">
        <v>2.4812980161968888E-8</v>
      </c>
      <c r="AA20" s="7"/>
      <c r="AB20" s="7" t="s">
        <v>14</v>
      </c>
      <c r="AC20" s="7" t="s">
        <v>15</v>
      </c>
      <c r="AD20" s="7" t="s">
        <v>16</v>
      </c>
      <c r="AE20" s="7" t="s">
        <v>17</v>
      </c>
      <c r="AF20" s="7" t="s">
        <v>18</v>
      </c>
      <c r="AL20" t="s">
        <v>9</v>
      </c>
    </row>
    <row r="21" spans="1:46">
      <c r="O21" s="5" t="s">
        <v>11</v>
      </c>
      <c r="P21" s="5">
        <v>14</v>
      </c>
      <c r="Q21" s="5">
        <v>12.690900439405834</v>
      </c>
      <c r="R21" s="5">
        <v>0.90649288852898813</v>
      </c>
      <c r="S21" s="5"/>
      <c r="T21" s="5"/>
      <c r="AA21" s="5" t="s">
        <v>10</v>
      </c>
      <c r="AB21" s="5">
        <v>1</v>
      </c>
      <c r="AC21" s="5">
        <v>141.22052265137904</v>
      </c>
      <c r="AD21" s="5">
        <v>141.22052265137904</v>
      </c>
      <c r="AE21" s="5">
        <v>123.56795731995658</v>
      </c>
      <c r="AF21" s="5">
        <v>2.4812980161968795E-8</v>
      </c>
      <c r="AL21" s="7"/>
      <c r="AM21" s="7" t="s">
        <v>14</v>
      </c>
      <c r="AN21" s="7" t="s">
        <v>15</v>
      </c>
      <c r="AO21" s="7" t="s">
        <v>16</v>
      </c>
      <c r="AP21" s="7" t="s">
        <v>17</v>
      </c>
      <c r="AQ21" s="7" t="s">
        <v>18</v>
      </c>
    </row>
    <row r="22" spans="1:46" ht="15" thickBot="1">
      <c r="O22" s="6" t="s">
        <v>12</v>
      </c>
      <c r="P22" s="6">
        <v>15</v>
      </c>
      <c r="Q22" s="6">
        <v>124.70437499999998</v>
      </c>
      <c r="R22" s="6"/>
      <c r="S22" s="6"/>
      <c r="T22" s="6"/>
      <c r="AA22" s="5" t="s">
        <v>11</v>
      </c>
      <c r="AB22" s="5">
        <v>14</v>
      </c>
      <c r="AC22" s="5">
        <v>16.000000000000011</v>
      </c>
      <c r="AD22" s="5">
        <v>1.1428571428571437</v>
      </c>
      <c r="AE22" s="5"/>
      <c r="AF22" s="5"/>
      <c r="AL22" s="5" t="s">
        <v>10</v>
      </c>
      <c r="AM22" s="5">
        <v>1</v>
      </c>
      <c r="AN22" s="5">
        <v>132.39423998566781</v>
      </c>
      <c r="AO22" s="5">
        <v>132.39423998566781</v>
      </c>
      <c r="AP22" s="5">
        <v>123.56795731995665</v>
      </c>
      <c r="AQ22" s="5">
        <v>2.4812980161968709E-8</v>
      </c>
    </row>
    <row r="23" spans="1:46" ht="15" thickBot="1">
      <c r="AA23" s="6" t="s">
        <v>12</v>
      </c>
      <c r="AB23" s="6">
        <v>15</v>
      </c>
      <c r="AC23" s="6">
        <v>157.22052265137904</v>
      </c>
      <c r="AD23" s="6"/>
      <c r="AE23" s="6"/>
      <c r="AF23" s="6"/>
      <c r="AL23" s="5" t="s">
        <v>11</v>
      </c>
      <c r="AM23" s="5">
        <v>14</v>
      </c>
      <c r="AN23" s="5">
        <v>14.999999999999996</v>
      </c>
      <c r="AO23" s="5">
        <v>1.0714285714285712</v>
      </c>
      <c r="AP23" s="5"/>
      <c r="AQ23" s="5"/>
    </row>
    <row r="24" spans="1:46" ht="15" thickBot="1">
      <c r="O24" s="7"/>
      <c r="P24" s="7" t="s">
        <v>19</v>
      </c>
      <c r="Q24" s="7" t="s">
        <v>7</v>
      </c>
      <c r="R24" s="7" t="s">
        <v>20</v>
      </c>
      <c r="S24" s="7" t="s">
        <v>21</v>
      </c>
      <c r="T24" s="7" t="s">
        <v>22</v>
      </c>
      <c r="U24" s="7" t="s">
        <v>23</v>
      </c>
      <c r="V24" s="7" t="s">
        <v>24</v>
      </c>
      <c r="W24" s="7" t="s">
        <v>25</v>
      </c>
      <c r="AL24" s="6" t="s">
        <v>12</v>
      </c>
      <c r="AM24" s="6">
        <v>15</v>
      </c>
      <c r="AN24" s="6">
        <v>147.39423998566781</v>
      </c>
      <c r="AO24" s="6"/>
      <c r="AP24" s="6"/>
      <c r="AQ24" s="6"/>
    </row>
    <row r="25" spans="1:46" ht="15" thickBot="1">
      <c r="O25" s="5" t="s">
        <v>13</v>
      </c>
      <c r="P25" s="14">
        <v>-8.480596486844183E-2</v>
      </c>
      <c r="Q25" s="5">
        <v>0.42889502375879246</v>
      </c>
      <c r="R25" s="5">
        <v>-0.19773128660997499</v>
      </c>
      <c r="S25" s="5">
        <v>0.84609752696310747</v>
      </c>
      <c r="T25" s="5">
        <v>-1.0046943023404902</v>
      </c>
      <c r="U25" s="5">
        <v>0.83508237260360663</v>
      </c>
      <c r="V25" s="5">
        <v>-1.0046943023404902</v>
      </c>
      <c r="W25" s="5">
        <v>0.83508237260360663</v>
      </c>
      <c r="AA25" s="7"/>
      <c r="AB25" s="7" t="s">
        <v>19</v>
      </c>
      <c r="AC25" s="7" t="s">
        <v>7</v>
      </c>
      <c r="AD25" s="7" t="s">
        <v>20</v>
      </c>
      <c r="AE25" s="7" t="s">
        <v>21</v>
      </c>
      <c r="AF25" s="7" t="s">
        <v>22</v>
      </c>
      <c r="AG25" s="7" t="s">
        <v>23</v>
      </c>
      <c r="AH25" s="7" t="s">
        <v>24</v>
      </c>
      <c r="AI25" s="7" t="s">
        <v>25</v>
      </c>
    </row>
    <row r="26" spans="1:46" ht="15" thickBot="1">
      <c r="O26" s="6" t="s">
        <v>26</v>
      </c>
      <c r="P26" s="6">
        <v>0.13487119115386836</v>
      </c>
      <c r="Q26" s="6">
        <v>1.2132945851414955E-2</v>
      </c>
      <c r="R26" s="6">
        <v>11.116112509324317</v>
      </c>
      <c r="S26" s="6">
        <v>2.4812980161968888E-8</v>
      </c>
      <c r="T26" s="6">
        <v>0.10884861040652602</v>
      </c>
      <c r="U26" s="6">
        <v>0.16089377190121071</v>
      </c>
      <c r="V26" s="6">
        <v>0.10884861040652602</v>
      </c>
      <c r="W26" s="6">
        <v>0.16089377190121071</v>
      </c>
      <c r="AA26" s="5" t="s">
        <v>13</v>
      </c>
      <c r="AB26" s="14">
        <v>-9.5222630031464028E-2</v>
      </c>
      <c r="AC26" s="5">
        <v>0.48157593906366808</v>
      </c>
      <c r="AD26" s="5">
        <v>-0.19773128660997089</v>
      </c>
      <c r="AE26" s="5">
        <v>0.84609752696311058</v>
      </c>
      <c r="AF26" s="5">
        <v>-1.128100293356735</v>
      </c>
      <c r="AG26" s="5">
        <v>0.93765503329380695</v>
      </c>
      <c r="AH26" s="5">
        <v>-1.128100293356735</v>
      </c>
      <c r="AI26" s="5">
        <v>0.93765503329380695</v>
      </c>
      <c r="AL26" s="7"/>
      <c r="AM26" s="7" t="s">
        <v>19</v>
      </c>
      <c r="AN26" s="7" t="s">
        <v>7</v>
      </c>
      <c r="AO26" s="7" t="s">
        <v>20</v>
      </c>
      <c r="AP26" s="7" t="s">
        <v>21</v>
      </c>
      <c r="AQ26" s="7" t="s">
        <v>22</v>
      </c>
      <c r="AR26" s="7" t="s">
        <v>23</v>
      </c>
      <c r="AS26" s="7" t="s">
        <v>24</v>
      </c>
      <c r="AT26" s="7" t="s">
        <v>25</v>
      </c>
    </row>
    <row r="27" spans="1:46" ht="15" thickBot="1">
      <c r="AA27" s="6" t="s">
        <v>26</v>
      </c>
      <c r="AB27" s="6">
        <v>0.13487119115386834</v>
      </c>
      <c r="AC27" s="6">
        <v>1.2132945851414953E-2</v>
      </c>
      <c r="AD27" s="6">
        <v>11.116112509324317</v>
      </c>
      <c r="AE27" s="6">
        <v>2.4812980161968888E-8</v>
      </c>
      <c r="AF27" s="6">
        <v>0.10884861040652599</v>
      </c>
      <c r="AG27" s="6">
        <v>0.16089377190121068</v>
      </c>
      <c r="AH27" s="6">
        <v>0.10884861040652599</v>
      </c>
      <c r="AI27" s="6">
        <v>0.16089377190121068</v>
      </c>
      <c r="AL27" s="5" t="s">
        <v>13</v>
      </c>
      <c r="AM27" s="5">
        <v>-9.2198915073483434E-2</v>
      </c>
      <c r="AN27" s="5">
        <v>0.46628389798194597</v>
      </c>
      <c r="AO27" s="5">
        <v>-0.19773128660997272</v>
      </c>
      <c r="AP27" s="5">
        <v>0.84609752696310925</v>
      </c>
      <c r="AQ27" s="5">
        <v>-1.0922784122555846</v>
      </c>
      <c r="AR27" s="5">
        <v>0.90788058210861777</v>
      </c>
      <c r="AS27" s="5">
        <v>-1.0922784122555846</v>
      </c>
      <c r="AT27" s="5">
        <v>0.90788058210861777</v>
      </c>
    </row>
    <row r="28" spans="1:46" ht="15" thickBot="1">
      <c r="AL28" s="6" t="s">
        <v>26</v>
      </c>
      <c r="AM28" s="6">
        <v>0.13487119115386834</v>
      </c>
      <c r="AN28" s="6">
        <v>1.213294585141495E-2</v>
      </c>
      <c r="AO28" s="6">
        <v>11.116112509324321</v>
      </c>
      <c r="AP28" s="6">
        <v>2.4812980161968709E-8</v>
      </c>
      <c r="AQ28" s="6">
        <v>0.10884861040652601</v>
      </c>
      <c r="AR28" s="6">
        <v>0.16089377190121068</v>
      </c>
      <c r="AS28" s="6">
        <v>0.10884861040652601</v>
      </c>
      <c r="AT28" s="6">
        <v>0.16089377190121068</v>
      </c>
    </row>
    <row r="30" spans="1:46">
      <c r="O30" t="s">
        <v>27</v>
      </c>
    </row>
    <row r="31" spans="1:46" ht="15" thickBot="1">
      <c r="AA31" t="s">
        <v>27</v>
      </c>
    </row>
    <row r="32" spans="1:46" ht="15" thickBot="1">
      <c r="O32" s="7" t="s">
        <v>28</v>
      </c>
      <c r="P32" s="7" t="s">
        <v>29</v>
      </c>
      <c r="Q32" s="7" t="s">
        <v>30</v>
      </c>
      <c r="AL32" t="s">
        <v>27</v>
      </c>
    </row>
    <row r="33" spans="15:40" ht="15" thickBot="1">
      <c r="O33" s="5">
        <v>1</v>
      </c>
      <c r="P33" s="5">
        <v>0.44119168063164482</v>
      </c>
      <c r="Q33" s="5">
        <v>-0.14119168063164483</v>
      </c>
      <c r="AA33" s="7" t="s">
        <v>28</v>
      </c>
      <c r="AB33" s="7" t="s">
        <v>29</v>
      </c>
      <c r="AC33" s="7" t="s">
        <v>30</v>
      </c>
    </row>
    <row r="34" spans="15:40">
      <c r="O34" s="5">
        <v>2</v>
      </c>
      <c r="P34" s="5">
        <v>0.58954999090089999</v>
      </c>
      <c r="Q34" s="5">
        <v>-0.48954999090090001</v>
      </c>
      <c r="AA34" s="5">
        <v>1</v>
      </c>
      <c r="AB34" s="5">
        <v>0.49538298683258508</v>
      </c>
      <c r="AC34" s="5">
        <v>-0.15853416901941558</v>
      </c>
      <c r="AL34" s="7" t="s">
        <v>28</v>
      </c>
      <c r="AM34" s="7" t="s">
        <v>29</v>
      </c>
      <c r="AN34" s="7" t="s">
        <v>30</v>
      </c>
    </row>
    <row r="35" spans="15:40">
      <c r="O35" s="5">
        <v>3</v>
      </c>
      <c r="P35" s="5">
        <v>0.88626661143941043</v>
      </c>
      <c r="Q35" s="5">
        <v>0.11373338856058957</v>
      </c>
      <c r="AA35" s="5">
        <v>2</v>
      </c>
      <c r="AB35" s="5">
        <v>0.66196405825577853</v>
      </c>
      <c r="AC35" s="5">
        <v>-0.54968111898472205</v>
      </c>
      <c r="AL35" s="5">
        <v>1</v>
      </c>
      <c r="AM35" s="5">
        <v>0.4796525144992716</v>
      </c>
      <c r="AN35" s="5">
        <v>-0.15350004910425624</v>
      </c>
    </row>
    <row r="36" spans="15:40">
      <c r="O36" s="5">
        <v>4</v>
      </c>
      <c r="P36" s="5">
        <v>1.2639059466702418</v>
      </c>
      <c r="Q36" s="5">
        <v>-0.46390594667024176</v>
      </c>
      <c r="AA36" s="5">
        <v>3</v>
      </c>
      <c r="AB36" s="5">
        <v>0.99512620110216532</v>
      </c>
      <c r="AC36" s="5">
        <v>0.12770319160839971</v>
      </c>
      <c r="AL36" s="5">
        <v>2</v>
      </c>
      <c r="AM36" s="5">
        <v>0.64094394335312566</v>
      </c>
      <c r="AN36" s="5">
        <v>-0.53222645488812048</v>
      </c>
    </row>
    <row r="37" spans="15:40">
      <c r="O37" s="5">
        <v>5</v>
      </c>
      <c r="P37" s="5">
        <v>1.7089808774780075</v>
      </c>
      <c r="Q37" s="5">
        <v>0.49101912252199265</v>
      </c>
      <c r="AA37" s="5">
        <v>4</v>
      </c>
      <c r="AB37" s="5">
        <v>1.4191507465430211</v>
      </c>
      <c r="AC37" s="5">
        <v>-0.52088723237456902</v>
      </c>
      <c r="AL37" s="5">
        <v>3</v>
      </c>
      <c r="AM37" s="5">
        <v>0.96352680106083377</v>
      </c>
      <c r="AN37" s="5">
        <v>0.12364808358921753</v>
      </c>
    </row>
    <row r="38" spans="15:40">
      <c r="O38" s="5">
        <v>6</v>
      </c>
      <c r="P38" s="5">
        <v>2.3428754759011885</v>
      </c>
      <c r="Q38" s="5">
        <v>0.1571245240988115</v>
      </c>
      <c r="AA38" s="5">
        <v>5</v>
      </c>
      <c r="AB38" s="5">
        <v>1.9188939608126012</v>
      </c>
      <c r="AC38" s="5">
        <v>0.55133070315064181</v>
      </c>
      <c r="AL38" s="5">
        <v>4</v>
      </c>
      <c r="AM38" s="5">
        <v>1.3740868017797347</v>
      </c>
      <c r="AN38" s="5">
        <v>-0.50434689405969368</v>
      </c>
    </row>
    <row r="39" spans="15:40">
      <c r="O39" s="5">
        <v>7</v>
      </c>
      <c r="P39" s="5">
        <v>2.5316951435166044</v>
      </c>
      <c r="Q39" s="5">
        <v>-0.53169514351660441</v>
      </c>
      <c r="AA39" s="5">
        <v>6</v>
      </c>
      <c r="AB39" s="5">
        <v>2.6306494478026092</v>
      </c>
      <c r="AC39" s="5">
        <v>0.17642403397380324</v>
      </c>
      <c r="AL39" s="5">
        <v>5</v>
      </c>
      <c r="AM39" s="5">
        <v>1.8579610883412969</v>
      </c>
      <c r="AN39" s="5">
        <v>0.53382365788881625</v>
      </c>
    </row>
    <row r="40" spans="15:40">
      <c r="O40" s="5">
        <v>8</v>
      </c>
      <c r="P40" s="5">
        <v>2.9228215978628227</v>
      </c>
      <c r="Q40" s="5">
        <v>0.87717840213717713</v>
      </c>
      <c r="AA40" s="5">
        <v>7</v>
      </c>
      <c r="AB40" s="5">
        <v>2.8426617205230369</v>
      </c>
      <c r="AC40" s="5">
        <v>-0.59700293510190683</v>
      </c>
      <c r="AL40" s="5">
        <v>6</v>
      </c>
      <c r="AM40" s="5">
        <v>2.5471153752623095</v>
      </c>
      <c r="AN40" s="5">
        <v>0.17082183636281867</v>
      </c>
    </row>
    <row r="41" spans="15:40">
      <c r="O41" s="5">
        <v>9</v>
      </c>
      <c r="P41" s="5">
        <v>3.8264585785937406</v>
      </c>
      <c r="Q41" s="5">
        <v>-0.72645857859374052</v>
      </c>
      <c r="AA41" s="5">
        <v>8</v>
      </c>
      <c r="AB41" s="5">
        <v>3.2818299997296378</v>
      </c>
      <c r="AC41" s="5">
        <v>0.98492169257050932</v>
      </c>
      <c r="AL41" s="5">
        <v>7</v>
      </c>
      <c r="AM41" s="5">
        <v>2.7523953756217598</v>
      </c>
      <c r="AN41" s="5">
        <v>-0.57804560632165725</v>
      </c>
    </row>
    <row r="42" spans="15:40">
      <c r="O42" s="5">
        <v>10</v>
      </c>
      <c r="P42" s="5">
        <v>4.0692267226707042</v>
      </c>
      <c r="Q42" s="5">
        <v>0.93077327732929582</v>
      </c>
      <c r="AA42" s="5">
        <v>9</v>
      </c>
      <c r="AB42" s="5">
        <v>4.296460162034542</v>
      </c>
      <c r="AC42" s="5">
        <v>-0.81568904463179015</v>
      </c>
      <c r="AL42" s="5">
        <v>8</v>
      </c>
      <c r="AM42" s="5">
        <v>3.1776182335091936</v>
      </c>
      <c r="AN42" s="5">
        <v>0.95364632816100103</v>
      </c>
    </row>
    <row r="43" spans="15:40">
      <c r="O43" s="5">
        <v>11</v>
      </c>
      <c r="P43" s="5">
        <v>5.1751704901324249</v>
      </c>
      <c r="Q43" s="5">
        <v>1.0248295098675753</v>
      </c>
      <c r="AA43" s="5">
        <v>10</v>
      </c>
      <c r="AB43" s="5">
        <v>4.5690473698179499</v>
      </c>
      <c r="AC43" s="5">
        <v>1.045099593734875</v>
      </c>
      <c r="AL43" s="5">
        <v>9</v>
      </c>
      <c r="AM43" s="5">
        <v>4.1600296638008496</v>
      </c>
      <c r="AN43" s="5">
        <v>-0.78978752138569064</v>
      </c>
    </row>
    <row r="44" spans="15:40">
      <c r="O44" s="5">
        <v>12</v>
      </c>
      <c r="P44" s="5">
        <v>5.7820908503248312</v>
      </c>
      <c r="Q44" s="5">
        <v>-0.78209085032483117</v>
      </c>
      <c r="AA44" s="5">
        <v>11</v>
      </c>
      <c r="AB44" s="5">
        <v>5.8108335386090282</v>
      </c>
      <c r="AC44" s="5">
        <v>1.1507086961964754</v>
      </c>
      <c r="AL44" s="5">
        <v>10</v>
      </c>
      <c r="AM44" s="5">
        <v>4.4239610928344284</v>
      </c>
      <c r="AN44" s="5">
        <v>1.0119133304158279</v>
      </c>
    </row>
    <row r="45" spans="15:40">
      <c r="O45" s="5">
        <v>13</v>
      </c>
      <c r="P45" s="5">
        <v>6.6857278310557504</v>
      </c>
      <c r="Q45" s="5">
        <v>-1.3857278310557506</v>
      </c>
      <c r="AA45" s="5">
        <v>12</v>
      </c>
      <c r="AB45" s="5">
        <v>6.4923015580675463</v>
      </c>
      <c r="AC45" s="5">
        <v>-0.87815459451472133</v>
      </c>
      <c r="AL45" s="5">
        <v>11</v>
      </c>
      <c r="AM45" s="5">
        <v>5.6263153806540682</v>
      </c>
      <c r="AN45" s="5">
        <v>1.1141689041762497</v>
      </c>
    </row>
    <row r="46" spans="15:40">
      <c r="O46" s="5">
        <v>14</v>
      </c>
      <c r="P46" s="5">
        <v>7.3196224294789314</v>
      </c>
      <c r="Q46" s="5">
        <v>1.4803775705210693</v>
      </c>
      <c r="AA46" s="5">
        <v>13</v>
      </c>
      <c r="AB46" s="5">
        <v>7.5069317203724522</v>
      </c>
      <c r="AC46" s="5">
        <v>-1.5559359390064582</v>
      </c>
      <c r="AL46" s="5">
        <v>12</v>
      </c>
      <c r="AM46" s="5">
        <v>6.2861439532380157</v>
      </c>
      <c r="AN46" s="5">
        <v>-0.8502695299877594</v>
      </c>
    </row>
    <row r="47" spans="15:40">
      <c r="O47" s="5">
        <v>15</v>
      </c>
      <c r="P47" s="5">
        <v>8.1423366955175283</v>
      </c>
      <c r="Q47" s="5">
        <v>1.057663304482471</v>
      </c>
      <c r="AA47" s="5">
        <v>14</v>
      </c>
      <c r="AB47" s="5">
        <v>8.2186872073624606</v>
      </c>
      <c r="AC47" s="5">
        <v>1.6622114484905115</v>
      </c>
      <c r="AL47" s="5">
        <v>13</v>
      </c>
      <c r="AM47" s="5">
        <v>7.2685553835296721</v>
      </c>
      <c r="AN47" s="5">
        <v>-1.5065284948844004</v>
      </c>
    </row>
    <row r="48" spans="15:40" ht="15" thickBot="1">
      <c r="O48" s="6">
        <v>16</v>
      </c>
      <c r="P48" s="6">
        <v>8.4120790778252648</v>
      </c>
      <c r="Q48" s="6">
        <v>-1.6120790778252649</v>
      </c>
      <c r="AA48" s="5">
        <v>15</v>
      </c>
      <c r="AB48" s="5">
        <v>9.1424549670728936</v>
      </c>
      <c r="AC48" s="5">
        <v>1.1875754458643044</v>
      </c>
      <c r="AL48" s="5">
        <v>14</v>
      </c>
      <c r="AM48" s="5">
        <v>7.9577096704506847</v>
      </c>
      <c r="AN48" s="5">
        <v>1.609429314469768</v>
      </c>
    </row>
    <row r="49" spans="27:40" ht="15" thickBot="1">
      <c r="AA49" s="6">
        <v>16</v>
      </c>
      <c r="AB49" s="6">
        <v>9.4453296423877902</v>
      </c>
      <c r="AC49" s="6">
        <v>-1.8100897719559486</v>
      </c>
      <c r="AL49" s="5">
        <v>15</v>
      </c>
      <c r="AM49" s="5">
        <v>8.8521439577311476</v>
      </c>
      <c r="AN49" s="5">
        <v>1.1498649810493227</v>
      </c>
    </row>
    <row r="50" spans="27:40" ht="15" thickBot="1">
      <c r="AL50" s="6">
        <v>16</v>
      </c>
      <c r="AM50" s="6">
        <v>9.1454011011017915</v>
      </c>
      <c r="AN50" s="6">
        <v>-1.7526118854814428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CF0A1-863A-4B48-994F-4826218E148C}">
  <dimension ref="A1:V81"/>
  <sheetViews>
    <sheetView topLeftCell="A64" zoomScaleNormal="100" workbookViewId="0">
      <selection activeCell="G19" sqref="G19"/>
    </sheetView>
  </sheetViews>
  <sheetFormatPr defaultRowHeight="14.4"/>
  <cols>
    <col min="2" max="2" width="12" bestFit="1" customWidth="1"/>
  </cols>
  <sheetData>
    <row r="1" spans="1:15">
      <c r="A1" s="3" t="s">
        <v>0</v>
      </c>
      <c r="B1" s="3" t="s">
        <v>1</v>
      </c>
      <c r="C1" t="s">
        <v>111</v>
      </c>
      <c r="D1" t="s">
        <v>34</v>
      </c>
      <c r="E1" t="s">
        <v>32</v>
      </c>
      <c r="F1" t="s">
        <v>120</v>
      </c>
    </row>
    <row r="2" spans="1:15">
      <c r="A2" s="4">
        <v>0.3</v>
      </c>
      <c r="B2" s="4">
        <v>3.9</v>
      </c>
      <c r="C2">
        <f>B2^2</f>
        <v>15.209999999999999</v>
      </c>
      <c r="D2">
        <f>COUNT(C2:C17)</f>
        <v>16</v>
      </c>
      <c r="E2">
        <v>1.9935090679588437E-2</v>
      </c>
      <c r="F2">
        <f>E2*B38*1</f>
        <v>7.7746853650394895E-2</v>
      </c>
    </row>
    <row r="3" spans="1:15">
      <c r="A3" s="4">
        <v>0.1</v>
      </c>
      <c r="B3" s="4">
        <v>5</v>
      </c>
      <c r="C3">
        <f t="shared" ref="C3:C17" si="0">B3^2</f>
        <v>25</v>
      </c>
      <c r="E3">
        <v>0.2396591935910713</v>
      </c>
      <c r="F3">
        <f t="shared" ref="F3:F17" si="1">E3*B39*1</f>
        <v>1.1982959679553564</v>
      </c>
    </row>
    <row r="4" spans="1:15">
      <c r="A4" s="4">
        <v>1</v>
      </c>
      <c r="B4" s="4">
        <v>7.2</v>
      </c>
      <c r="C4">
        <f t="shared" si="0"/>
        <v>51.84</v>
      </c>
      <c r="E4">
        <v>1.2935283673474046E-2</v>
      </c>
      <c r="F4">
        <f t="shared" si="1"/>
        <v>9.3134042449013132E-2</v>
      </c>
    </row>
    <row r="5" spans="1:15" ht="15" thickBot="1">
      <c r="A5" s="4">
        <v>0.8</v>
      </c>
      <c r="B5" s="4">
        <v>10</v>
      </c>
      <c r="C5">
        <f t="shared" si="0"/>
        <v>100</v>
      </c>
      <c r="E5">
        <v>0.21520872735601321</v>
      </c>
      <c r="F5">
        <f t="shared" si="1"/>
        <v>2.1520872735601322</v>
      </c>
      <c r="H5" t="s">
        <v>124</v>
      </c>
    </row>
    <row r="6" spans="1:15">
      <c r="A6" s="4">
        <v>2.2000000000000002</v>
      </c>
      <c r="B6" s="4">
        <v>13.3</v>
      </c>
      <c r="C6">
        <f t="shared" si="0"/>
        <v>176.89000000000001</v>
      </c>
      <c r="E6">
        <v>0.24109977868226762</v>
      </c>
      <c r="F6">
        <f t="shared" si="1"/>
        <v>3.2066270564741597</v>
      </c>
      <c r="H6" s="7"/>
      <c r="I6" s="7" t="s">
        <v>0</v>
      </c>
      <c r="J6" s="7" t="s">
        <v>1</v>
      </c>
    </row>
    <row r="7" spans="1:15">
      <c r="A7" s="4">
        <v>2.5</v>
      </c>
      <c r="B7" s="4">
        <v>18</v>
      </c>
      <c r="C7">
        <f t="shared" si="0"/>
        <v>324</v>
      </c>
      <c r="E7">
        <v>2.4688116073277998E-2</v>
      </c>
      <c r="F7">
        <f t="shared" si="1"/>
        <v>0.44438608931900397</v>
      </c>
      <c r="H7" s="5" t="s">
        <v>0</v>
      </c>
      <c r="I7" s="5">
        <f>VARP(Zad10!$A$2:$A$17)</f>
        <v>7.7940234375000035</v>
      </c>
      <c r="J7" s="5"/>
    </row>
    <row r="8" spans="1:15" ht="15" thickBot="1">
      <c r="A8" s="4">
        <v>2</v>
      </c>
      <c r="B8" s="4">
        <v>19.399999999999999</v>
      </c>
      <c r="C8">
        <f t="shared" si="0"/>
        <v>376.35999999999996</v>
      </c>
      <c r="E8">
        <v>0.28269972563914259</v>
      </c>
      <c r="F8">
        <f t="shared" si="1"/>
        <v>5.4843746773993658</v>
      </c>
      <c r="H8" s="6" t="s">
        <v>1</v>
      </c>
      <c r="I8" s="6">
        <v>51.907617187499994</v>
      </c>
      <c r="J8" s="6">
        <f>VARP(Zad10!$B$2:$B$17)</f>
        <v>384.86808593749993</v>
      </c>
    </row>
    <row r="9" spans="1:15">
      <c r="A9" s="4">
        <v>3.8</v>
      </c>
      <c r="B9" s="4">
        <v>22.3</v>
      </c>
      <c r="C9">
        <f t="shared" si="0"/>
        <v>497.29</v>
      </c>
      <c r="E9">
        <v>0.76944194917593123</v>
      </c>
      <c r="F9">
        <f t="shared" si="1"/>
        <v>17.158555466623266</v>
      </c>
    </row>
    <row r="10" spans="1:15">
      <c r="A10" s="4">
        <v>3.1</v>
      </c>
      <c r="B10" s="4">
        <v>29</v>
      </c>
      <c r="C10">
        <f t="shared" si="0"/>
        <v>841</v>
      </c>
      <c r="E10">
        <v>0.52774206641243793</v>
      </c>
      <c r="F10">
        <f t="shared" si="1"/>
        <v>15.304519925960699</v>
      </c>
    </row>
    <row r="11" spans="1:15">
      <c r="A11" s="4">
        <v>5</v>
      </c>
      <c r="B11" s="4">
        <v>30.8</v>
      </c>
      <c r="C11">
        <f t="shared" si="0"/>
        <v>948.6400000000001</v>
      </c>
      <c r="E11">
        <v>0.86633889379031825</v>
      </c>
      <c r="F11">
        <f t="shared" si="1"/>
        <v>26.683237928741804</v>
      </c>
      <c r="O11" t="s">
        <v>110</v>
      </c>
    </row>
    <row r="12" spans="1:15">
      <c r="A12" s="4">
        <v>6.2</v>
      </c>
      <c r="B12" s="4">
        <v>39</v>
      </c>
      <c r="C12">
        <f t="shared" si="0"/>
        <v>1521</v>
      </c>
      <c r="E12">
        <v>1.0502755242954145</v>
      </c>
      <c r="F12">
        <f t="shared" si="1"/>
        <v>40.960745447521163</v>
      </c>
    </row>
    <row r="13" spans="1:15">
      <c r="A13" s="4">
        <v>5</v>
      </c>
      <c r="B13" s="4">
        <v>43.5</v>
      </c>
      <c r="C13">
        <f t="shared" si="0"/>
        <v>1892.25</v>
      </c>
      <c r="E13">
        <v>0.6116660981618175</v>
      </c>
      <c r="F13">
        <f t="shared" si="1"/>
        <v>26.60747527003906</v>
      </c>
    </row>
    <row r="14" spans="1:15">
      <c r="A14" s="4">
        <v>5.3</v>
      </c>
      <c r="B14" s="4">
        <v>50.2</v>
      </c>
      <c r="C14">
        <f t="shared" si="0"/>
        <v>2520.0400000000004</v>
      </c>
      <c r="E14">
        <v>1.9202416217624749</v>
      </c>
      <c r="F14">
        <f t="shared" si="1"/>
        <v>96.396129412476242</v>
      </c>
    </row>
    <row r="15" spans="1:15">
      <c r="A15" s="4">
        <v>8.8000000000000007</v>
      </c>
      <c r="B15" s="4">
        <v>54.9</v>
      </c>
      <c r="C15">
        <f t="shared" si="0"/>
        <v>3014.0099999999998</v>
      </c>
      <c r="E15">
        <v>2.1915177513018635</v>
      </c>
      <c r="F15">
        <f t="shared" si="1"/>
        <v>120.31432454647231</v>
      </c>
    </row>
    <row r="16" spans="1:15">
      <c r="A16" s="4">
        <v>9.1999999999999993</v>
      </c>
      <c r="B16" s="4">
        <v>61</v>
      </c>
      <c r="C16">
        <f t="shared" si="0"/>
        <v>3721</v>
      </c>
      <c r="E16">
        <v>1.1186516656487802</v>
      </c>
      <c r="F16">
        <f t="shared" si="1"/>
        <v>68.237751604575593</v>
      </c>
    </row>
    <row r="17" spans="1:22">
      <c r="A17" s="4">
        <v>6.8</v>
      </c>
      <c r="B17" s="4">
        <v>63</v>
      </c>
      <c r="C17">
        <f t="shared" si="0"/>
        <v>3969</v>
      </c>
      <c r="E17">
        <v>2.5987989531619564</v>
      </c>
      <c r="F17">
        <f t="shared" si="1"/>
        <v>163.72433404920326</v>
      </c>
    </row>
    <row r="18" spans="1:22">
      <c r="A18" t="s">
        <v>112</v>
      </c>
      <c r="B18" s="16">
        <f>SUM(B2:B17)</f>
        <v>470.5</v>
      </c>
      <c r="C18" s="9">
        <f>SUM(C2:C17)</f>
        <v>19993.53</v>
      </c>
      <c r="E18">
        <f>SUM(E2:E17)</f>
        <v>12.69090043940583</v>
      </c>
      <c r="F18" s="18">
        <f>SUM(F2:F17)</f>
        <v>588.04372561242076</v>
      </c>
    </row>
    <row r="19" spans="1:22">
      <c r="A19" t="s">
        <v>113</v>
      </c>
      <c r="B19" s="17">
        <f>B18^2</f>
        <v>221370.25</v>
      </c>
      <c r="E19" s="17">
        <f>E18/(D2-1)</f>
        <v>0.84606002929372204</v>
      </c>
    </row>
    <row r="20" spans="1:22">
      <c r="V20" t="s">
        <v>114</v>
      </c>
    </row>
    <row r="22" spans="1:22">
      <c r="A22" t="s">
        <v>115</v>
      </c>
      <c r="B22" s="18">
        <f>1/(D2*C18-B19)</f>
        <v>1.0149581487082173E-5</v>
      </c>
    </row>
    <row r="24" spans="1:22">
      <c r="A24" s="20" t="s">
        <v>116</v>
      </c>
    </row>
    <row r="25" spans="1:22">
      <c r="A25" s="19">
        <f>C18</f>
        <v>19993.53</v>
      </c>
      <c r="B25" s="19">
        <f>-B18</f>
        <v>-470.5</v>
      </c>
    </row>
    <row r="26" spans="1:22">
      <c r="A26" s="19">
        <f>+B25</f>
        <v>-470.5</v>
      </c>
      <c r="B26" s="19">
        <f>D2</f>
        <v>16</v>
      </c>
    </row>
    <row r="27" spans="1:22">
      <c r="A27" t="s">
        <v>117</v>
      </c>
    </row>
    <row r="28" spans="1:22">
      <c r="A28" s="19">
        <f>B22*A25</f>
        <v>0.20292596194942203</v>
      </c>
      <c r="B28" s="19">
        <f>B22*B25</f>
        <v>-4.7753780896721623E-3</v>
      </c>
    </row>
    <row r="29" spans="1:22">
      <c r="A29" s="19">
        <f>B22*A26</f>
        <v>-4.7753780896721623E-3</v>
      </c>
      <c r="B29" s="19">
        <f>B22*B26</f>
        <v>1.6239330379331477E-4</v>
      </c>
    </row>
    <row r="37" spans="1:2">
      <c r="A37" t="s">
        <v>119</v>
      </c>
    </row>
    <row r="38" spans="1:2">
      <c r="A38" s="19">
        <v>1</v>
      </c>
      <c r="B38" s="21">
        <v>3.9</v>
      </c>
    </row>
    <row r="39" spans="1:2">
      <c r="A39" s="19">
        <v>1</v>
      </c>
      <c r="B39" s="21">
        <v>5</v>
      </c>
    </row>
    <row r="40" spans="1:2">
      <c r="A40" s="19">
        <v>1</v>
      </c>
      <c r="B40" s="21">
        <v>7.2</v>
      </c>
    </row>
    <row r="41" spans="1:2">
      <c r="A41" s="19">
        <v>1</v>
      </c>
      <c r="B41" s="21">
        <v>10</v>
      </c>
    </row>
    <row r="42" spans="1:2">
      <c r="A42" s="19">
        <v>1</v>
      </c>
      <c r="B42" s="21">
        <v>13.3</v>
      </c>
    </row>
    <row r="43" spans="1:2">
      <c r="A43" s="19">
        <v>1</v>
      </c>
      <c r="B43" s="21">
        <v>18</v>
      </c>
    </row>
    <row r="44" spans="1:2">
      <c r="A44" s="19">
        <v>1</v>
      </c>
      <c r="B44" s="21">
        <v>19.399999999999999</v>
      </c>
    </row>
    <row r="45" spans="1:2">
      <c r="A45" s="19">
        <v>1</v>
      </c>
      <c r="B45" s="21">
        <v>22.3</v>
      </c>
    </row>
    <row r="46" spans="1:2">
      <c r="A46" s="19">
        <v>1</v>
      </c>
      <c r="B46" s="21">
        <v>29</v>
      </c>
    </row>
    <row r="47" spans="1:2">
      <c r="A47" s="19">
        <v>1</v>
      </c>
      <c r="B47" s="21">
        <v>30.8</v>
      </c>
    </row>
    <row r="48" spans="1:2">
      <c r="A48" s="19">
        <v>1</v>
      </c>
      <c r="B48" s="21">
        <v>39</v>
      </c>
    </row>
    <row r="49" spans="1:17">
      <c r="A49" s="19">
        <v>1</v>
      </c>
      <c r="B49" s="21">
        <v>43.5</v>
      </c>
    </row>
    <row r="50" spans="1:17">
      <c r="A50" s="19">
        <v>1</v>
      </c>
      <c r="B50" s="21">
        <v>50.2</v>
      </c>
    </row>
    <row r="51" spans="1:17">
      <c r="A51" s="19">
        <v>1</v>
      </c>
      <c r="B51" s="21">
        <v>54.9</v>
      </c>
    </row>
    <row r="52" spans="1:17">
      <c r="A52" s="19">
        <v>1</v>
      </c>
      <c r="B52" s="21">
        <v>61</v>
      </c>
    </row>
    <row r="53" spans="1:17">
      <c r="A53" s="19">
        <v>1</v>
      </c>
      <c r="B53" s="21">
        <v>63</v>
      </c>
    </row>
    <row r="56" spans="1:17">
      <c r="A56" t="s">
        <v>118</v>
      </c>
    </row>
    <row r="57" spans="1:17">
      <c r="A57" s="19">
        <v>1</v>
      </c>
      <c r="B57" s="19">
        <v>1</v>
      </c>
      <c r="C57" s="19">
        <v>1</v>
      </c>
      <c r="D57" s="19">
        <v>1</v>
      </c>
      <c r="E57" s="19">
        <v>1</v>
      </c>
      <c r="F57" s="19">
        <v>1</v>
      </c>
      <c r="G57" s="19"/>
      <c r="H57" s="19">
        <v>1</v>
      </c>
      <c r="I57" s="19">
        <v>1</v>
      </c>
      <c r="J57" s="19">
        <v>1</v>
      </c>
      <c r="K57" s="19">
        <v>1</v>
      </c>
      <c r="L57" s="19">
        <v>1</v>
      </c>
      <c r="M57" s="19">
        <v>1</v>
      </c>
      <c r="N57" s="19">
        <v>1</v>
      </c>
      <c r="O57" s="19">
        <v>1</v>
      </c>
      <c r="P57" s="19">
        <v>1</v>
      </c>
      <c r="Q57" s="19">
        <v>1</v>
      </c>
    </row>
    <row r="58" spans="1:17">
      <c r="A58" s="21">
        <v>3.9</v>
      </c>
      <c r="B58" s="21">
        <v>5</v>
      </c>
      <c r="C58" s="21">
        <v>7.2</v>
      </c>
      <c r="D58" s="21">
        <v>10</v>
      </c>
      <c r="E58" s="21">
        <v>13.3</v>
      </c>
      <c r="F58" s="21">
        <v>18</v>
      </c>
      <c r="G58" s="21"/>
      <c r="H58" s="21">
        <v>19.399999999999999</v>
      </c>
      <c r="I58" s="21">
        <v>22.3</v>
      </c>
      <c r="J58" s="21">
        <v>29</v>
      </c>
      <c r="K58" s="21">
        <v>30.8</v>
      </c>
      <c r="L58" s="21">
        <v>39</v>
      </c>
      <c r="M58" s="21">
        <v>43.5</v>
      </c>
      <c r="N58" s="21">
        <v>50.2</v>
      </c>
      <c r="O58" s="21">
        <v>54.9</v>
      </c>
      <c r="P58" s="21">
        <v>61</v>
      </c>
      <c r="Q58" s="21">
        <v>63</v>
      </c>
    </row>
    <row r="62" spans="1:17">
      <c r="A62" t="s">
        <v>121</v>
      </c>
    </row>
    <row r="63" spans="1:17">
      <c r="A63">
        <v>588.04372561242076</v>
      </c>
    </row>
    <row r="64" spans="1:17">
      <c r="A64" t="s">
        <v>122</v>
      </c>
      <c r="D64" t="s">
        <v>117</v>
      </c>
    </row>
    <row r="65" spans="1:5">
      <c r="A65" s="19">
        <f>$A$63*A28</f>
        <v>119.32933868822246</v>
      </c>
      <c r="B65" s="19">
        <f>$A$63*B28</f>
        <v>-2.8081311230587431</v>
      </c>
      <c r="C65" s="22" t="s">
        <v>1</v>
      </c>
      <c r="D65">
        <v>0.20292596194942203</v>
      </c>
      <c r="E65">
        <v>-4.7753780896721623E-3</v>
      </c>
    </row>
    <row r="66" spans="1:5">
      <c r="A66" s="19">
        <f>$A$63*A29</f>
        <v>-2.8081311230587431</v>
      </c>
      <c r="B66" s="19">
        <f>$A$63*B29</f>
        <v>9.5494363377130478E-2</v>
      </c>
      <c r="C66" s="22"/>
      <c r="D66">
        <v>-4.7753780896721623E-3</v>
      </c>
      <c r="E66">
        <v>1.6239330379331477E-4</v>
      </c>
    </row>
    <row r="69" spans="1:5">
      <c r="A69" s="18" t="s">
        <v>123</v>
      </c>
      <c r="B69" s="18"/>
      <c r="C69" t="s">
        <v>126</v>
      </c>
    </row>
    <row r="70" spans="1:5">
      <c r="A70" s="19">
        <f>A65*D65+B65*D66</f>
        <v>24.228430729933905</v>
      </c>
      <c r="B70" s="19">
        <f>A65*E65+B65*E66</f>
        <v>-0.57029873111736462</v>
      </c>
    </row>
    <row r="71" spans="1:5">
      <c r="A71" s="19">
        <f>A66*D65+B66*D66</f>
        <v>-0.57029873111736462</v>
      </c>
      <c r="B71" s="19">
        <f>A66*E65+B66*E66</f>
        <v>1.3425395483143655E-2</v>
      </c>
    </row>
    <row r="73" spans="1:5">
      <c r="A73" t="s">
        <v>125</v>
      </c>
    </row>
    <row r="79" spans="1:5">
      <c r="A79" s="18" t="s">
        <v>127</v>
      </c>
      <c r="B79" s="18"/>
      <c r="C79" s="18"/>
      <c r="D79" s="18"/>
    </row>
    <row r="80" spans="1:5">
      <c r="A80">
        <f>E19*A28</f>
        <v>0.17168754531138472</v>
      </c>
      <c r="B80">
        <f>E19*B28</f>
        <v>-4.0402565264366277E-3</v>
      </c>
    </row>
    <row r="81" spans="1:2">
      <c r="A81">
        <f>E19*A29</f>
        <v>-4.0402565264366277E-3</v>
      </c>
      <c r="B81">
        <f>E19*B29</f>
        <v>1.373944833644762E-4</v>
      </c>
    </row>
  </sheetData>
  <mergeCells count="1">
    <mergeCell ref="C65:C6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3A97-C053-4D2F-A1A5-923051FD06A0}">
  <dimension ref="A1:D14"/>
  <sheetViews>
    <sheetView zoomScale="85" zoomScaleNormal="85" workbookViewId="0">
      <selection activeCell="A33" sqref="A33"/>
    </sheetView>
  </sheetViews>
  <sheetFormatPr defaultRowHeight="14.4"/>
  <cols>
    <col min="1" max="1" width="65.6640625" bestFit="1" customWidth="1"/>
    <col min="2" max="2" width="14.109375" bestFit="1" customWidth="1"/>
    <col min="3" max="3" width="18.77734375" bestFit="1" customWidth="1"/>
  </cols>
  <sheetData>
    <row r="1" spans="1:4">
      <c r="A1" t="s">
        <v>77</v>
      </c>
      <c r="C1" s="15" t="s">
        <v>82</v>
      </c>
    </row>
    <row r="2" spans="1:4">
      <c r="A2" t="s">
        <v>83</v>
      </c>
      <c r="B2" t="s">
        <v>84</v>
      </c>
      <c r="C2" s="15">
        <f>(1-0.531)*5.721</f>
        <v>2.6831489999999998</v>
      </c>
      <c r="D2" t="s">
        <v>88</v>
      </c>
    </row>
    <row r="4" spans="1:4">
      <c r="C4" s="15" t="s">
        <v>87</v>
      </c>
    </row>
    <row r="5" spans="1:4">
      <c r="A5" t="s">
        <v>86</v>
      </c>
      <c r="B5" t="s">
        <v>85</v>
      </c>
      <c r="C5" s="15">
        <f>(1-0.985)*26572.9</f>
        <v>398.5935000000004</v>
      </c>
      <c r="D5" t="s">
        <v>88</v>
      </c>
    </row>
    <row r="8" spans="1:4">
      <c r="A8" t="s">
        <v>89</v>
      </c>
      <c r="B8">
        <f>C5/C2</f>
        <v>148.55436652977545</v>
      </c>
    </row>
    <row r="9" spans="1:4">
      <c r="A9" t="s">
        <v>90</v>
      </c>
      <c r="B9">
        <f>FINV(5%,12-1,12-1-1)</f>
        <v>2.9429572680064897</v>
      </c>
    </row>
    <row r="11" spans="1:4">
      <c r="A11" t="s">
        <v>91</v>
      </c>
    </row>
    <row r="12" spans="1:4">
      <c r="A12" t="s">
        <v>92</v>
      </c>
    </row>
    <row r="14" spans="1:4">
      <c r="A14" s="15" t="s">
        <v>105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CC9E5-9027-4A42-A41A-1038E27312AD}">
  <dimension ref="A1:C16"/>
  <sheetViews>
    <sheetView zoomScale="85" zoomScaleNormal="85" workbookViewId="0">
      <selection activeCell="AA14" sqref="AA14"/>
    </sheetView>
  </sheetViews>
  <sheetFormatPr defaultRowHeight="14.4"/>
  <cols>
    <col min="1" max="1" width="87.109375" bestFit="1" customWidth="1"/>
  </cols>
  <sheetData>
    <row r="1" spans="1:3">
      <c r="A1" t="s">
        <v>93</v>
      </c>
    </row>
    <row r="2" spans="1:3">
      <c r="A2" t="s">
        <v>94</v>
      </c>
    </row>
    <row r="4" spans="1:3">
      <c r="A4" t="s">
        <v>95</v>
      </c>
      <c r="B4" t="s">
        <v>96</v>
      </c>
    </row>
    <row r="6" spans="1:3">
      <c r="A6" s="15" t="s">
        <v>97</v>
      </c>
      <c r="B6" s="15">
        <f>50585.66+11726.42</f>
        <v>62312.08</v>
      </c>
    </row>
    <row r="8" spans="1:3">
      <c r="A8" t="s">
        <v>98</v>
      </c>
      <c r="B8">
        <f>50585.66/B6</f>
        <v>0.8118114497221085</v>
      </c>
      <c r="C8" t="s">
        <v>99</v>
      </c>
    </row>
    <row r="9" spans="1:3">
      <c r="A9" t="s">
        <v>98</v>
      </c>
      <c r="B9">
        <f>1 - (11726.42/B6)</f>
        <v>0.8118114497221085</v>
      </c>
      <c r="C9" t="s">
        <v>100</v>
      </c>
    </row>
    <row r="10" spans="1:3">
      <c r="A10" t="s">
        <v>101</v>
      </c>
      <c r="B10">
        <v>34</v>
      </c>
    </row>
    <row r="11" spans="1:3">
      <c r="A11" s="10" t="s">
        <v>17</v>
      </c>
      <c r="B11" s="10">
        <f>B10*B8</f>
        <v>27.60158929055169</v>
      </c>
    </row>
    <row r="12" spans="1:3">
      <c r="A12" s="16" t="s">
        <v>90</v>
      </c>
      <c r="B12" s="16">
        <f>CHIINV(5%,6-1)</f>
        <v>11.070497693516353</v>
      </c>
    </row>
    <row r="14" spans="1:3">
      <c r="A14" t="s">
        <v>102</v>
      </c>
    </row>
    <row r="15" spans="1:3">
      <c r="A15" t="s">
        <v>103</v>
      </c>
    </row>
    <row r="16" spans="1:3">
      <c r="A16" s="16" t="s">
        <v>104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3294-AF3B-4BBB-A20D-8B5D4EB1AE21}">
  <dimension ref="A1:X253"/>
  <sheetViews>
    <sheetView topLeftCell="A208" zoomScale="85" zoomScaleNormal="85" workbookViewId="0">
      <selection activeCell="Z15" sqref="Z15"/>
    </sheetView>
  </sheetViews>
  <sheetFormatPr defaultRowHeight="14.4"/>
  <cols>
    <col min="1" max="1" width="10.21875" customWidth="1"/>
    <col min="2" max="2" width="11.5546875" customWidth="1"/>
    <col min="3" max="3" width="16.5546875" bestFit="1" customWidth="1"/>
    <col min="4" max="4" width="12.5546875" customWidth="1"/>
    <col min="5" max="5" width="11.33203125" customWidth="1"/>
    <col min="6" max="6" width="42.109375" customWidth="1"/>
    <col min="7" max="7" width="11" customWidth="1"/>
    <col min="8" max="8" width="12.109375" customWidth="1"/>
    <col min="9" max="9" width="32.109375" bestFit="1" customWidth="1"/>
    <col min="12" max="12" width="12" bestFit="1" customWidth="1"/>
    <col min="15" max="15" width="11.5546875" bestFit="1" customWidth="1"/>
    <col min="16" max="16" width="24.88671875" bestFit="1" customWidth="1"/>
    <col min="17" max="17" width="16" bestFit="1" customWidth="1"/>
    <col min="18" max="18" width="21" bestFit="1" customWidth="1"/>
    <col min="19" max="19" width="14.21875" bestFit="1" customWidth="1"/>
    <col min="20" max="20" width="12" bestFit="1" customWidth="1"/>
    <col min="21" max="21" width="13.5546875" bestFit="1" customWidth="1"/>
    <col min="22" max="22" width="12.5546875" bestFit="1" customWidth="1"/>
    <col min="23" max="23" width="13.88671875" bestFit="1" customWidth="1"/>
    <col min="24" max="24" width="14.109375" bestFit="1" customWidth="1"/>
  </cols>
  <sheetData>
    <row r="1" spans="1:22">
      <c r="A1" s="4" t="s">
        <v>106</v>
      </c>
      <c r="B1" s="4" t="s">
        <v>107</v>
      </c>
      <c r="C1" s="4" t="s">
        <v>108</v>
      </c>
      <c r="D1" s="4" t="s">
        <v>109</v>
      </c>
      <c r="E1" s="4" t="s">
        <v>31</v>
      </c>
      <c r="F1" s="4" t="s">
        <v>32</v>
      </c>
      <c r="G1" s="4" t="s">
        <v>132</v>
      </c>
      <c r="H1" s="4" t="s">
        <v>134</v>
      </c>
      <c r="I1" s="4"/>
      <c r="J1" s="4"/>
      <c r="K1" s="4"/>
      <c r="L1" s="4"/>
      <c r="M1" s="4"/>
      <c r="N1" s="4"/>
      <c r="O1" s="4"/>
      <c r="P1" s="2"/>
      <c r="Q1" s="2"/>
      <c r="R1" s="2"/>
    </row>
    <row r="2" spans="1:22">
      <c r="A2" s="4">
        <v>1</v>
      </c>
      <c r="B2" s="4">
        <v>42.08</v>
      </c>
      <c r="C2" s="4">
        <v>14.53</v>
      </c>
      <c r="D2" s="4">
        <v>16.739999999999998</v>
      </c>
      <c r="E2" s="5">
        <v>1.3045085663277121</v>
      </c>
      <c r="F2" s="4">
        <f>E2^2</f>
        <v>1.7017425996223827</v>
      </c>
      <c r="G2" s="4" t="s">
        <v>133</v>
      </c>
      <c r="H2" s="4" t="s">
        <v>133</v>
      </c>
      <c r="I2" s="4"/>
      <c r="J2" s="4"/>
      <c r="K2" s="4"/>
      <c r="L2" s="4"/>
      <c r="M2" s="4"/>
      <c r="N2" s="4"/>
      <c r="O2" s="4"/>
      <c r="P2" s="4" t="s">
        <v>130</v>
      </c>
      <c r="Q2" s="4" t="s">
        <v>129</v>
      </c>
      <c r="R2" s="2"/>
    </row>
    <row r="3" spans="1:22">
      <c r="A3" s="4">
        <v>2</v>
      </c>
      <c r="B3" s="4">
        <v>41.49</v>
      </c>
      <c r="C3" s="4">
        <v>15.3</v>
      </c>
      <c r="D3" s="4">
        <v>16.809999999999999</v>
      </c>
      <c r="E3" s="5">
        <v>-0.72417472924833248</v>
      </c>
      <c r="F3" s="4">
        <f t="shared" ref="F3:F21" si="0">E3^2</f>
        <v>0.5244290384818957</v>
      </c>
      <c r="G3" s="5">
        <f>E3-E2</f>
        <v>-2.0286832955760445</v>
      </c>
      <c r="H3" s="5">
        <f>G3^2</f>
        <v>4.1155559137492812</v>
      </c>
      <c r="I3" s="5"/>
      <c r="J3" s="5"/>
      <c r="K3" s="5"/>
      <c r="L3" s="5"/>
      <c r="M3" s="5"/>
      <c r="N3" s="5"/>
      <c r="O3" s="5"/>
      <c r="P3" s="2"/>
      <c r="Q3" s="2"/>
    </row>
    <row r="4" spans="1:22">
      <c r="A4" s="4">
        <v>3</v>
      </c>
      <c r="B4" s="4">
        <v>39.06</v>
      </c>
      <c r="C4" s="4">
        <v>15.92</v>
      </c>
      <c r="D4" s="4">
        <v>19.5</v>
      </c>
      <c r="E4" s="5">
        <v>-5.983110295133848</v>
      </c>
      <c r="F4" s="4">
        <f t="shared" si="0"/>
        <v>35.797608803736644</v>
      </c>
      <c r="G4" s="5">
        <f>E4-E3</f>
        <v>-5.2589355658855155</v>
      </c>
      <c r="H4" s="5">
        <f t="shared" ref="H4:H21" si="1">G4^2</f>
        <v>27.656403286135607</v>
      </c>
      <c r="I4" s="5"/>
      <c r="J4" s="5"/>
      <c r="K4" s="5"/>
      <c r="L4" s="5"/>
      <c r="M4" s="5"/>
      <c r="N4" s="5"/>
      <c r="O4" s="5"/>
      <c r="P4" s="13" t="s">
        <v>46</v>
      </c>
      <c r="Q4" s="2"/>
      <c r="S4" s="2"/>
      <c r="V4" s="2"/>
    </row>
    <row r="5" spans="1:22">
      <c r="A5" s="4">
        <v>4</v>
      </c>
      <c r="B5" s="4">
        <v>45.09</v>
      </c>
      <c r="C5" s="4">
        <v>17.41</v>
      </c>
      <c r="D5" s="4">
        <v>22.12</v>
      </c>
      <c r="E5" s="5">
        <v>-4.3130027961251187</v>
      </c>
      <c r="F5" s="4">
        <f t="shared" si="0"/>
        <v>18.601993119383092</v>
      </c>
      <c r="G5" s="5">
        <f>E5-E4</f>
        <v>1.6701074990087292</v>
      </c>
      <c r="H5" s="5">
        <f t="shared" si="1"/>
        <v>2.7892590582451926</v>
      </c>
      <c r="I5" s="5"/>
      <c r="J5" s="5"/>
      <c r="K5" s="5"/>
      <c r="L5" s="5"/>
      <c r="M5" s="5"/>
      <c r="N5" s="5"/>
      <c r="O5" s="5"/>
      <c r="P5" s="13" t="s">
        <v>47</v>
      </c>
      <c r="S5" s="2"/>
      <c r="V5" s="2"/>
    </row>
    <row r="6" spans="1:22">
      <c r="A6" s="4">
        <v>5</v>
      </c>
      <c r="B6" s="4">
        <v>51.67</v>
      </c>
      <c r="C6" s="4">
        <v>18.37</v>
      </c>
      <c r="D6" s="4">
        <v>22.34</v>
      </c>
      <c r="E6" s="5">
        <v>0.38912523986655856</v>
      </c>
      <c r="F6" s="4">
        <f t="shared" si="0"/>
        <v>0.15141845230120674</v>
      </c>
      <c r="G6" s="5">
        <f>E6-E5</f>
        <v>4.7021280359916773</v>
      </c>
      <c r="H6" s="5">
        <f t="shared" si="1"/>
        <v>22.110008066858949</v>
      </c>
      <c r="I6" s="5"/>
      <c r="J6" s="5"/>
      <c r="K6" s="5"/>
      <c r="L6" s="5"/>
      <c r="M6" s="5"/>
      <c r="N6" s="5"/>
      <c r="O6" s="5"/>
      <c r="P6" s="13" t="s">
        <v>49</v>
      </c>
      <c r="S6" s="2"/>
      <c r="V6" s="2"/>
    </row>
    <row r="7" spans="1:22">
      <c r="A7" s="4">
        <v>6</v>
      </c>
      <c r="B7" s="4">
        <v>51.18</v>
      </c>
      <c r="C7" s="4">
        <v>18.829999999999998</v>
      </c>
      <c r="D7" s="4">
        <v>17.47</v>
      </c>
      <c r="E7" s="5">
        <v>2.1552178238833122</v>
      </c>
      <c r="F7" s="4">
        <f t="shared" si="0"/>
        <v>4.6449638683843197</v>
      </c>
      <c r="G7" s="5">
        <f>E7-E6</f>
        <v>1.7660925840167536</v>
      </c>
      <c r="H7" s="5">
        <f t="shared" si="1"/>
        <v>3.1190830153189739</v>
      </c>
      <c r="I7" s="5"/>
      <c r="J7" s="5"/>
      <c r="K7" s="5"/>
      <c r="L7" s="5"/>
      <c r="M7" s="5"/>
      <c r="N7" s="5"/>
      <c r="O7" s="5"/>
      <c r="P7" s="13" t="s">
        <v>48</v>
      </c>
      <c r="S7" s="2"/>
      <c r="V7" s="2"/>
    </row>
    <row r="8" spans="1:22">
      <c r="A8" s="4">
        <v>7</v>
      </c>
      <c r="B8" s="4">
        <v>54.78</v>
      </c>
      <c r="C8" s="4">
        <v>18.84</v>
      </c>
      <c r="D8" s="4">
        <v>20.239999999999998</v>
      </c>
      <c r="E8" s="5">
        <v>3.9800995722881467</v>
      </c>
      <c r="F8" s="4">
        <f t="shared" si="0"/>
        <v>15.841192605328288</v>
      </c>
      <c r="G8" s="5">
        <f>E8-E7</f>
        <v>1.8248817484048345</v>
      </c>
      <c r="H8" s="5">
        <f t="shared" si="1"/>
        <v>3.3301933956610856</v>
      </c>
      <c r="I8" s="5"/>
      <c r="J8" s="5"/>
      <c r="K8" s="5"/>
      <c r="L8" s="5"/>
      <c r="M8" s="5"/>
      <c r="N8" s="5"/>
      <c r="O8" s="5"/>
      <c r="P8" s="13" t="s">
        <v>50</v>
      </c>
      <c r="S8" s="2"/>
      <c r="V8" s="2"/>
    </row>
    <row r="9" spans="1:22">
      <c r="A9" s="4">
        <v>8</v>
      </c>
      <c r="B9" s="4">
        <v>60.33</v>
      </c>
      <c r="C9" s="4">
        <v>19.71</v>
      </c>
      <c r="D9" s="4">
        <v>20.37</v>
      </c>
      <c r="E9" s="5">
        <v>7.8722826596218951</v>
      </c>
      <c r="F9" s="4">
        <f t="shared" si="0"/>
        <v>61.972834272983576</v>
      </c>
      <c r="G9" s="5">
        <f>E9-E8</f>
        <v>3.8921830873337484</v>
      </c>
      <c r="H9" s="5">
        <f t="shared" si="1"/>
        <v>15.149089185326869</v>
      </c>
      <c r="I9" s="5"/>
      <c r="J9" s="5"/>
      <c r="K9" s="5"/>
      <c r="L9" s="5"/>
      <c r="M9" s="5"/>
      <c r="N9" s="5"/>
      <c r="O9" s="5"/>
      <c r="S9" s="2"/>
      <c r="V9" s="2"/>
    </row>
    <row r="10" spans="1:22">
      <c r="A10" s="4">
        <v>9</v>
      </c>
      <c r="B10" s="4">
        <v>49.76</v>
      </c>
      <c r="C10" s="4">
        <v>20.010000000000002</v>
      </c>
      <c r="D10" s="4">
        <v>12.71</v>
      </c>
      <c r="E10" s="5">
        <v>1.6177929287229418</v>
      </c>
      <c r="F10" s="4">
        <f t="shared" si="0"/>
        <v>2.6172539602259532</v>
      </c>
      <c r="G10" s="5">
        <f>E10-E9</f>
        <v>-6.2544897308989533</v>
      </c>
      <c r="H10" s="5">
        <f t="shared" si="1"/>
        <v>39.11864179392046</v>
      </c>
      <c r="I10" s="5"/>
      <c r="J10" s="5"/>
      <c r="K10" s="5"/>
      <c r="L10" s="5"/>
      <c r="M10" s="5"/>
      <c r="N10" s="5"/>
      <c r="O10" s="5"/>
      <c r="S10" s="2"/>
      <c r="V10" s="2"/>
    </row>
    <row r="11" spans="1:22">
      <c r="A11" s="4">
        <v>10</v>
      </c>
      <c r="B11" s="4">
        <v>55.46</v>
      </c>
      <c r="C11" s="4">
        <v>20.260000000000002</v>
      </c>
      <c r="D11" s="4">
        <v>22.98</v>
      </c>
      <c r="E11" s="5">
        <v>0.35084402143601778</v>
      </c>
      <c r="F11" s="4">
        <f t="shared" si="0"/>
        <v>0.12309152737739691</v>
      </c>
      <c r="G11" s="5">
        <f>E11-E10</f>
        <v>-1.266948907286924</v>
      </c>
      <c r="H11" s="5">
        <f t="shared" si="1"/>
        <v>1.6051595336755307</v>
      </c>
      <c r="I11" s="5"/>
      <c r="J11" s="5"/>
      <c r="K11" s="5"/>
      <c r="L11" s="5"/>
      <c r="M11" s="5"/>
      <c r="N11" s="5"/>
      <c r="O11" s="5"/>
      <c r="S11" s="2"/>
      <c r="V11" s="2"/>
    </row>
    <row r="12" spans="1:22">
      <c r="A12" s="4">
        <v>11</v>
      </c>
      <c r="B12" s="4">
        <v>52.47</v>
      </c>
      <c r="C12" s="4">
        <v>20.77</v>
      </c>
      <c r="D12" s="4">
        <v>19.329999999999998</v>
      </c>
      <c r="E12" s="5">
        <v>-1.2474470695773192</v>
      </c>
      <c r="F12" s="4">
        <f t="shared" si="0"/>
        <v>1.5561241913970412</v>
      </c>
      <c r="G12" s="5">
        <f>E12-E11</f>
        <v>-1.598291091013337</v>
      </c>
      <c r="H12" s="5">
        <f t="shared" si="1"/>
        <v>2.554534411612603</v>
      </c>
      <c r="I12" s="5"/>
      <c r="J12" s="5"/>
      <c r="K12" s="5"/>
      <c r="L12" s="5"/>
      <c r="M12" s="5"/>
      <c r="N12" s="5"/>
      <c r="O12" s="5"/>
      <c r="Q12" s="1"/>
    </row>
    <row r="13" spans="1:22">
      <c r="A13" s="4">
        <v>12</v>
      </c>
      <c r="B13" s="4">
        <v>50.68</v>
      </c>
      <c r="C13" s="4">
        <v>21.17</v>
      </c>
      <c r="D13" s="4">
        <v>17.04</v>
      </c>
      <c r="E13" s="5">
        <v>-2.3092028217978182</v>
      </c>
      <c r="F13" s="4">
        <f t="shared" si="0"/>
        <v>5.3324176721990062</v>
      </c>
      <c r="G13" s="5">
        <f>E13-E12</f>
        <v>-1.061755752220499</v>
      </c>
      <c r="H13" s="5">
        <f t="shared" si="1"/>
        <v>1.1273252773733178</v>
      </c>
      <c r="I13" s="5"/>
      <c r="J13" s="5"/>
      <c r="K13" s="5"/>
      <c r="L13" s="5"/>
      <c r="M13" s="5"/>
      <c r="N13" s="5"/>
      <c r="O13" s="5"/>
      <c r="Q13" s="2"/>
    </row>
    <row r="14" spans="1:22">
      <c r="A14" s="4">
        <v>13</v>
      </c>
      <c r="B14" s="4">
        <v>51.64</v>
      </c>
      <c r="C14" s="4">
        <v>21.34</v>
      </c>
      <c r="D14" s="4">
        <v>16.739999999999998</v>
      </c>
      <c r="E14" s="5">
        <v>-1.4667414159545586</v>
      </c>
      <c r="F14" s="4">
        <f t="shared" si="0"/>
        <v>2.1513303812763835</v>
      </c>
      <c r="G14" s="5">
        <f>E14-E13</f>
        <v>0.84246140584325957</v>
      </c>
      <c r="H14" s="5">
        <f t="shared" si="1"/>
        <v>0.70974122033540132</v>
      </c>
      <c r="I14" s="5"/>
      <c r="J14" s="5"/>
      <c r="K14" s="5"/>
      <c r="L14" s="5"/>
      <c r="M14" s="5"/>
      <c r="N14" s="5"/>
      <c r="O14" s="5"/>
      <c r="Q14" s="2"/>
    </row>
    <row r="15" spans="1:22">
      <c r="A15" s="4">
        <v>14</v>
      </c>
      <c r="B15" s="4">
        <v>56.19</v>
      </c>
      <c r="C15" s="4">
        <v>22.91</v>
      </c>
      <c r="D15" s="4">
        <v>19.809999999999999</v>
      </c>
      <c r="E15" s="5">
        <v>-1.7069293655146112</v>
      </c>
      <c r="F15" s="4">
        <f t="shared" si="0"/>
        <v>2.9136078588561132</v>
      </c>
      <c r="G15" s="5">
        <f>E15-E14</f>
        <v>-0.24018794956005252</v>
      </c>
      <c r="H15" s="5">
        <f t="shared" si="1"/>
        <v>5.7690251113862334E-2</v>
      </c>
      <c r="I15" s="5"/>
      <c r="J15" s="5"/>
      <c r="K15" s="5"/>
      <c r="L15" s="5"/>
      <c r="M15" s="5"/>
      <c r="N15" s="5"/>
      <c r="O15" s="5"/>
      <c r="P15" t="s">
        <v>2</v>
      </c>
    </row>
    <row r="16" spans="1:22" ht="15" thickBot="1">
      <c r="A16" s="4">
        <v>15</v>
      </c>
      <c r="B16" s="4">
        <v>66.22</v>
      </c>
      <c r="C16" s="4">
        <v>22.96</v>
      </c>
      <c r="D16" s="4">
        <v>31.92</v>
      </c>
      <c r="E16" s="5">
        <v>0.55116118128594849</v>
      </c>
      <c r="F16" s="4">
        <f t="shared" si="0"/>
        <v>0.30377864775652219</v>
      </c>
      <c r="G16" s="5">
        <f>E16-E15</f>
        <v>2.2580905468005597</v>
      </c>
      <c r="H16" s="5">
        <f t="shared" si="1"/>
        <v>5.0989729175500509</v>
      </c>
      <c r="I16" s="5"/>
      <c r="J16" s="5"/>
      <c r="K16" s="5"/>
      <c r="L16" s="5"/>
      <c r="M16" s="5"/>
      <c r="N16" s="5"/>
      <c r="O16" s="5"/>
    </row>
    <row r="17" spans="1:24">
      <c r="A17" s="4">
        <v>16</v>
      </c>
      <c r="B17" s="4">
        <v>63.23</v>
      </c>
      <c r="C17" s="4">
        <v>23.69</v>
      </c>
      <c r="D17" s="4">
        <v>26.31</v>
      </c>
      <c r="E17" s="5">
        <v>-0.20226850204300462</v>
      </c>
      <c r="F17" s="4">
        <f t="shared" si="0"/>
        <v>4.0912546918720961E-2</v>
      </c>
      <c r="G17" s="5">
        <f>E17-E16</f>
        <v>-0.7534296833289531</v>
      </c>
      <c r="H17" s="5">
        <f t="shared" si="1"/>
        <v>0.56765628772116661</v>
      </c>
      <c r="I17" s="5"/>
      <c r="J17" s="5"/>
      <c r="K17" s="5"/>
      <c r="L17" s="5"/>
      <c r="M17" s="5"/>
      <c r="N17" s="5"/>
      <c r="O17" s="5"/>
      <c r="P17" s="8" t="s">
        <v>3</v>
      </c>
      <c r="Q17" s="8"/>
    </row>
    <row r="18" spans="1:24">
      <c r="A18" s="4">
        <v>17</v>
      </c>
      <c r="B18" s="4">
        <v>68.959999999999994</v>
      </c>
      <c r="C18" s="4">
        <v>24.82</v>
      </c>
      <c r="D18" s="4">
        <v>25.93</v>
      </c>
      <c r="E18" s="5">
        <v>3.7226109061326724</v>
      </c>
      <c r="F18" s="4">
        <f t="shared" si="0"/>
        <v>13.857831958457917</v>
      </c>
      <c r="G18" s="5">
        <f>E18-E17</f>
        <v>3.924879408175677</v>
      </c>
      <c r="H18" s="5">
        <f t="shared" si="1"/>
        <v>15.404678368721452</v>
      </c>
      <c r="I18" s="5"/>
      <c r="J18" s="5"/>
      <c r="K18" s="5"/>
      <c r="L18" s="5"/>
      <c r="M18" s="5"/>
      <c r="N18" s="5"/>
      <c r="O18" s="5"/>
      <c r="P18" s="5" t="s">
        <v>4</v>
      </c>
      <c r="Q18" s="5">
        <v>0.94247711470547002</v>
      </c>
    </row>
    <row r="19" spans="1:24">
      <c r="A19" s="4">
        <v>18</v>
      </c>
      <c r="B19" s="4">
        <v>64.260000000000005</v>
      </c>
      <c r="C19" s="4">
        <v>25.54</v>
      </c>
      <c r="D19" s="4">
        <v>21.96</v>
      </c>
      <c r="E19" s="5">
        <v>0.23703696918983042</v>
      </c>
      <c r="F19" s="4">
        <f t="shared" si="0"/>
        <v>5.6186524762700613E-2</v>
      </c>
      <c r="G19" s="5">
        <f>E19-E18</f>
        <v>-3.485573936942842</v>
      </c>
      <c r="H19" s="5">
        <f t="shared" si="1"/>
        <v>12.149225669895223</v>
      </c>
      <c r="I19" s="5"/>
      <c r="J19" s="5"/>
      <c r="K19" s="5"/>
      <c r="L19" s="5"/>
      <c r="M19" s="5"/>
      <c r="N19" s="5"/>
      <c r="O19" s="5"/>
      <c r="P19" s="5" t="s">
        <v>5</v>
      </c>
      <c r="Q19" s="5">
        <v>0.88826311174354777</v>
      </c>
    </row>
    <row r="20" spans="1:24">
      <c r="A20" s="4">
        <v>19</v>
      </c>
      <c r="B20" s="4">
        <v>63.75</v>
      </c>
      <c r="C20" s="4">
        <v>25.63</v>
      </c>
      <c r="D20" s="4">
        <v>24.05</v>
      </c>
      <c r="E20" s="5">
        <v>-1.7616178577572867</v>
      </c>
      <c r="F20" s="4">
        <f t="shared" si="0"/>
        <v>3.103297476769372</v>
      </c>
      <c r="G20" s="5">
        <f>E20-E19</f>
        <v>-1.9986548269471172</v>
      </c>
      <c r="H20" s="5">
        <f t="shared" si="1"/>
        <v>3.9946211172790109</v>
      </c>
      <c r="I20" s="5"/>
      <c r="J20" s="5"/>
      <c r="K20" s="5"/>
      <c r="L20" s="5"/>
      <c r="M20" s="5"/>
      <c r="N20" s="5"/>
      <c r="O20" s="5"/>
      <c r="P20" s="5" t="s">
        <v>6</v>
      </c>
      <c r="Q20" s="5">
        <v>0.87511759547808288</v>
      </c>
    </row>
    <row r="21" spans="1:24" ht="15" thickBot="1">
      <c r="A21" s="4">
        <v>20</v>
      </c>
      <c r="B21" s="4">
        <v>69.680000000000007</v>
      </c>
      <c r="C21" s="4">
        <v>28.73</v>
      </c>
      <c r="D21" s="4">
        <v>25.66</v>
      </c>
      <c r="E21" s="6">
        <v>-2.4661850156031733</v>
      </c>
      <c r="F21" s="4">
        <f t="shared" si="0"/>
        <v>6.082068531185624</v>
      </c>
      <c r="G21" s="5">
        <f>E21-E20</f>
        <v>-0.70456715784588653</v>
      </c>
      <c r="H21" s="5">
        <f t="shared" si="1"/>
        <v>0.49641487991503036</v>
      </c>
      <c r="I21" s="5"/>
      <c r="J21" s="5"/>
      <c r="K21" s="5"/>
      <c r="L21" s="5"/>
      <c r="M21" s="5"/>
      <c r="N21" s="5"/>
      <c r="O21" s="5"/>
      <c r="P21" s="5" t="s">
        <v>7</v>
      </c>
      <c r="Q21" s="5">
        <v>3.2301346178230834</v>
      </c>
    </row>
    <row r="22" spans="1:24" ht="15" thickBot="1">
      <c r="F22" s="24">
        <f>SUM(F2:F21)</f>
        <v>177.37408403740415</v>
      </c>
      <c r="G22" s="5"/>
      <c r="H22" s="23">
        <f>SUM(H3:H21)</f>
        <v>161.15425365040909</v>
      </c>
      <c r="I22" s="5"/>
      <c r="J22" s="5"/>
      <c r="K22" s="5"/>
      <c r="L22" s="5"/>
      <c r="M22" s="5"/>
      <c r="N22" s="5"/>
      <c r="O22" s="5"/>
      <c r="P22" s="6" t="s">
        <v>8</v>
      </c>
      <c r="Q22" s="6">
        <v>20</v>
      </c>
    </row>
    <row r="24" spans="1:24" ht="15" thickBot="1">
      <c r="P24" t="s">
        <v>9</v>
      </c>
    </row>
    <row r="25" spans="1:24">
      <c r="P25" s="7"/>
      <c r="Q25" s="7" t="s">
        <v>14</v>
      </c>
      <c r="R25" s="7" t="s">
        <v>15</v>
      </c>
      <c r="S25" s="7" t="s">
        <v>16</v>
      </c>
      <c r="T25" s="7" t="s">
        <v>17</v>
      </c>
      <c r="U25" s="7" t="s">
        <v>18</v>
      </c>
    </row>
    <row r="26" spans="1:24">
      <c r="C26" t="s">
        <v>135</v>
      </c>
      <c r="D26">
        <f>H22/F22</f>
        <v>0.90855580467113417</v>
      </c>
      <c r="P26" s="5" t="s">
        <v>10</v>
      </c>
      <c r="Q26" s="5">
        <v>2</v>
      </c>
      <c r="R26" s="5">
        <v>1410.0522959625955</v>
      </c>
      <c r="S26" s="5">
        <v>705.02614798129775</v>
      </c>
      <c r="T26" s="5">
        <v>67.571565376791995</v>
      </c>
      <c r="U26" s="5">
        <v>8.1221474050057982E-9</v>
      </c>
    </row>
    <row r="27" spans="1:24">
      <c r="C27" t="s">
        <v>136</v>
      </c>
      <c r="P27" s="5" t="s">
        <v>11</v>
      </c>
      <c r="Q27" s="5">
        <v>17</v>
      </c>
      <c r="R27" s="5">
        <v>177.37408403740432</v>
      </c>
      <c r="S27" s="5">
        <v>10.433769649259077</v>
      </c>
      <c r="T27" s="5"/>
      <c r="U27" s="5"/>
    </row>
    <row r="28" spans="1:24" ht="15" thickBot="1">
      <c r="C28" s="25" t="s">
        <v>137</v>
      </c>
      <c r="D28" s="26">
        <f>1.1</f>
        <v>1.1000000000000001</v>
      </c>
      <c r="P28" s="6" t="s">
        <v>12</v>
      </c>
      <c r="Q28" s="6">
        <v>19</v>
      </c>
      <c r="R28" s="6">
        <v>1587.4263799999999</v>
      </c>
      <c r="S28" s="6"/>
      <c r="T28" s="6"/>
      <c r="U28" s="6"/>
    </row>
    <row r="29" spans="1:24" ht="15" thickBot="1">
      <c r="C29" s="25"/>
    </row>
    <row r="30" spans="1:24">
      <c r="C30" s="25" t="s">
        <v>138</v>
      </c>
      <c r="D30">
        <v>1.54</v>
      </c>
      <c r="P30" s="7"/>
      <c r="Q30" s="7" t="s">
        <v>19</v>
      </c>
      <c r="R30" s="7" t="s">
        <v>7</v>
      </c>
      <c r="S30" s="7" t="s">
        <v>20</v>
      </c>
      <c r="T30" s="7" t="s">
        <v>21</v>
      </c>
      <c r="U30" s="7" t="s">
        <v>22</v>
      </c>
      <c r="V30" s="7" t="s">
        <v>23</v>
      </c>
      <c r="W30" s="7" t="s">
        <v>24</v>
      </c>
      <c r="X30" s="7" t="s">
        <v>25</v>
      </c>
    </row>
    <row r="31" spans="1:24">
      <c r="P31" s="5" t="s">
        <v>13</v>
      </c>
      <c r="Q31" s="5">
        <v>3.847023170512978</v>
      </c>
      <c r="R31" s="5">
        <v>4.46070725776476</v>
      </c>
      <c r="S31" s="5">
        <v>0.86242448746585176</v>
      </c>
      <c r="T31" s="5">
        <v>0.40045682286528539</v>
      </c>
      <c r="U31" s="5">
        <v>-5.5642464900732502</v>
      </c>
      <c r="V31" s="5">
        <v>13.258292831099206</v>
      </c>
      <c r="W31" s="5">
        <v>-5.5642464900732502</v>
      </c>
      <c r="X31" s="5">
        <v>13.258292831099206</v>
      </c>
    </row>
    <row r="32" spans="1:24">
      <c r="P32" s="5" t="s">
        <v>26</v>
      </c>
      <c r="Q32" s="5">
        <v>1.8107562382205982</v>
      </c>
      <c r="R32" s="5">
        <v>0.23956889069333345</v>
      </c>
      <c r="S32" s="5">
        <v>7.5583947188639993</v>
      </c>
      <c r="T32" s="5">
        <v>7.8382432658563409E-7</v>
      </c>
      <c r="U32" s="5">
        <v>1.3053100606715562</v>
      </c>
      <c r="V32" s="5">
        <v>2.3162024157696401</v>
      </c>
      <c r="W32" s="5">
        <v>1.3053100606715562</v>
      </c>
      <c r="X32" s="5">
        <v>2.3162024157696401</v>
      </c>
    </row>
    <row r="33" spans="1:24" ht="15" thickBot="1">
      <c r="P33" s="6" t="s">
        <v>128</v>
      </c>
      <c r="Q33" s="6">
        <v>0.63429988780251034</v>
      </c>
      <c r="R33" s="6">
        <v>0.20242738452277712</v>
      </c>
      <c r="S33" s="6">
        <v>3.1334687710255871</v>
      </c>
      <c r="T33" s="6">
        <v>6.0540675812025433E-3</v>
      </c>
      <c r="U33" s="6">
        <v>0.20721543855630031</v>
      </c>
      <c r="V33" s="6">
        <v>1.0613843370487204</v>
      </c>
      <c r="W33" s="6">
        <v>0.20721543855630031</v>
      </c>
      <c r="X33" s="6">
        <v>1.0613843370487204</v>
      </c>
    </row>
    <row r="37" spans="1:24">
      <c r="P37" t="s">
        <v>27</v>
      </c>
    </row>
    <row r="38" spans="1:24" ht="15" thickBot="1"/>
    <row r="39" spans="1:24">
      <c r="P39" s="7" t="s">
        <v>28</v>
      </c>
      <c r="Q39" s="7" t="s">
        <v>29</v>
      </c>
      <c r="R39" s="7" t="s">
        <v>30</v>
      </c>
    </row>
    <row r="40" spans="1:24">
      <c r="P40" s="5">
        <v>1</v>
      </c>
      <c r="Q40" s="5">
        <v>40.775491433672286</v>
      </c>
      <c r="R40" s="5">
        <v>1.3045085663277121</v>
      </c>
    </row>
    <row r="41" spans="1:24">
      <c r="P41" s="5">
        <v>2</v>
      </c>
      <c r="Q41" s="5">
        <v>42.214174729248334</v>
      </c>
      <c r="R41" s="5">
        <v>-0.72417472924833248</v>
      </c>
    </row>
    <row r="42" spans="1:24">
      <c r="P42" s="5">
        <v>3</v>
      </c>
      <c r="Q42" s="5">
        <v>45.04311029513385</v>
      </c>
      <c r="R42" s="5">
        <v>-5.983110295133848</v>
      </c>
    </row>
    <row r="43" spans="1:24">
      <c r="P43" s="5">
        <v>4</v>
      </c>
      <c r="Q43" s="5">
        <v>49.403002796125122</v>
      </c>
      <c r="R43" s="5">
        <v>-4.3130027961251187</v>
      </c>
    </row>
    <row r="44" spans="1:24">
      <c r="A44" t="s">
        <v>140</v>
      </c>
      <c r="B44">
        <v>0.90855580467113417</v>
      </c>
      <c r="C44" t="s">
        <v>139</v>
      </c>
      <c r="D44" s="26">
        <f>1.1</f>
        <v>1.1000000000000001</v>
      </c>
      <c r="P44" s="5">
        <v>5</v>
      </c>
      <c r="Q44" s="5">
        <v>51.280874760133443</v>
      </c>
      <c r="R44" s="5">
        <v>0.38912523986655856</v>
      </c>
    </row>
    <row r="45" spans="1:24">
      <c r="P45" s="5">
        <v>6</v>
      </c>
      <c r="Q45" s="5">
        <v>49.024782176116688</v>
      </c>
      <c r="R45" s="5">
        <v>2.1552178238833122</v>
      </c>
    </row>
    <row r="46" spans="1:24">
      <c r="A46" t="s">
        <v>141</v>
      </c>
      <c r="P46" s="5">
        <v>7</v>
      </c>
      <c r="Q46" s="5">
        <v>50.799900427711854</v>
      </c>
      <c r="R46" s="5">
        <v>3.9800995722881467</v>
      </c>
    </row>
    <row r="47" spans="1:24">
      <c r="P47" s="5">
        <v>8</v>
      </c>
      <c r="Q47" s="5">
        <v>52.457717340378103</v>
      </c>
      <c r="R47" s="5">
        <v>7.8722826596218951</v>
      </c>
    </row>
    <row r="48" spans="1:24">
      <c r="P48" s="5">
        <v>9</v>
      </c>
      <c r="Q48" s="5">
        <v>48.142207071277056</v>
      </c>
      <c r="R48" s="5">
        <v>1.6177929287229418</v>
      </c>
    </row>
    <row r="49" spans="1:18">
      <c r="P49" s="5">
        <v>10</v>
      </c>
      <c r="Q49" s="5">
        <v>55.109155978563983</v>
      </c>
      <c r="R49" s="5">
        <v>0.35084402143601778</v>
      </c>
    </row>
    <row r="50" spans="1:18">
      <c r="A50" t="s">
        <v>142</v>
      </c>
      <c r="P50" s="5">
        <v>11</v>
      </c>
      <c r="Q50" s="5">
        <v>53.717447069577318</v>
      </c>
      <c r="R50" s="5">
        <v>-1.2474470695773192</v>
      </c>
    </row>
    <row r="51" spans="1:18">
      <c r="A51" t="s">
        <v>143</v>
      </c>
      <c r="P51" s="5">
        <v>12</v>
      </c>
      <c r="Q51" s="5">
        <v>52.989202821797818</v>
      </c>
      <c r="R51" s="5">
        <v>-2.3092028217978182</v>
      </c>
    </row>
    <row r="52" spans="1:18">
      <c r="A52" s="4" t="s">
        <v>31</v>
      </c>
      <c r="B52" t="s">
        <v>144</v>
      </c>
      <c r="C52" t="s">
        <v>145</v>
      </c>
      <c r="D52" s="4" t="s">
        <v>107</v>
      </c>
      <c r="E52" s="4" t="s">
        <v>108</v>
      </c>
      <c r="F52" s="4" t="s">
        <v>109</v>
      </c>
      <c r="G52" s="4" t="s">
        <v>146</v>
      </c>
      <c r="H52" s="4" t="s">
        <v>147</v>
      </c>
      <c r="I52" s="4" t="s">
        <v>148</v>
      </c>
      <c r="J52" s="4" t="s">
        <v>149</v>
      </c>
      <c r="K52" s="4" t="s">
        <v>150</v>
      </c>
      <c r="L52" s="4" t="s">
        <v>151</v>
      </c>
      <c r="M52" s="4" t="s">
        <v>152</v>
      </c>
      <c r="N52" s="4" t="s">
        <v>153</v>
      </c>
      <c r="O52" s="4" t="s">
        <v>154</v>
      </c>
      <c r="P52" s="5">
        <v>13</v>
      </c>
      <c r="Q52" s="5">
        <v>53.106741415954559</v>
      </c>
      <c r="R52" s="5">
        <v>-1.4667414159545586</v>
      </c>
    </row>
    <row r="53" spans="1:18">
      <c r="A53" s="5">
        <v>1.3045085663277121</v>
      </c>
      <c r="B53" t="s">
        <v>133</v>
      </c>
      <c r="D53" s="4">
        <v>42.08</v>
      </c>
      <c r="E53" s="4">
        <v>14.53</v>
      </c>
      <c r="F53" s="4">
        <v>16.739999999999998</v>
      </c>
      <c r="G53" t="s">
        <v>133</v>
      </c>
      <c r="H53" t="s">
        <v>133</v>
      </c>
      <c r="I53" t="s">
        <v>133</v>
      </c>
      <c r="J53" t="s">
        <v>133</v>
      </c>
      <c r="K53" t="s">
        <v>133</v>
      </c>
      <c r="L53" t="s">
        <v>133</v>
      </c>
      <c r="M53" t="s">
        <v>133</v>
      </c>
      <c r="N53" t="s">
        <v>133</v>
      </c>
      <c r="O53" t="s">
        <v>133</v>
      </c>
      <c r="P53" s="5">
        <v>14</v>
      </c>
      <c r="Q53" s="5">
        <v>57.896929365514609</v>
      </c>
      <c r="R53" s="5">
        <v>-1.7069293655146112</v>
      </c>
    </row>
    <row r="54" spans="1:18">
      <c r="A54" s="5">
        <v>-0.72417472924833248</v>
      </c>
      <c r="B54" s="5">
        <v>1.3045085663277121</v>
      </c>
      <c r="D54" s="4">
        <v>41.49</v>
      </c>
      <c r="E54" s="4">
        <v>15.3</v>
      </c>
      <c r="F54" s="4">
        <v>16.809999999999999</v>
      </c>
      <c r="G54" s="4">
        <v>42.08</v>
      </c>
      <c r="H54">
        <f>$A$75*G54</f>
        <v>22.8232738212788</v>
      </c>
      <c r="I54" s="27">
        <f>D54-H54</f>
        <v>18.666726178721202</v>
      </c>
      <c r="J54" s="4">
        <v>14.53</v>
      </c>
      <c r="K54">
        <f>$A$75*J54</f>
        <v>7.8807549577752134</v>
      </c>
      <c r="L54" s="27">
        <f>E54-K54</f>
        <v>7.4192450422247873</v>
      </c>
      <c r="M54" s="4">
        <v>16.739999999999998</v>
      </c>
      <c r="N54">
        <f>$A$75*M54</f>
        <v>9.0794107359364808</v>
      </c>
      <c r="O54" s="27">
        <f>F54-N54</f>
        <v>7.7305892640635179</v>
      </c>
      <c r="P54" s="5">
        <v>15</v>
      </c>
      <c r="Q54" s="5">
        <v>65.66883881871405</v>
      </c>
      <c r="R54" s="5">
        <v>0.55116118128594849</v>
      </c>
    </row>
    <row r="55" spans="1:18">
      <c r="A55" s="5">
        <v>-5.983110295133848</v>
      </c>
      <c r="B55" s="5">
        <v>-0.72417472924833248</v>
      </c>
      <c r="D55" s="4">
        <v>39.06</v>
      </c>
      <c r="E55" s="4">
        <v>15.92</v>
      </c>
      <c r="F55" s="4">
        <v>19.5</v>
      </c>
      <c r="G55" s="4">
        <v>41.49</v>
      </c>
      <c r="H55">
        <f t="shared" ref="H55:H72" si="2">$A$75*G55</f>
        <v>22.503270694982355</v>
      </c>
      <c r="I55" s="27">
        <f t="shared" ref="I55:I72" si="3">D55-H55</f>
        <v>16.556729305017647</v>
      </c>
      <c r="J55" s="4">
        <v>15.3</v>
      </c>
      <c r="K55">
        <f t="shared" ref="K55:K72" si="4">$A$75*J55</f>
        <v>8.2983861565010848</v>
      </c>
      <c r="L55" s="27">
        <f t="shared" ref="L55:L72" si="5">E55-K55</f>
        <v>7.6216138434989151</v>
      </c>
      <c r="M55" s="4">
        <v>16.809999999999999</v>
      </c>
      <c r="N55">
        <f t="shared" ref="N55:N72" si="6">$A$75*M55</f>
        <v>9.1173772085479232</v>
      </c>
      <c r="O55" s="27">
        <f t="shared" ref="O55:O72" si="7">F55-N55</f>
        <v>10.382622791452077</v>
      </c>
      <c r="P55" s="5">
        <v>16</v>
      </c>
      <c r="Q55" s="5">
        <v>63.432268502043001</v>
      </c>
      <c r="R55" s="5">
        <v>-0.20226850204300462</v>
      </c>
    </row>
    <row r="56" spans="1:18">
      <c r="A56" s="5">
        <v>-4.3130027961251187</v>
      </c>
      <c r="B56" s="5">
        <v>-5.983110295133848</v>
      </c>
      <c r="D56" s="4">
        <v>45.09</v>
      </c>
      <c r="E56" s="4">
        <v>17.41</v>
      </c>
      <c r="F56" s="4">
        <v>22.12</v>
      </c>
      <c r="G56" s="4">
        <v>39.06</v>
      </c>
      <c r="H56">
        <f t="shared" si="2"/>
        <v>21.185291717185123</v>
      </c>
      <c r="I56" s="27">
        <f t="shared" si="3"/>
        <v>23.90470828281488</v>
      </c>
      <c r="J56" s="4">
        <v>15.92</v>
      </c>
      <c r="K56">
        <f t="shared" si="4"/>
        <v>8.6346606282024361</v>
      </c>
      <c r="L56" s="27">
        <f t="shared" si="5"/>
        <v>8.7753393717975641</v>
      </c>
      <c r="M56" s="4">
        <v>19.5</v>
      </c>
      <c r="N56">
        <f t="shared" si="6"/>
        <v>10.576374513187657</v>
      </c>
      <c r="O56" s="27">
        <f t="shared" si="7"/>
        <v>11.543625486812344</v>
      </c>
      <c r="P56" s="5">
        <v>17</v>
      </c>
      <c r="Q56" s="5">
        <v>65.237389093867321</v>
      </c>
      <c r="R56" s="5">
        <v>3.7226109061326724</v>
      </c>
    </row>
    <row r="57" spans="1:18">
      <c r="A57" s="5">
        <v>0.38912523986655856</v>
      </c>
      <c r="B57" s="5">
        <v>-4.3130027961251187</v>
      </c>
      <c r="D57" s="4">
        <v>51.67</v>
      </c>
      <c r="E57" s="4">
        <v>18.37</v>
      </c>
      <c r="F57" s="4">
        <v>22.34</v>
      </c>
      <c r="G57" s="4">
        <v>45.09</v>
      </c>
      <c r="H57">
        <f t="shared" si="2"/>
        <v>24.455832143570845</v>
      </c>
      <c r="I57" s="27">
        <f t="shared" si="3"/>
        <v>27.214167856429157</v>
      </c>
      <c r="J57" s="4">
        <v>17.41</v>
      </c>
      <c r="K57">
        <f t="shared" si="4"/>
        <v>9.4428041166460055</v>
      </c>
      <c r="L57" s="27">
        <f t="shared" si="5"/>
        <v>8.9271958833539955</v>
      </c>
      <c r="M57" s="4">
        <v>22.12</v>
      </c>
      <c r="N57">
        <f t="shared" si="6"/>
        <v>11.997405345215949</v>
      </c>
      <c r="O57" s="27">
        <f t="shared" si="7"/>
        <v>10.342594654784051</v>
      </c>
      <c r="P57" s="5">
        <v>18</v>
      </c>
      <c r="Q57" s="5">
        <v>64.022963030810175</v>
      </c>
      <c r="R57" s="5">
        <v>0.23703696918983042</v>
      </c>
    </row>
    <row r="58" spans="1:18">
      <c r="A58" s="5">
        <v>2.1552178238833122</v>
      </c>
      <c r="B58" s="5">
        <v>0.38912523986655856</v>
      </c>
      <c r="D58" s="4">
        <v>51.18</v>
      </c>
      <c r="E58" s="4">
        <v>18.829999999999998</v>
      </c>
      <c r="F58" s="4">
        <v>17.47</v>
      </c>
      <c r="G58" s="4">
        <v>51.67</v>
      </c>
      <c r="H58">
        <f t="shared" si="2"/>
        <v>28.024680569046478</v>
      </c>
      <c r="I58" s="27">
        <f t="shared" si="3"/>
        <v>23.155319430953522</v>
      </c>
      <c r="J58" s="4">
        <v>18.37</v>
      </c>
      <c r="K58">
        <f t="shared" si="4"/>
        <v>9.9634871696029368</v>
      </c>
      <c r="L58" s="27">
        <f t="shared" si="5"/>
        <v>8.8665128303970615</v>
      </c>
      <c r="M58" s="4">
        <v>22.34</v>
      </c>
      <c r="N58">
        <f t="shared" si="6"/>
        <v>12.116728544851911</v>
      </c>
      <c r="O58" s="27">
        <f t="shared" si="7"/>
        <v>5.3532714551480876</v>
      </c>
      <c r="P58" s="5">
        <v>19</v>
      </c>
      <c r="Q58" s="5">
        <v>65.511617857757287</v>
      </c>
      <c r="R58" s="5">
        <v>-1.7616178577572867</v>
      </c>
    </row>
    <row r="59" spans="1:18" ht="15" thickBot="1">
      <c r="A59" s="5">
        <v>3.9800995722881467</v>
      </c>
      <c r="B59" s="5">
        <v>2.1552178238833122</v>
      </c>
      <c r="D59" s="4">
        <v>54.78</v>
      </c>
      <c r="E59" s="4">
        <v>18.84</v>
      </c>
      <c r="F59" s="4">
        <v>20.239999999999998</v>
      </c>
      <c r="G59" s="4">
        <v>51.18</v>
      </c>
      <c r="H59">
        <f t="shared" si="2"/>
        <v>27.758915260766376</v>
      </c>
      <c r="I59" s="27">
        <f t="shared" si="3"/>
        <v>27.021084739233626</v>
      </c>
      <c r="J59" s="4">
        <v>18.829999999999998</v>
      </c>
      <c r="K59">
        <f t="shared" si="4"/>
        <v>10.212981132478133</v>
      </c>
      <c r="L59" s="27">
        <f t="shared" si="5"/>
        <v>8.6270188675218673</v>
      </c>
      <c r="M59" s="4">
        <v>17.47</v>
      </c>
      <c r="N59">
        <f t="shared" si="6"/>
        <v>9.4753468074558143</v>
      </c>
      <c r="O59" s="27">
        <f t="shared" si="7"/>
        <v>10.764653192544184</v>
      </c>
      <c r="P59" s="6">
        <v>20</v>
      </c>
      <c r="Q59" s="6">
        <v>72.14618501560318</v>
      </c>
      <c r="R59" s="6">
        <v>-2.4661850156031733</v>
      </c>
    </row>
    <row r="60" spans="1:18">
      <c r="A60" s="5">
        <v>7.8722826596218951</v>
      </c>
      <c r="B60" s="5">
        <v>3.9800995722881467</v>
      </c>
      <c r="D60" s="4">
        <v>60.33</v>
      </c>
      <c r="E60" s="4">
        <v>19.71</v>
      </c>
      <c r="F60" s="4">
        <v>20.37</v>
      </c>
      <c r="G60" s="4">
        <v>54.78</v>
      </c>
      <c r="H60">
        <f t="shared" si="2"/>
        <v>29.711476709354866</v>
      </c>
      <c r="I60" s="27">
        <f t="shared" si="3"/>
        <v>30.618523290645133</v>
      </c>
      <c r="J60" s="4">
        <v>18.84</v>
      </c>
      <c r="K60">
        <f t="shared" si="4"/>
        <v>10.218404914279768</v>
      </c>
      <c r="L60" s="27">
        <f t="shared" si="5"/>
        <v>9.4915950857202329</v>
      </c>
      <c r="M60" s="4">
        <v>20.239999999999998</v>
      </c>
      <c r="N60">
        <f t="shared" si="6"/>
        <v>10.977734366508624</v>
      </c>
      <c r="O60" s="27">
        <f t="shared" si="7"/>
        <v>9.3922656334913768</v>
      </c>
      <c r="Q60" s="2"/>
    </row>
    <row r="61" spans="1:18">
      <c r="A61" s="5">
        <v>1.6177929287229418</v>
      </c>
      <c r="B61" s="5">
        <v>7.8722826596218951</v>
      </c>
      <c r="D61" s="4">
        <v>49.76</v>
      </c>
      <c r="E61" s="4">
        <v>20.010000000000002</v>
      </c>
      <c r="F61" s="4">
        <v>12.71</v>
      </c>
      <c r="G61" s="4">
        <v>60.33</v>
      </c>
      <c r="H61">
        <f t="shared" si="2"/>
        <v>32.721675609262121</v>
      </c>
      <c r="I61" s="27">
        <f t="shared" si="3"/>
        <v>17.038324390737877</v>
      </c>
      <c r="J61" s="4">
        <v>19.71</v>
      </c>
      <c r="K61">
        <f t="shared" si="4"/>
        <v>10.690273931021986</v>
      </c>
      <c r="L61" s="27">
        <f t="shared" si="5"/>
        <v>9.3197260689780155</v>
      </c>
      <c r="M61" s="4">
        <v>20.37</v>
      </c>
      <c r="N61">
        <f t="shared" si="6"/>
        <v>11.048243529929877</v>
      </c>
      <c r="O61" s="27">
        <f t="shared" si="7"/>
        <v>1.6617564700701237</v>
      </c>
      <c r="Q61" s="2"/>
    </row>
    <row r="62" spans="1:18">
      <c r="A62" s="5">
        <v>0.35084402143601778</v>
      </c>
      <c r="B62" s="5">
        <v>1.6177929287229418</v>
      </c>
      <c r="D62" s="4">
        <v>55.46</v>
      </c>
      <c r="E62" s="4">
        <v>20.260000000000002</v>
      </c>
      <c r="F62" s="4">
        <v>22.98</v>
      </c>
      <c r="G62" s="4">
        <v>49.76</v>
      </c>
      <c r="H62">
        <f t="shared" si="2"/>
        <v>26.988738244934247</v>
      </c>
      <c r="I62" s="27">
        <f t="shared" si="3"/>
        <v>28.471261755065754</v>
      </c>
      <c r="J62" s="4">
        <v>20.010000000000002</v>
      </c>
      <c r="K62">
        <f t="shared" si="4"/>
        <v>10.852987385071028</v>
      </c>
      <c r="L62" s="27">
        <f t="shared" si="5"/>
        <v>9.4070126149289734</v>
      </c>
      <c r="M62" s="4">
        <v>12.71</v>
      </c>
      <c r="N62">
        <f t="shared" si="6"/>
        <v>6.8936266698776993</v>
      </c>
      <c r="O62" s="27">
        <f t="shared" si="7"/>
        <v>16.086373330122299</v>
      </c>
      <c r="Q62" s="2"/>
    </row>
    <row r="63" spans="1:18">
      <c r="A63" s="5">
        <v>-1.2474470695773192</v>
      </c>
      <c r="B63" s="5">
        <v>0.35084402143601778</v>
      </c>
      <c r="D63" s="4">
        <v>52.47</v>
      </c>
      <c r="E63" s="4">
        <v>20.77</v>
      </c>
      <c r="F63" s="4">
        <v>19.329999999999998</v>
      </c>
      <c r="G63" s="4">
        <v>55.46</v>
      </c>
      <c r="H63">
        <f t="shared" si="2"/>
        <v>30.080293871866026</v>
      </c>
      <c r="I63" s="27">
        <f t="shared" si="3"/>
        <v>22.389706128133973</v>
      </c>
      <c r="J63" s="4">
        <v>20.260000000000002</v>
      </c>
      <c r="K63">
        <f t="shared" si="4"/>
        <v>10.988581930111895</v>
      </c>
      <c r="L63" s="27">
        <f t="shared" si="5"/>
        <v>9.7814180698881046</v>
      </c>
      <c r="M63" s="4">
        <v>22.98</v>
      </c>
      <c r="N63">
        <f t="shared" si="6"/>
        <v>12.463850580156532</v>
      </c>
      <c r="O63" s="27">
        <f t="shared" si="7"/>
        <v>6.8661494198434667</v>
      </c>
      <c r="Q63" s="2"/>
    </row>
    <row r="64" spans="1:18">
      <c r="A64" s="5">
        <v>-2.3092028217978182</v>
      </c>
      <c r="B64" s="5">
        <v>-1.2474470695773192</v>
      </c>
      <c r="D64" s="4">
        <v>50.68</v>
      </c>
      <c r="E64" s="4">
        <v>21.17</v>
      </c>
      <c r="F64" s="4">
        <v>17.04</v>
      </c>
      <c r="G64" s="4">
        <v>52.47</v>
      </c>
      <c r="H64">
        <f t="shared" si="2"/>
        <v>28.458583113177252</v>
      </c>
      <c r="I64" s="27">
        <f t="shared" si="3"/>
        <v>22.221416886822748</v>
      </c>
      <c r="J64" s="4">
        <v>20.77</v>
      </c>
      <c r="K64">
        <f t="shared" si="4"/>
        <v>11.265194801995264</v>
      </c>
      <c r="L64" s="27">
        <f t="shared" si="5"/>
        <v>9.9048051980047376</v>
      </c>
      <c r="M64" s="4">
        <v>19.329999999999998</v>
      </c>
      <c r="N64">
        <f t="shared" si="6"/>
        <v>10.484170222559866</v>
      </c>
      <c r="O64" s="27">
        <f t="shared" si="7"/>
        <v>6.5558297774401328</v>
      </c>
      <c r="Q64" s="2"/>
    </row>
    <row r="65" spans="1:17">
      <c r="A65" s="5">
        <v>-1.4667414159545586</v>
      </c>
      <c r="B65" s="5">
        <v>-2.3092028217978182</v>
      </c>
      <c r="D65" s="4">
        <v>51.64</v>
      </c>
      <c r="E65" s="4">
        <v>21.34</v>
      </c>
      <c r="F65" s="4">
        <v>16.739999999999998</v>
      </c>
      <c r="G65" s="4">
        <v>50.68</v>
      </c>
      <c r="H65">
        <f t="shared" si="2"/>
        <v>27.487726170684638</v>
      </c>
      <c r="I65" s="27">
        <f t="shared" si="3"/>
        <v>24.152273829315362</v>
      </c>
      <c r="J65" s="4">
        <v>21.17</v>
      </c>
      <c r="K65">
        <f t="shared" si="4"/>
        <v>11.482146074060653</v>
      </c>
      <c r="L65" s="27">
        <f t="shared" si="5"/>
        <v>9.857853925939347</v>
      </c>
      <c r="M65" s="4">
        <v>17.04</v>
      </c>
      <c r="N65">
        <f t="shared" si="6"/>
        <v>9.2421241899855211</v>
      </c>
      <c r="O65" s="27">
        <f t="shared" si="7"/>
        <v>7.4978758100144773</v>
      </c>
      <c r="Q65" s="2"/>
    </row>
    <row r="66" spans="1:17">
      <c r="A66" s="5">
        <v>-1.7069293655146112</v>
      </c>
      <c r="B66" s="5">
        <v>-1.4667414159545586</v>
      </c>
      <c r="D66" s="4">
        <v>56.19</v>
      </c>
      <c r="E66" s="4">
        <v>22.91</v>
      </c>
      <c r="F66" s="4">
        <v>19.809999999999999</v>
      </c>
      <c r="G66" s="4">
        <v>51.64</v>
      </c>
      <c r="H66">
        <f t="shared" si="2"/>
        <v>28.008409223641571</v>
      </c>
      <c r="I66" s="27">
        <f t="shared" si="3"/>
        <v>28.181590776358426</v>
      </c>
      <c r="J66" s="4">
        <v>21.34</v>
      </c>
      <c r="K66">
        <f t="shared" si="4"/>
        <v>11.574350364688442</v>
      </c>
      <c r="L66" s="27">
        <f t="shared" si="5"/>
        <v>11.335649635311558</v>
      </c>
      <c r="M66" s="4">
        <v>16.739999999999998</v>
      </c>
      <c r="N66">
        <f t="shared" si="6"/>
        <v>9.0794107359364808</v>
      </c>
      <c r="O66" s="27">
        <f t="shared" si="7"/>
        <v>10.730589264063518</v>
      </c>
      <c r="Q66" s="1"/>
    </row>
    <row r="67" spans="1:17">
      <c r="A67" s="5">
        <v>0.55116118128594849</v>
      </c>
      <c r="B67" s="5">
        <v>-1.7069293655146112</v>
      </c>
      <c r="D67" s="4">
        <v>66.22</v>
      </c>
      <c r="E67" s="4">
        <v>22.96</v>
      </c>
      <c r="F67" s="4">
        <v>31.92</v>
      </c>
      <c r="G67" s="4">
        <v>56.19</v>
      </c>
      <c r="H67">
        <f t="shared" si="2"/>
        <v>30.476229943385356</v>
      </c>
      <c r="I67" s="27">
        <f t="shared" si="3"/>
        <v>35.743770056614643</v>
      </c>
      <c r="J67" s="4">
        <v>22.91</v>
      </c>
      <c r="K67">
        <f t="shared" si="4"/>
        <v>12.425884107545089</v>
      </c>
      <c r="L67" s="27">
        <f t="shared" si="5"/>
        <v>10.534115892454912</v>
      </c>
      <c r="M67" s="4">
        <v>19.809999999999999</v>
      </c>
      <c r="N67">
        <f t="shared" si="6"/>
        <v>10.744511749038333</v>
      </c>
      <c r="O67" s="27">
        <f t="shared" si="7"/>
        <v>21.175488250961671</v>
      </c>
      <c r="Q67" s="2"/>
    </row>
    <row r="68" spans="1:17">
      <c r="A68" s="5">
        <v>-0.20226850204300462</v>
      </c>
      <c r="B68" s="5">
        <v>0.55116118128594849</v>
      </c>
      <c r="D68" s="4">
        <v>63.23</v>
      </c>
      <c r="E68" s="4">
        <v>23.69</v>
      </c>
      <c r="F68" s="4">
        <v>26.31</v>
      </c>
      <c r="G68" s="4">
        <v>66.22</v>
      </c>
      <c r="H68">
        <f t="shared" si="2"/>
        <v>35.916283090424955</v>
      </c>
      <c r="I68" s="27">
        <f t="shared" si="3"/>
        <v>27.313716909575042</v>
      </c>
      <c r="J68" s="4">
        <v>22.96</v>
      </c>
      <c r="K68">
        <f t="shared" si="4"/>
        <v>12.453003016553263</v>
      </c>
      <c r="L68" s="27">
        <f t="shared" si="5"/>
        <v>11.236996983446739</v>
      </c>
      <c r="M68" s="4">
        <v>31.92</v>
      </c>
      <c r="N68">
        <f t="shared" si="6"/>
        <v>17.312711510817952</v>
      </c>
      <c r="O68" s="27">
        <f t="shared" si="7"/>
        <v>8.997288489182047</v>
      </c>
      <c r="Q68" s="2"/>
    </row>
    <row r="69" spans="1:17">
      <c r="A69" s="5">
        <v>3.7226109061326724</v>
      </c>
      <c r="B69" s="5">
        <v>-0.20226850204300462</v>
      </c>
      <c r="D69" s="4">
        <v>68.959999999999994</v>
      </c>
      <c r="E69" s="4">
        <v>24.82</v>
      </c>
      <c r="F69" s="4">
        <v>25.93</v>
      </c>
      <c r="G69" s="4">
        <v>63.23</v>
      </c>
      <c r="H69">
        <f t="shared" si="2"/>
        <v>34.294572331736184</v>
      </c>
      <c r="I69" s="27">
        <f t="shared" si="3"/>
        <v>34.66542766826381</v>
      </c>
      <c r="J69" s="4">
        <v>23.69</v>
      </c>
      <c r="K69">
        <f t="shared" si="4"/>
        <v>12.848939088072596</v>
      </c>
      <c r="L69" s="27">
        <f t="shared" si="5"/>
        <v>11.971060911927404</v>
      </c>
      <c r="M69" s="4">
        <v>26.31</v>
      </c>
      <c r="N69">
        <f t="shared" si="6"/>
        <v>14.269969920100884</v>
      </c>
      <c r="O69" s="27">
        <f t="shared" si="7"/>
        <v>11.660030079899116</v>
      </c>
      <c r="Q69" s="2"/>
    </row>
    <row r="70" spans="1:17">
      <c r="A70" s="5">
        <v>0.23703696918983042</v>
      </c>
      <c r="B70" s="5">
        <v>3.7226109061326724</v>
      </c>
      <c r="D70" s="4">
        <v>64.260000000000005</v>
      </c>
      <c r="E70" s="4">
        <v>25.54</v>
      </c>
      <c r="F70" s="4">
        <v>21.96</v>
      </c>
      <c r="G70" s="4">
        <v>68.959999999999994</v>
      </c>
      <c r="H70">
        <f t="shared" si="2"/>
        <v>37.402399304072858</v>
      </c>
      <c r="I70" s="27">
        <f t="shared" si="3"/>
        <v>26.857600695927147</v>
      </c>
      <c r="J70" s="4">
        <v>24.82</v>
      </c>
      <c r="K70">
        <f t="shared" si="4"/>
        <v>13.461826431657316</v>
      </c>
      <c r="L70" s="27">
        <f t="shared" si="5"/>
        <v>12.078173568342683</v>
      </c>
      <c r="M70" s="4">
        <v>25.93</v>
      </c>
      <c r="N70">
        <f t="shared" si="6"/>
        <v>14.063866211638768</v>
      </c>
      <c r="O70" s="27">
        <f t="shared" si="7"/>
        <v>7.896133788361233</v>
      </c>
      <c r="Q70" s="2"/>
    </row>
    <row r="71" spans="1:17">
      <c r="A71" s="5">
        <v>-1.7616178577572867</v>
      </c>
      <c r="B71" s="5">
        <v>0.23703696918983042</v>
      </c>
      <c r="D71" s="4">
        <v>63.75</v>
      </c>
      <c r="E71" s="4">
        <v>25.63</v>
      </c>
      <c r="F71" s="4">
        <v>24.05</v>
      </c>
      <c r="G71" s="4">
        <v>64.260000000000005</v>
      </c>
      <c r="H71">
        <f t="shared" si="2"/>
        <v>34.853221857304561</v>
      </c>
      <c r="I71" s="27">
        <f t="shared" si="3"/>
        <v>28.896778142695439</v>
      </c>
      <c r="J71" s="4">
        <v>25.54</v>
      </c>
      <c r="K71">
        <f t="shared" si="4"/>
        <v>13.852338721375013</v>
      </c>
      <c r="L71" s="27">
        <f t="shared" si="5"/>
        <v>11.777661278624986</v>
      </c>
      <c r="M71" s="4">
        <v>21.96</v>
      </c>
      <c r="N71">
        <f t="shared" si="6"/>
        <v>11.910624836389793</v>
      </c>
      <c r="O71" s="27">
        <f t="shared" si="7"/>
        <v>12.139375163610207</v>
      </c>
      <c r="Q71" s="2"/>
    </row>
    <row r="72" spans="1:17" ht="15" thickBot="1">
      <c r="A72" s="6">
        <v>-2.4661850156031733</v>
      </c>
      <c r="B72" s="5">
        <v>-1.7616178577572867</v>
      </c>
      <c r="D72" s="4">
        <v>69.680000000000007</v>
      </c>
      <c r="E72" s="4">
        <v>28.73</v>
      </c>
      <c r="F72" s="4">
        <v>25.66</v>
      </c>
      <c r="G72" s="4">
        <v>63.75</v>
      </c>
      <c r="H72">
        <f t="shared" si="2"/>
        <v>34.576608985421188</v>
      </c>
      <c r="I72" s="27">
        <f t="shared" si="3"/>
        <v>35.103391014578818</v>
      </c>
      <c r="J72" s="4">
        <v>25.63</v>
      </c>
      <c r="K72">
        <f t="shared" si="4"/>
        <v>13.901152757589726</v>
      </c>
      <c r="L72" s="27">
        <f t="shared" si="5"/>
        <v>14.828847242410275</v>
      </c>
      <c r="M72" s="4">
        <v>24.05</v>
      </c>
      <c r="N72">
        <f t="shared" si="6"/>
        <v>13.044195232931445</v>
      </c>
      <c r="O72" s="27">
        <f t="shared" si="7"/>
        <v>12.615804767068555</v>
      </c>
      <c r="Q72" s="2"/>
    </row>
    <row r="73" spans="1:17">
      <c r="Q73" s="2"/>
    </row>
    <row r="74" spans="1:17">
      <c r="Q74" s="2"/>
    </row>
    <row r="75" spans="1:17">
      <c r="A75" cm="1">
        <f t="array" ref="A75:B79">LINEST(A54:A72,B54:B72,FALSE,TRUE)</f>
        <v>0.54237818016346961</v>
      </c>
      <c r="B75">
        <v>0</v>
      </c>
    </row>
    <row r="76" spans="1:17">
      <c r="A76">
        <v>0.20157686447016898</v>
      </c>
      <c r="B76" t="e">
        <v>#N/A</v>
      </c>
    </row>
    <row r="77" spans="1:17">
      <c r="A77">
        <v>0.28683896638349715</v>
      </c>
      <c r="B77">
        <v>2.6382092895413365</v>
      </c>
    </row>
    <row r="78" spans="1:17">
      <c r="A78">
        <v>7.2397413088042732</v>
      </c>
      <c r="B78">
        <v>18</v>
      </c>
    </row>
    <row r="79" spans="1:17">
      <c r="A79">
        <v>50.389672840182115</v>
      </c>
      <c r="B79">
        <v>125.28266859759965</v>
      </c>
      <c r="I79" s="4" t="s">
        <v>155</v>
      </c>
      <c r="J79" s="4" t="s">
        <v>129</v>
      </c>
    </row>
    <row r="81" spans="1:14">
      <c r="A81" t="s">
        <v>148</v>
      </c>
      <c r="B81" t="s">
        <v>151</v>
      </c>
      <c r="C81" t="s">
        <v>154</v>
      </c>
      <c r="F81" t="s">
        <v>2</v>
      </c>
      <c r="I81" t="s">
        <v>156</v>
      </c>
      <c r="J81" t="s">
        <v>157</v>
      </c>
    </row>
    <row r="82" spans="1:14" ht="15" thickBot="1">
      <c r="A82">
        <v>18.666726178721202</v>
      </c>
      <c r="B82">
        <v>7.4192450422247873</v>
      </c>
      <c r="C82">
        <v>7.7305892640635179</v>
      </c>
    </row>
    <row r="83" spans="1:14">
      <c r="A83">
        <v>16.556729305017647</v>
      </c>
      <c r="B83">
        <v>7.6216138434989151</v>
      </c>
      <c r="C83">
        <v>10.382622791452077</v>
      </c>
      <c r="F83" s="8" t="s">
        <v>3</v>
      </c>
      <c r="G83" s="8"/>
    </row>
    <row r="84" spans="1:14">
      <c r="A84">
        <v>23.90470828281488</v>
      </c>
      <c r="B84">
        <v>8.7753393717975641</v>
      </c>
      <c r="C84">
        <v>11.543625486812344</v>
      </c>
      <c r="F84" s="5" t="s">
        <v>4</v>
      </c>
      <c r="G84" s="5">
        <v>0.8871222552368293</v>
      </c>
    </row>
    <row r="85" spans="1:14">
      <c r="A85">
        <v>27.214167856429157</v>
      </c>
      <c r="B85">
        <v>8.9271958833539955</v>
      </c>
      <c r="C85">
        <v>10.342594654784051</v>
      </c>
      <c r="F85" s="5" t="s">
        <v>5</v>
      </c>
      <c r="G85" s="5">
        <v>0.78698589573647804</v>
      </c>
    </row>
    <row r="86" spans="1:14">
      <c r="A86">
        <v>23.155319430953522</v>
      </c>
      <c r="B86">
        <v>8.8665128303970615</v>
      </c>
      <c r="C86">
        <v>5.3532714551480876</v>
      </c>
      <c r="F86" s="5" t="s">
        <v>6</v>
      </c>
      <c r="G86" s="5">
        <v>0.76035913270353783</v>
      </c>
    </row>
    <row r="87" spans="1:14">
      <c r="A87">
        <v>27.021084739233626</v>
      </c>
      <c r="B87">
        <v>8.6270188675218673</v>
      </c>
      <c r="C87">
        <v>10.764653192544184</v>
      </c>
      <c r="F87" s="5" t="s">
        <v>7</v>
      </c>
      <c r="G87" s="5">
        <v>2.7402704667652507</v>
      </c>
    </row>
    <row r="88" spans="1:14" ht="15" thickBot="1">
      <c r="A88">
        <v>30.618523290645133</v>
      </c>
      <c r="B88">
        <v>9.4915950857202329</v>
      </c>
      <c r="C88">
        <v>9.3922656334913768</v>
      </c>
      <c r="F88" s="6" t="s">
        <v>8</v>
      </c>
      <c r="G88" s="6">
        <v>19</v>
      </c>
    </row>
    <row r="89" spans="1:14">
      <c r="A89">
        <v>17.038324390737877</v>
      </c>
      <c r="B89">
        <v>9.3197260689780155</v>
      </c>
      <c r="C89">
        <v>1.6617564700701237</v>
      </c>
    </row>
    <row r="90" spans="1:14" ht="15" thickBot="1">
      <c r="A90">
        <v>28.471261755065754</v>
      </c>
      <c r="B90">
        <v>9.4070126149289734</v>
      </c>
      <c r="C90">
        <v>16.086373330122299</v>
      </c>
      <c r="F90" t="s">
        <v>9</v>
      </c>
    </row>
    <row r="91" spans="1:14">
      <c r="A91">
        <v>22.389706128133973</v>
      </c>
      <c r="B91">
        <v>9.7814180698881046</v>
      </c>
      <c r="C91">
        <v>6.8661494198434667</v>
      </c>
      <c r="F91" s="7"/>
      <c r="G91" s="7" t="s">
        <v>14</v>
      </c>
      <c r="H91" s="7" t="s">
        <v>15</v>
      </c>
      <c r="I91" s="7" t="s">
        <v>16</v>
      </c>
      <c r="J91" s="7" t="s">
        <v>17</v>
      </c>
      <c r="K91" s="7" t="s">
        <v>18</v>
      </c>
    </row>
    <row r="92" spans="1:14">
      <c r="A92">
        <v>22.221416886822748</v>
      </c>
      <c r="B92">
        <v>9.9048051980047376</v>
      </c>
      <c r="C92">
        <v>6.5558297774401328</v>
      </c>
      <c r="F92" s="5" t="s">
        <v>10</v>
      </c>
      <c r="G92" s="5">
        <v>2</v>
      </c>
      <c r="H92" s="5">
        <v>443.87985114315171</v>
      </c>
      <c r="I92" s="5">
        <v>221.93992557157586</v>
      </c>
      <c r="J92" s="5">
        <v>29.556198579710554</v>
      </c>
      <c r="K92" s="5">
        <v>4.2390338251127441E-6</v>
      </c>
    </row>
    <row r="93" spans="1:14">
      <c r="A93">
        <v>24.152273829315362</v>
      </c>
      <c r="B93">
        <v>9.857853925939347</v>
      </c>
      <c r="C93">
        <v>7.4978758100144773</v>
      </c>
      <c r="F93" s="5" t="s">
        <v>11</v>
      </c>
      <c r="G93" s="5">
        <v>16</v>
      </c>
      <c r="H93" s="5">
        <v>120.14531569641353</v>
      </c>
      <c r="I93" s="5">
        <v>7.5090822310258458</v>
      </c>
      <c r="J93" s="5"/>
      <c r="K93" s="5"/>
    </row>
    <row r="94" spans="1:14" ht="15" thickBot="1">
      <c r="A94">
        <v>28.181590776358426</v>
      </c>
      <c r="B94">
        <v>11.335649635311558</v>
      </c>
      <c r="C94">
        <v>10.730589264063518</v>
      </c>
      <c r="F94" s="6" t="s">
        <v>12</v>
      </c>
      <c r="G94" s="6">
        <v>18</v>
      </c>
      <c r="H94" s="6">
        <v>564.02516683956526</v>
      </c>
      <c r="I94" s="6"/>
      <c r="J94" s="6"/>
      <c r="K94" s="6"/>
    </row>
    <row r="95" spans="1:14" ht="15" thickBot="1">
      <c r="A95">
        <v>35.743770056614643</v>
      </c>
      <c r="B95">
        <v>10.534115892454912</v>
      </c>
      <c r="C95">
        <v>21.175488250961671</v>
      </c>
    </row>
    <row r="96" spans="1:14">
      <c r="A96">
        <v>27.313716909575042</v>
      </c>
      <c r="B96">
        <v>11.236996983446739</v>
      </c>
      <c r="C96">
        <v>8.997288489182047</v>
      </c>
      <c r="F96" s="7"/>
      <c r="G96" s="7" t="s">
        <v>19</v>
      </c>
      <c r="H96" s="7" t="s">
        <v>7</v>
      </c>
      <c r="I96" s="7" t="s">
        <v>20</v>
      </c>
      <c r="J96" s="7" t="s">
        <v>21</v>
      </c>
      <c r="K96" s="7" t="s">
        <v>22</v>
      </c>
      <c r="L96" s="7" t="s">
        <v>23</v>
      </c>
      <c r="M96" s="7" t="s">
        <v>24</v>
      </c>
      <c r="N96" s="7" t="s">
        <v>25</v>
      </c>
    </row>
    <row r="97" spans="1:14">
      <c r="A97">
        <v>34.66542766826381</v>
      </c>
      <c r="B97">
        <v>11.971060911927404</v>
      </c>
      <c r="C97">
        <v>11.660030079899116</v>
      </c>
      <c r="F97" s="5" t="s">
        <v>13</v>
      </c>
      <c r="G97" s="5">
        <v>0.81481913844829723</v>
      </c>
      <c r="H97" s="5">
        <v>3.7701748141957152</v>
      </c>
      <c r="I97" s="5">
        <v>0.21612237591219524</v>
      </c>
      <c r="J97" s="5">
        <v>0.83162364208005446</v>
      </c>
      <c r="K97" s="5">
        <v>-7.1775944291557101</v>
      </c>
      <c r="L97" s="5">
        <v>8.8072327060523037</v>
      </c>
      <c r="M97" s="5">
        <v>-7.1775944291557101</v>
      </c>
      <c r="N97" s="5">
        <v>8.8072327060523037</v>
      </c>
    </row>
    <row r="98" spans="1:14">
      <c r="A98">
        <v>26.857600695927147</v>
      </c>
      <c r="B98">
        <v>12.078173568342683</v>
      </c>
      <c r="C98">
        <v>7.896133788361233</v>
      </c>
      <c r="F98" s="5" t="s">
        <v>26</v>
      </c>
      <c r="G98" s="5">
        <v>1.7649734991667578</v>
      </c>
      <c r="H98" s="5">
        <v>0.37237365862857363</v>
      </c>
      <c r="I98" s="5">
        <v>4.739791492413918</v>
      </c>
      <c r="J98" s="5">
        <v>2.2200937845326402E-4</v>
      </c>
      <c r="K98" s="5">
        <v>0.97557660694963799</v>
      </c>
      <c r="L98" s="5">
        <v>2.5543703913838778</v>
      </c>
      <c r="M98" s="5">
        <v>0.97557660694963799</v>
      </c>
      <c r="N98" s="5">
        <v>2.5543703913838778</v>
      </c>
    </row>
    <row r="99" spans="1:14" ht="15" thickBot="1">
      <c r="A99">
        <v>28.896778142695439</v>
      </c>
      <c r="B99">
        <v>11.777661278624986</v>
      </c>
      <c r="C99">
        <v>12.139375163610207</v>
      </c>
      <c r="F99" s="6" t="s">
        <v>128</v>
      </c>
      <c r="G99" s="6">
        <v>0.76157463030926653</v>
      </c>
      <c r="H99" s="6">
        <v>0.16027482213956915</v>
      </c>
      <c r="I99" s="6">
        <v>4.7516797719237438</v>
      </c>
      <c r="J99" s="6">
        <v>2.1667869116643375E-4</v>
      </c>
      <c r="K99" s="6">
        <v>0.42180718552384977</v>
      </c>
      <c r="L99" s="6">
        <v>1.1013420750946832</v>
      </c>
      <c r="M99" s="6">
        <v>0.42180718552384977</v>
      </c>
      <c r="N99" s="6">
        <v>1.1013420750946832</v>
      </c>
    </row>
    <row r="100" spans="1:14">
      <c r="A100">
        <v>35.103391014578818</v>
      </c>
      <c r="B100">
        <v>14.828847242410275</v>
      </c>
      <c r="C100">
        <v>12.615804767068555</v>
      </c>
    </row>
    <row r="103" spans="1:14">
      <c r="F103" t="s">
        <v>27</v>
      </c>
    </row>
    <row r="104" spans="1:14" ht="15" thickBot="1"/>
    <row r="105" spans="1:14">
      <c r="F105" s="7" t="s">
        <v>28</v>
      </c>
      <c r="G105" s="7" t="s">
        <v>29</v>
      </c>
      <c r="H105" s="7" t="s">
        <v>30</v>
      </c>
    </row>
    <row r="106" spans="1:14">
      <c r="F106" s="5">
        <v>1</v>
      </c>
      <c r="G106" s="5">
        <v>19.797010682651358</v>
      </c>
      <c r="H106" s="5">
        <v>-1.1302845039301559</v>
      </c>
    </row>
    <row r="107" spans="1:14">
      <c r="F107" s="5">
        <v>2</v>
      </c>
      <c r="G107" s="5">
        <v>22.173907707147062</v>
      </c>
      <c r="H107" s="5">
        <v>-5.6171784021294151</v>
      </c>
    </row>
    <row r="108" spans="1:14">
      <c r="F108" s="5">
        <v>3</v>
      </c>
      <c r="G108" s="5">
        <v>25.094392888413399</v>
      </c>
      <c r="H108" s="5">
        <v>-1.1896846055985186</v>
      </c>
    </row>
    <row r="109" spans="1:14">
      <c r="F109" s="5">
        <v>4</v>
      </c>
      <c r="G109" s="5">
        <v>24.447740995094435</v>
      </c>
      <c r="H109" s="5">
        <v>2.7664268613347218</v>
      </c>
    </row>
    <row r="110" spans="1:14">
      <c r="F110" s="5">
        <v>5</v>
      </c>
      <c r="G110" s="5">
        <v>20.540895043520706</v>
      </c>
      <c r="H110" s="5">
        <v>2.6144243874328161</v>
      </c>
    </row>
    <row r="111" spans="1:14">
      <c r="F111" s="5">
        <v>6</v>
      </c>
      <c r="G111" s="5">
        <v>24.239365591955313</v>
      </c>
      <c r="H111" s="5">
        <v>2.7817191472783129</v>
      </c>
    </row>
    <row r="112" spans="1:14">
      <c r="F112" s="5">
        <v>7</v>
      </c>
      <c r="G112" s="5">
        <v>24.720144157158565</v>
      </c>
      <c r="H112" s="5">
        <v>5.8983791334865678</v>
      </c>
    </row>
    <row r="113" spans="1:8">
      <c r="F113" s="5">
        <v>8</v>
      </c>
      <c r="G113" s="5">
        <v>18.529440239045762</v>
      </c>
      <c r="H113" s="5">
        <v>-1.491115848307885</v>
      </c>
    </row>
    <row r="114" spans="1:8">
      <c r="F114" s="5">
        <v>9</v>
      </c>
      <c r="G114" s="5">
        <v>29.668920932030055</v>
      </c>
      <c r="H114" s="5">
        <v>-1.1976591769643008</v>
      </c>
    </row>
    <row r="115" spans="1:8">
      <c r="F115" s="5">
        <v>10</v>
      </c>
      <c r="G115" s="5">
        <v>23.307848022137133</v>
      </c>
      <c r="H115" s="5">
        <v>-0.91814189400315982</v>
      </c>
    </row>
    <row r="116" spans="1:8">
      <c r="F116" s="5">
        <v>11</v>
      </c>
      <c r="G116" s="5">
        <v>23.289291466460263</v>
      </c>
      <c r="H116" s="5">
        <v>-1.0678745796375146</v>
      </c>
    </row>
    <row r="117" spans="1:8">
      <c r="F117" s="5">
        <v>12</v>
      </c>
      <c r="G117" s="5">
        <v>23.923862074504793</v>
      </c>
      <c r="H117" s="5">
        <v>0.22841175481056908</v>
      </c>
    </row>
    <row r="118" spans="1:8">
      <c r="F118" s="5">
        <v>13</v>
      </c>
      <c r="G118" s="5">
        <v>28.99408489239228</v>
      </c>
      <c r="H118" s="5">
        <v>-0.81249411603385369</v>
      </c>
    </row>
    <row r="119" spans="1:8">
      <c r="F119" s="5">
        <v>14</v>
      </c>
      <c r="G119" s="5">
        <v>35.533969162126951</v>
      </c>
      <c r="H119" s="5">
        <v>0.20980089448769235</v>
      </c>
    </row>
    <row r="120" spans="1:8">
      <c r="F120" s="5">
        <v>15</v>
      </c>
      <c r="G120" s="5">
        <v>27.499927679383227</v>
      </c>
      <c r="H120" s="5">
        <v>-0.1862107698081843</v>
      </c>
    </row>
    <row r="121" spans="1:8">
      <c r="F121" s="5">
        <v>16</v>
      </c>
      <c r="G121" s="5">
        <v>30.823407502405303</v>
      </c>
      <c r="H121" s="5">
        <v>3.8420201658585071</v>
      </c>
    </row>
    <row r="122" spans="1:8">
      <c r="F122" s="5">
        <v>17</v>
      </c>
      <c r="G122" s="5">
        <v>28.145970575653241</v>
      </c>
      <c r="H122" s="5">
        <v>-1.2883698797260941</v>
      </c>
    </row>
    <row r="123" spans="1:8">
      <c r="F123" s="5">
        <v>18</v>
      </c>
      <c r="G123" s="5">
        <v>30.847119329795806</v>
      </c>
      <c r="H123" s="5">
        <v>-1.9503411871003671</v>
      </c>
    </row>
    <row r="124" spans="1:8" ht="15" thickBot="1">
      <c r="F124" s="6">
        <v>19</v>
      </c>
      <c r="G124" s="6">
        <v>36.595218396028606</v>
      </c>
      <c r="H124" s="6">
        <v>-1.491827381449788</v>
      </c>
    </row>
    <row r="128" spans="1:8">
      <c r="A128" t="s">
        <v>158</v>
      </c>
    </row>
    <row r="129" spans="1:15">
      <c r="A129" t="s">
        <v>143</v>
      </c>
    </row>
    <row r="130" spans="1:15">
      <c r="A130" t="s">
        <v>31</v>
      </c>
      <c r="B130" t="s">
        <v>144</v>
      </c>
      <c r="C130" t="s">
        <v>159</v>
      </c>
      <c r="D130" s="4" t="s">
        <v>107</v>
      </c>
      <c r="E130" s="4" t="s">
        <v>108</v>
      </c>
      <c r="F130" s="4" t="s">
        <v>109</v>
      </c>
      <c r="G130" s="4" t="s">
        <v>146</v>
      </c>
      <c r="H130" s="4" t="s">
        <v>147</v>
      </c>
      <c r="I130" s="4" t="s">
        <v>148</v>
      </c>
      <c r="J130" s="4" t="s">
        <v>160</v>
      </c>
      <c r="K130" s="4" t="s">
        <v>161</v>
      </c>
      <c r="L130" s="4" t="s">
        <v>162</v>
      </c>
      <c r="M130" s="4" t="s">
        <v>152</v>
      </c>
      <c r="N130" s="4" t="s">
        <v>153</v>
      </c>
      <c r="O130" s="4" t="s">
        <v>163</v>
      </c>
    </row>
    <row r="131" spans="1:15">
      <c r="A131" s="5">
        <v>-1.1302845039301559</v>
      </c>
      <c r="B131" t="s">
        <v>133</v>
      </c>
      <c r="D131" s="4">
        <v>18.666726178721202</v>
      </c>
      <c r="E131" s="4">
        <v>7.4192450422247873</v>
      </c>
      <c r="F131" s="4">
        <v>7.7305892640635179</v>
      </c>
      <c r="G131" t="s">
        <v>133</v>
      </c>
      <c r="H131" t="s">
        <v>133</v>
      </c>
      <c r="I131" t="s">
        <v>133</v>
      </c>
      <c r="J131" t="s">
        <v>133</v>
      </c>
      <c r="K131" t="s">
        <v>133</v>
      </c>
      <c r="L131" t="s">
        <v>133</v>
      </c>
      <c r="M131" t="s">
        <v>133</v>
      </c>
      <c r="N131" t="s">
        <v>133</v>
      </c>
      <c r="O131" t="s">
        <v>133</v>
      </c>
    </row>
    <row r="132" spans="1:15">
      <c r="A132" s="5">
        <v>-5.6171784021294151</v>
      </c>
      <c r="B132" s="5">
        <v>-1.1302845039301559</v>
      </c>
      <c r="D132" s="4">
        <v>16.556729305017647</v>
      </c>
      <c r="E132" s="4">
        <v>7.6216138434989151</v>
      </c>
      <c r="F132" s="4">
        <v>10.382622791452077</v>
      </c>
      <c r="G132">
        <v>18.666726178721202</v>
      </c>
      <c r="H132">
        <f>$A$152*G132</f>
        <v>5.5155041902710078</v>
      </c>
      <c r="I132" s="27">
        <f>D132-H132</f>
        <v>11.04122511474664</v>
      </c>
      <c r="J132" s="4">
        <v>7.4192450422247873</v>
      </c>
      <c r="K132">
        <f>$A$152*J132</f>
        <v>2.1921828566642412</v>
      </c>
      <c r="L132" s="27">
        <f>E132-K132</f>
        <v>5.4294309868346744</v>
      </c>
      <c r="M132" s="4">
        <v>7.7305892640635179</v>
      </c>
      <c r="N132">
        <f>$A$152*M132</f>
        <v>2.2841765112412125</v>
      </c>
      <c r="O132" s="27">
        <f>F132-N132</f>
        <v>8.0984462802108652</v>
      </c>
    </row>
    <row r="133" spans="1:15">
      <c r="A133" s="5">
        <v>-1.1896846055985186</v>
      </c>
      <c r="B133" s="5">
        <v>-5.6171784021294151</v>
      </c>
      <c r="D133" s="4">
        <v>23.90470828281488</v>
      </c>
      <c r="E133" s="4">
        <v>8.7753393717975641</v>
      </c>
      <c r="F133" s="4">
        <v>11.543625486812344</v>
      </c>
      <c r="G133">
        <v>16.556729305017647</v>
      </c>
      <c r="H133">
        <f t="shared" ref="H133:H149" si="8">$A$152*G133</f>
        <v>4.8920581458523102</v>
      </c>
      <c r="I133" s="27">
        <f t="shared" ref="I133:I149" si="9">D133-H133</f>
        <v>19.01265013696257</v>
      </c>
      <c r="J133" s="4">
        <v>7.6216138434989151</v>
      </c>
      <c r="K133">
        <f t="shared" ref="K133:K149" si="10">$A$152*J133</f>
        <v>2.2519772716420494</v>
      </c>
      <c r="L133" s="27">
        <f t="shared" ref="L133:L149" si="11">E133-K133</f>
        <v>6.5233621001555147</v>
      </c>
      <c r="M133" s="4">
        <v>10.382622791452077</v>
      </c>
      <c r="N133">
        <f>$A$152*M133</f>
        <v>3.0677794790570112</v>
      </c>
      <c r="O133" s="27">
        <f t="shared" ref="O133:O149" si="12">F133-N133</f>
        <v>8.475846007755333</v>
      </c>
    </row>
    <row r="134" spans="1:15">
      <c r="A134" s="5">
        <v>2.7664268613347218</v>
      </c>
      <c r="B134" s="5">
        <v>-1.1896846055985186</v>
      </c>
      <c r="D134" s="4">
        <v>27.214167856429157</v>
      </c>
      <c r="E134" s="4">
        <v>8.9271958833539955</v>
      </c>
      <c r="F134" s="4">
        <v>10.342594654784051</v>
      </c>
      <c r="G134">
        <v>23.90470828281488</v>
      </c>
      <c r="H134">
        <f t="shared" si="8"/>
        <v>7.0631838405262304</v>
      </c>
      <c r="I134" s="27">
        <f t="shared" si="9"/>
        <v>20.150984015902928</v>
      </c>
      <c r="J134" s="4">
        <v>8.7753393717975641</v>
      </c>
      <c r="K134">
        <f t="shared" si="10"/>
        <v>2.5928714340585768</v>
      </c>
      <c r="L134" s="27">
        <f t="shared" si="11"/>
        <v>6.3343244492954192</v>
      </c>
      <c r="M134" s="4">
        <v>11.543625486812344</v>
      </c>
      <c r="N134">
        <f t="shared" ref="N134:N149" si="13">$A$152*M134</f>
        <v>3.4108238441945389</v>
      </c>
      <c r="O134" s="27">
        <f t="shared" si="12"/>
        <v>6.9317708105895122</v>
      </c>
    </row>
    <row r="135" spans="1:15">
      <c r="A135" s="5">
        <v>2.6144243874328161</v>
      </c>
      <c r="B135" s="5">
        <v>2.7664268613347218</v>
      </c>
      <c r="D135" s="4">
        <v>23.155319430953522</v>
      </c>
      <c r="E135" s="4">
        <v>8.8665128303970615</v>
      </c>
      <c r="F135" s="4">
        <v>5.3532714551480876</v>
      </c>
      <c r="G135">
        <v>27.214167856429157</v>
      </c>
      <c r="H135">
        <f t="shared" si="8"/>
        <v>8.0410381236521928</v>
      </c>
      <c r="I135" s="27">
        <f t="shared" si="9"/>
        <v>15.114281307301329</v>
      </c>
      <c r="J135" s="4">
        <v>8.9271958833539955</v>
      </c>
      <c r="K135">
        <f t="shared" si="10"/>
        <v>2.6377408566766789</v>
      </c>
      <c r="L135" s="27">
        <f t="shared" si="11"/>
        <v>6.2287719737203826</v>
      </c>
      <c r="M135" s="4">
        <v>10.342594654784051</v>
      </c>
      <c r="N135">
        <f t="shared" si="13"/>
        <v>3.0559522655752542</v>
      </c>
      <c r="O135" s="27">
        <f t="shared" si="12"/>
        <v>2.2973191895728333</v>
      </c>
    </row>
    <row r="136" spans="1:15">
      <c r="A136" s="5">
        <v>2.7817191472783129</v>
      </c>
      <c r="B136" s="5">
        <v>2.6144243874328161</v>
      </c>
      <c r="D136" s="4">
        <v>27.021084739233626</v>
      </c>
      <c r="E136" s="4">
        <v>8.6270188675218673</v>
      </c>
      <c r="F136" s="4">
        <v>10.764653192544184</v>
      </c>
      <c r="G136">
        <v>23.155319430953522</v>
      </c>
      <c r="H136">
        <f t="shared" si="8"/>
        <v>6.8417600454262981</v>
      </c>
      <c r="I136" s="27">
        <f t="shared" si="9"/>
        <v>20.179324693807327</v>
      </c>
      <c r="J136" s="4">
        <v>8.8665128303970615</v>
      </c>
      <c r="K136">
        <f t="shared" si="10"/>
        <v>2.6198106835087702</v>
      </c>
      <c r="L136" s="27">
        <f t="shared" si="11"/>
        <v>6.0072081840130966</v>
      </c>
      <c r="M136" s="4">
        <v>5.3532714551480876</v>
      </c>
      <c r="N136">
        <f t="shared" si="13"/>
        <v>1.5817444826605469</v>
      </c>
      <c r="O136" s="27">
        <f t="shared" si="12"/>
        <v>9.1829087098836375</v>
      </c>
    </row>
    <row r="137" spans="1:15">
      <c r="A137" s="5">
        <v>5.8983791334865678</v>
      </c>
      <c r="B137" s="5">
        <v>2.7817191472783129</v>
      </c>
      <c r="D137" s="4">
        <v>30.618523290645133</v>
      </c>
      <c r="E137" s="4">
        <v>9.4915950857202329</v>
      </c>
      <c r="F137" s="4">
        <v>9.3922656334913768</v>
      </c>
      <c r="G137">
        <v>27.021084739233626</v>
      </c>
      <c r="H137">
        <f t="shared" si="8"/>
        <v>7.9839873729331661</v>
      </c>
      <c r="I137" s="27">
        <f t="shared" si="9"/>
        <v>22.634535917711965</v>
      </c>
      <c r="J137" s="4">
        <v>8.6270188675218673</v>
      </c>
      <c r="K137">
        <f t="shared" si="10"/>
        <v>2.5490468043402577</v>
      </c>
      <c r="L137" s="27">
        <f t="shared" si="11"/>
        <v>6.9425482813799757</v>
      </c>
      <c r="M137" s="4">
        <v>10.764653192544184</v>
      </c>
      <c r="N137">
        <f t="shared" si="13"/>
        <v>3.1806589555040579</v>
      </c>
      <c r="O137" s="27">
        <f t="shared" si="12"/>
        <v>6.2116066779873194</v>
      </c>
    </row>
    <row r="138" spans="1:15">
      <c r="A138" s="5">
        <v>-1.491115848307885</v>
      </c>
      <c r="B138" s="5">
        <v>5.8983791334865678</v>
      </c>
      <c r="D138" s="4">
        <v>17.038324390737877</v>
      </c>
      <c r="E138" s="4">
        <v>9.3197260689780155</v>
      </c>
      <c r="F138" s="4">
        <v>1.6617564700701237</v>
      </c>
      <c r="G138">
        <v>30.618523290645133</v>
      </c>
      <c r="H138">
        <f t="shared" si="8"/>
        <v>9.0469315236418648</v>
      </c>
      <c r="I138" s="27">
        <f t="shared" si="9"/>
        <v>7.9913928670960122</v>
      </c>
      <c r="J138" s="4">
        <v>9.4915950857202329</v>
      </c>
      <c r="K138">
        <f t="shared" si="10"/>
        <v>2.8045052981664322</v>
      </c>
      <c r="L138" s="27">
        <f t="shared" si="11"/>
        <v>6.5152207708115828</v>
      </c>
      <c r="M138" s="4">
        <v>9.3922656334913768</v>
      </c>
      <c r="N138">
        <f t="shared" si="13"/>
        <v>2.7751561769150532</v>
      </c>
      <c r="O138" s="27">
        <f t="shared" si="12"/>
        <v>-1.1133997068449295</v>
      </c>
    </row>
    <row r="139" spans="1:15">
      <c r="A139" s="5">
        <v>-1.1976591769643008</v>
      </c>
      <c r="B139" s="5">
        <v>-1.491115848307885</v>
      </c>
      <c r="D139" s="4">
        <v>28.471261755065754</v>
      </c>
      <c r="E139" s="4">
        <v>9.4070126149289734</v>
      </c>
      <c r="F139" s="4">
        <v>16.086373330122299</v>
      </c>
      <c r="G139">
        <v>17.038324390737877</v>
      </c>
      <c r="H139">
        <f t="shared" si="8"/>
        <v>5.0343562482550652</v>
      </c>
      <c r="I139" s="27">
        <f t="shared" si="9"/>
        <v>23.436905506810689</v>
      </c>
      <c r="J139" s="4">
        <v>9.3197260689780155</v>
      </c>
      <c r="K139">
        <f t="shared" si="10"/>
        <v>2.7537227306747609</v>
      </c>
      <c r="L139" s="27">
        <f t="shared" si="11"/>
        <v>6.6532898842542121</v>
      </c>
      <c r="M139" s="4">
        <v>1.6617564700701237</v>
      </c>
      <c r="N139">
        <f t="shared" si="13"/>
        <v>0.49100333321060269</v>
      </c>
      <c r="O139" s="27">
        <f t="shared" si="12"/>
        <v>15.595369996911696</v>
      </c>
    </row>
    <row r="140" spans="1:15">
      <c r="A140" s="5">
        <v>-0.91814189400315982</v>
      </c>
      <c r="B140" s="5">
        <v>-1.1976591769643008</v>
      </c>
      <c r="D140" s="4">
        <v>22.389706128133973</v>
      </c>
      <c r="E140" s="4">
        <v>9.7814180698881046</v>
      </c>
      <c r="F140" s="4">
        <v>6.8661494198434667</v>
      </c>
      <c r="G140">
        <v>28.471261755065754</v>
      </c>
      <c r="H140">
        <f t="shared" si="8"/>
        <v>8.4124747965379818</v>
      </c>
      <c r="I140" s="27">
        <f t="shared" si="9"/>
        <v>13.977231331595991</v>
      </c>
      <c r="J140" s="4">
        <v>9.4070126149289734</v>
      </c>
      <c r="K140">
        <f t="shared" si="10"/>
        <v>2.7795135043400214</v>
      </c>
      <c r="L140" s="27">
        <f t="shared" si="11"/>
        <v>7.0019045655480827</v>
      </c>
      <c r="M140" s="4">
        <v>16.086373330122299</v>
      </c>
      <c r="N140">
        <f t="shared" si="13"/>
        <v>4.7530808915862908</v>
      </c>
      <c r="O140" s="27">
        <f t="shared" si="12"/>
        <v>2.1130685282571759</v>
      </c>
    </row>
    <row r="141" spans="1:15">
      <c r="A141" s="5">
        <v>-1.0678745796375146</v>
      </c>
      <c r="B141" s="5">
        <v>-0.91814189400315982</v>
      </c>
      <c r="D141" s="4">
        <v>22.221416886822748</v>
      </c>
      <c r="E141" s="4">
        <v>9.9048051980047376</v>
      </c>
      <c r="F141" s="4">
        <v>6.5558297774401328</v>
      </c>
      <c r="G141">
        <v>22.389706128133973</v>
      </c>
      <c r="H141">
        <f t="shared" si="8"/>
        <v>6.6155423712932686</v>
      </c>
      <c r="I141" s="27">
        <f t="shared" si="9"/>
        <v>15.605874515529479</v>
      </c>
      <c r="J141" s="4">
        <v>9.7814180698881046</v>
      </c>
      <c r="K141">
        <f t="shared" si="10"/>
        <v>2.8901400189155346</v>
      </c>
      <c r="L141" s="27">
        <f t="shared" si="11"/>
        <v>7.014665179089203</v>
      </c>
      <c r="M141" s="4">
        <v>6.8661494198434667</v>
      </c>
      <c r="N141">
        <f t="shared" si="13"/>
        <v>2.0287583121749027</v>
      </c>
      <c r="O141" s="27">
        <f t="shared" si="12"/>
        <v>4.5270714652652302</v>
      </c>
    </row>
    <row r="142" spans="1:15">
      <c r="A142" s="5">
        <v>0.22841175481056908</v>
      </c>
      <c r="B142" s="5">
        <v>-1.0678745796375146</v>
      </c>
      <c r="D142" s="4">
        <v>24.152273829315362</v>
      </c>
      <c r="E142" s="4">
        <v>9.857853925939347</v>
      </c>
      <c r="F142" s="4">
        <v>7.4978758100144773</v>
      </c>
      <c r="G142">
        <v>22.221416886822748</v>
      </c>
      <c r="H142">
        <f t="shared" si="8"/>
        <v>6.565817528986015</v>
      </c>
      <c r="I142" s="27">
        <f t="shared" si="9"/>
        <v>17.586456300329345</v>
      </c>
      <c r="J142" s="4">
        <v>9.9048051980047376</v>
      </c>
      <c r="K142">
        <f t="shared" si="10"/>
        <v>2.9265975217276003</v>
      </c>
      <c r="L142" s="27">
        <f t="shared" si="11"/>
        <v>6.9312564042117462</v>
      </c>
      <c r="M142" s="4">
        <v>6.5558297774401328</v>
      </c>
      <c r="N142">
        <f t="shared" si="13"/>
        <v>1.9370673926418318</v>
      </c>
      <c r="O142" s="27">
        <f t="shared" si="12"/>
        <v>5.5608084173726455</v>
      </c>
    </row>
    <row r="143" spans="1:15">
      <c r="A143" s="5">
        <v>-0.81249411603385369</v>
      </c>
      <c r="B143" s="5">
        <v>0.22841175481056908</v>
      </c>
      <c r="D143" s="4">
        <v>28.181590776358426</v>
      </c>
      <c r="E143" s="4">
        <v>11.335649635311558</v>
      </c>
      <c r="F143" s="4">
        <v>10.730589264063518</v>
      </c>
      <c r="G143">
        <v>24.152273829315362</v>
      </c>
      <c r="H143">
        <f t="shared" si="8"/>
        <v>7.1363326506612745</v>
      </c>
      <c r="I143" s="27">
        <f t="shared" si="9"/>
        <v>21.045258125697153</v>
      </c>
      <c r="J143" s="4">
        <v>9.857853925939347</v>
      </c>
      <c r="K143">
        <f t="shared" si="10"/>
        <v>2.9127247121446103</v>
      </c>
      <c r="L143" s="27">
        <f t="shared" si="11"/>
        <v>8.4229249231669474</v>
      </c>
      <c r="M143" s="4">
        <v>7.4978758100144773</v>
      </c>
      <c r="N143">
        <f t="shared" si="13"/>
        <v>2.2154160859448333</v>
      </c>
      <c r="O143" s="27">
        <f t="shared" si="12"/>
        <v>8.515173178118685</v>
      </c>
    </row>
    <row r="144" spans="1:15">
      <c r="A144" s="5">
        <v>0.20980089448769235</v>
      </c>
      <c r="B144" s="5">
        <v>-0.81249411603385369</v>
      </c>
      <c r="D144" s="4">
        <v>35.743770056614643</v>
      </c>
      <c r="E144" s="4">
        <v>10.534115892454912</v>
      </c>
      <c r="F144" s="4">
        <v>21.175488250961671</v>
      </c>
      <c r="G144">
        <v>28.181590776358426</v>
      </c>
      <c r="H144">
        <f t="shared" si="8"/>
        <v>8.3268849892218277</v>
      </c>
      <c r="I144" s="27">
        <f t="shared" si="9"/>
        <v>27.416885067392816</v>
      </c>
      <c r="J144" s="4">
        <v>11.335649635311558</v>
      </c>
      <c r="K144">
        <f t="shared" si="10"/>
        <v>3.3493727000868287</v>
      </c>
      <c r="L144" s="27">
        <f t="shared" si="11"/>
        <v>7.1847431923680833</v>
      </c>
      <c r="M144" s="4">
        <v>10.730589264063518</v>
      </c>
      <c r="N144">
        <f t="shared" si="13"/>
        <v>3.1705940015065877</v>
      </c>
      <c r="O144" s="27">
        <f t="shared" si="12"/>
        <v>18.004894249455084</v>
      </c>
    </row>
    <row r="145" spans="1:15">
      <c r="A145" s="5">
        <v>-0.1862107698081843</v>
      </c>
      <c r="B145" s="5">
        <v>0.20980089448769235</v>
      </c>
      <c r="D145" s="4">
        <v>27.313716909575042</v>
      </c>
      <c r="E145" s="4">
        <v>11.236996983446739</v>
      </c>
      <c r="F145" s="4">
        <v>8.997288489182047</v>
      </c>
      <c r="G145">
        <v>35.743770056614643</v>
      </c>
      <c r="H145">
        <f t="shared" si="8"/>
        <v>10.561300982069007</v>
      </c>
      <c r="I145" s="27">
        <f t="shared" si="9"/>
        <v>16.752415927506036</v>
      </c>
      <c r="J145" s="4">
        <v>10.534115892454912</v>
      </c>
      <c r="K145">
        <f t="shared" si="10"/>
        <v>3.1125415238514949</v>
      </c>
      <c r="L145" s="27">
        <f t="shared" si="11"/>
        <v>8.124455459595243</v>
      </c>
      <c r="M145" s="4">
        <v>21.175488250961671</v>
      </c>
      <c r="N145">
        <f t="shared" si="13"/>
        <v>6.2567743835204608</v>
      </c>
      <c r="O145" s="27">
        <f t="shared" si="12"/>
        <v>2.7405141056615863</v>
      </c>
    </row>
    <row r="146" spans="1:15">
      <c r="A146" s="5">
        <v>3.8420201658585071</v>
      </c>
      <c r="B146" s="5">
        <v>-0.1862107698081843</v>
      </c>
      <c r="D146" s="4">
        <v>34.66542766826381</v>
      </c>
      <c r="E146" s="4">
        <v>11.971060911927404</v>
      </c>
      <c r="F146" s="4">
        <v>11.660030079899116</v>
      </c>
      <c r="G146">
        <v>27.313716909575042</v>
      </c>
      <c r="H146">
        <f t="shared" si="8"/>
        <v>8.0704521309348163</v>
      </c>
      <c r="I146" s="27">
        <f t="shared" si="9"/>
        <v>26.594975537328992</v>
      </c>
      <c r="J146" s="4">
        <v>11.236996983446739</v>
      </c>
      <c r="K146">
        <f t="shared" si="10"/>
        <v>3.3202235547288166</v>
      </c>
      <c r="L146" s="27">
        <f t="shared" si="11"/>
        <v>8.6508373571985882</v>
      </c>
      <c r="M146" s="4">
        <v>8.997288489182047</v>
      </c>
      <c r="N146">
        <f t="shared" si="13"/>
        <v>2.6584512939247662</v>
      </c>
      <c r="O146" s="27">
        <f t="shared" si="12"/>
        <v>9.001578785974349</v>
      </c>
    </row>
    <row r="147" spans="1:15">
      <c r="A147" s="5">
        <v>-1.2883698797260941</v>
      </c>
      <c r="B147" s="5">
        <v>3.8420201658585071</v>
      </c>
      <c r="D147" s="4">
        <v>26.857600695927147</v>
      </c>
      <c r="E147" s="4">
        <v>12.078173568342683</v>
      </c>
      <c r="F147" s="4">
        <v>7.896133788361233</v>
      </c>
      <c r="G147">
        <v>34.66542766826381</v>
      </c>
      <c r="H147">
        <f t="shared" si="8"/>
        <v>10.242680464226101</v>
      </c>
      <c r="I147" s="27">
        <f t="shared" si="9"/>
        <v>16.614920231701046</v>
      </c>
      <c r="J147" s="4">
        <v>11.971060911927404</v>
      </c>
      <c r="K147">
        <f t="shared" si="10"/>
        <v>3.5371192564548743</v>
      </c>
      <c r="L147" s="27">
        <f t="shared" si="11"/>
        <v>8.5410543118878088</v>
      </c>
      <c r="M147" s="4">
        <v>11.660030079899116</v>
      </c>
      <c r="N147">
        <f t="shared" si="13"/>
        <v>3.4452181999476519</v>
      </c>
      <c r="O147" s="27">
        <f t="shared" si="12"/>
        <v>4.4509155884135811</v>
      </c>
    </row>
    <row r="148" spans="1:15">
      <c r="A148" s="5">
        <v>-1.9503411871003671</v>
      </c>
      <c r="B148" s="5">
        <v>-1.2883698797260941</v>
      </c>
      <c r="D148" s="4">
        <v>28.896778142695439</v>
      </c>
      <c r="E148" s="4">
        <v>11.777661278624986</v>
      </c>
      <c r="F148" s="4">
        <v>12.139375163610207</v>
      </c>
      <c r="G148">
        <v>26.857600695927147</v>
      </c>
      <c r="H148">
        <f t="shared" si="8"/>
        <v>7.9356823344777778</v>
      </c>
      <c r="I148" s="27">
        <f t="shared" si="9"/>
        <v>20.96109580821766</v>
      </c>
      <c r="J148" s="4">
        <v>12.078173568342683</v>
      </c>
      <c r="K148">
        <f t="shared" si="10"/>
        <v>3.5687681004799705</v>
      </c>
      <c r="L148" s="27">
        <f t="shared" si="11"/>
        <v>8.208893178145015</v>
      </c>
      <c r="M148" s="4">
        <v>7.896133788361233</v>
      </c>
      <c r="N148">
        <f t="shared" si="13"/>
        <v>2.3330903651595976</v>
      </c>
      <c r="O148" s="27">
        <f t="shared" si="12"/>
        <v>9.8062847984506103</v>
      </c>
    </row>
    <row r="149" spans="1:15" ht="15" thickBot="1">
      <c r="A149" s="6">
        <v>-1.491827381449788</v>
      </c>
      <c r="B149" s="5">
        <v>-1.9503411871003671</v>
      </c>
      <c r="D149" s="4">
        <v>35.103391014578818</v>
      </c>
      <c r="E149" s="4">
        <v>14.828847242410275</v>
      </c>
      <c r="F149" s="4">
        <v>12.615804767068555</v>
      </c>
      <c r="G149">
        <v>28.896778142695439</v>
      </c>
      <c r="H149">
        <f t="shared" si="8"/>
        <v>8.5382031860011462</v>
      </c>
      <c r="I149" s="27">
        <f t="shared" si="9"/>
        <v>26.56518782857767</v>
      </c>
      <c r="J149" s="4">
        <v>11.777661278624986</v>
      </c>
      <c r="K149">
        <f t="shared" si="10"/>
        <v>3.4799749839314833</v>
      </c>
      <c r="L149" s="27">
        <f t="shared" si="11"/>
        <v>11.348872258478792</v>
      </c>
      <c r="M149" s="4">
        <v>12.139375163610207</v>
      </c>
      <c r="N149">
        <f t="shared" si="13"/>
        <v>3.5868514886390628</v>
      </c>
      <c r="O149" s="27">
        <f t="shared" si="12"/>
        <v>9.0289532784294924</v>
      </c>
    </row>
    <row r="150" spans="1:15">
      <c r="D150" s="4"/>
      <c r="E150" s="4"/>
      <c r="F150" s="4"/>
    </row>
    <row r="152" spans="1:15">
      <c r="A152" cm="1">
        <f t="array" ref="A152:B156">LINEST(A132:A149,B132:B149,FALSE,TRUE)</f>
        <v>0.29547249675512505</v>
      </c>
      <c r="B152">
        <v>0</v>
      </c>
    </row>
    <row r="153" spans="1:15">
      <c r="A153">
        <v>0.23272495987198319</v>
      </c>
      <c r="B153" t="e">
        <v>#N/A</v>
      </c>
      <c r="F153" s="4" t="s">
        <v>155</v>
      </c>
      <c r="G153" s="4" t="s">
        <v>129</v>
      </c>
    </row>
    <row r="154" spans="1:15">
      <c r="A154">
        <v>8.6607720975665756E-2</v>
      </c>
      <c r="B154">
        <v>2.5271805465319312</v>
      </c>
    </row>
    <row r="155" spans="1:15">
      <c r="A155">
        <v>1.6119374888509348</v>
      </c>
      <c r="B155">
        <v>17</v>
      </c>
      <c r="F155" t="s">
        <v>156</v>
      </c>
      <c r="G155" t="s">
        <v>157</v>
      </c>
    </row>
    <row r="156" spans="1:15">
      <c r="A156">
        <v>10.294866885508569</v>
      </c>
      <c r="B156">
        <v>108.57290575108034</v>
      </c>
    </row>
    <row r="157" spans="1:15">
      <c r="F157" t="s">
        <v>164</v>
      </c>
      <c r="G157" t="s">
        <v>165</v>
      </c>
    </row>
    <row r="158" spans="1:15">
      <c r="A158" t="s">
        <v>148</v>
      </c>
      <c r="B158" t="s">
        <v>162</v>
      </c>
      <c r="C158" t="s">
        <v>163</v>
      </c>
    </row>
    <row r="159" spans="1:15">
      <c r="A159">
        <v>11.04122511474664</v>
      </c>
      <c r="B159">
        <v>5.4294309868346744</v>
      </c>
      <c r="C159">
        <v>8.0984462802108652</v>
      </c>
      <c r="F159" t="s">
        <v>2</v>
      </c>
    </row>
    <row r="160" spans="1:15" ht="15" thickBot="1">
      <c r="A160">
        <v>19.01265013696257</v>
      </c>
      <c r="B160">
        <v>6.5233621001555147</v>
      </c>
      <c r="C160">
        <v>8.475846007755333</v>
      </c>
    </row>
    <row r="161" spans="1:14">
      <c r="A161">
        <v>20.150984015902928</v>
      </c>
      <c r="B161">
        <v>6.3343244492954192</v>
      </c>
      <c r="C161">
        <v>6.9317708105895122</v>
      </c>
      <c r="F161" s="8" t="s">
        <v>3</v>
      </c>
      <c r="G161" s="8"/>
    </row>
    <row r="162" spans="1:14">
      <c r="A162">
        <v>15.114281307301329</v>
      </c>
      <c r="B162">
        <v>6.2287719737203826</v>
      </c>
      <c r="C162">
        <v>2.2973191895728333</v>
      </c>
      <c r="F162" s="5" t="s">
        <v>4</v>
      </c>
      <c r="G162" s="5">
        <v>0.88100764106588125</v>
      </c>
    </row>
    <row r="163" spans="1:14">
      <c r="A163">
        <v>20.179324693807327</v>
      </c>
      <c r="B163">
        <v>6.0072081840130966</v>
      </c>
      <c r="C163">
        <v>9.1829087098836375</v>
      </c>
      <c r="F163" s="5" t="s">
        <v>5</v>
      </c>
      <c r="G163" s="5">
        <v>0.77617446361646869</v>
      </c>
    </row>
    <row r="164" spans="1:14">
      <c r="A164">
        <v>22.634535917711965</v>
      </c>
      <c r="B164">
        <v>6.9425482813799757</v>
      </c>
      <c r="C164">
        <v>6.2116066779873194</v>
      </c>
      <c r="F164" s="5" t="s">
        <v>6</v>
      </c>
      <c r="G164" s="5">
        <v>0.74633105876533123</v>
      </c>
    </row>
    <row r="165" spans="1:14">
      <c r="A165">
        <v>7.9913928670960122</v>
      </c>
      <c r="B165">
        <v>6.5152207708115828</v>
      </c>
      <c r="C165">
        <v>-1.1133997068449295</v>
      </c>
      <c r="F165" s="5" t="s">
        <v>7</v>
      </c>
      <c r="G165" s="5">
        <v>2.6720606747849889</v>
      </c>
    </row>
    <row r="166" spans="1:14" ht="15" thickBot="1">
      <c r="A166">
        <v>23.436905506810689</v>
      </c>
      <c r="B166">
        <v>6.6532898842542121</v>
      </c>
      <c r="C166">
        <v>15.595369996911696</v>
      </c>
      <c r="F166" s="6" t="s">
        <v>8</v>
      </c>
      <c r="G166" s="6">
        <v>18</v>
      </c>
    </row>
    <row r="167" spans="1:14">
      <c r="A167">
        <v>13.977231331595991</v>
      </c>
      <c r="B167">
        <v>7.0019045655480827</v>
      </c>
      <c r="C167">
        <v>2.1130685282571759</v>
      </c>
    </row>
    <row r="168" spans="1:14" ht="15" thickBot="1">
      <c r="A168">
        <v>15.605874515529479</v>
      </c>
      <c r="B168">
        <v>7.014665179089203</v>
      </c>
      <c r="C168">
        <v>4.5270714652652302</v>
      </c>
      <c r="F168" t="s">
        <v>9</v>
      </c>
    </row>
    <row r="169" spans="1:14">
      <c r="A169">
        <v>17.586456300329345</v>
      </c>
      <c r="B169">
        <v>6.9312564042117462</v>
      </c>
      <c r="C169">
        <v>5.5608084173726455</v>
      </c>
      <c r="F169" s="7"/>
      <c r="G169" s="7" t="s">
        <v>14</v>
      </c>
      <c r="H169" s="7" t="s">
        <v>15</v>
      </c>
      <c r="I169" s="7" t="s">
        <v>16</v>
      </c>
      <c r="J169" s="7" t="s">
        <v>17</v>
      </c>
      <c r="K169" s="7" t="s">
        <v>18</v>
      </c>
    </row>
    <row r="170" spans="1:14">
      <c r="A170">
        <v>21.045258125697153</v>
      </c>
      <c r="B170">
        <v>8.4229249231669474</v>
      </c>
      <c r="C170">
        <v>8.515173178118685</v>
      </c>
      <c r="F170" s="5" t="s">
        <v>10</v>
      </c>
      <c r="G170" s="5">
        <v>2</v>
      </c>
      <c r="H170" s="5">
        <v>371.39290799090043</v>
      </c>
      <c r="I170" s="5">
        <v>185.69645399545021</v>
      </c>
      <c r="J170" s="5">
        <v>26.008240932565172</v>
      </c>
      <c r="K170" s="5">
        <v>1.3314420058154064E-5</v>
      </c>
    </row>
    <row r="171" spans="1:14">
      <c r="A171">
        <v>27.416885067392816</v>
      </c>
      <c r="B171">
        <v>7.1847431923680833</v>
      </c>
      <c r="C171">
        <v>18.004894249455084</v>
      </c>
      <c r="F171" s="5" t="s">
        <v>11</v>
      </c>
      <c r="G171" s="5">
        <v>15</v>
      </c>
      <c r="H171" s="5">
        <v>107.09862374598613</v>
      </c>
      <c r="I171" s="5">
        <v>7.1399082497324091</v>
      </c>
      <c r="J171" s="5"/>
      <c r="K171" s="5"/>
    </row>
    <row r="172" spans="1:14" ht="15" thickBot="1">
      <c r="A172">
        <v>16.752415927506036</v>
      </c>
      <c r="B172">
        <v>8.124455459595243</v>
      </c>
      <c r="C172">
        <v>2.7405141056615863</v>
      </c>
      <c r="F172" s="6" t="s">
        <v>12</v>
      </c>
      <c r="G172" s="6">
        <v>17</v>
      </c>
      <c r="H172" s="6">
        <v>478.49153173688654</v>
      </c>
      <c r="I172" s="6"/>
      <c r="J172" s="6"/>
      <c r="K172" s="6"/>
    </row>
    <row r="173" spans="1:14" ht="15" thickBot="1">
      <c r="A173">
        <v>26.594975537328992</v>
      </c>
      <c r="B173">
        <v>8.6508373571985882</v>
      </c>
      <c r="C173">
        <v>9.001578785974349</v>
      </c>
    </row>
    <row r="174" spans="1:14">
      <c r="A174">
        <v>16.614920231701046</v>
      </c>
      <c r="B174">
        <v>8.5410543118878088</v>
      </c>
      <c r="C174">
        <v>4.4509155884135811</v>
      </c>
      <c r="F174" s="7"/>
      <c r="G174" s="7" t="s">
        <v>19</v>
      </c>
      <c r="H174" s="7" t="s">
        <v>7</v>
      </c>
      <c r="I174" s="7" t="s">
        <v>20</v>
      </c>
      <c r="J174" s="7" t="s">
        <v>21</v>
      </c>
      <c r="K174" s="7" t="s">
        <v>22</v>
      </c>
      <c r="L174" s="7" t="s">
        <v>23</v>
      </c>
      <c r="M174" s="7" t="s">
        <v>24</v>
      </c>
      <c r="N174" s="7" t="s">
        <v>25</v>
      </c>
    </row>
    <row r="175" spans="1:14">
      <c r="A175">
        <v>20.96109580821766</v>
      </c>
      <c r="B175">
        <v>8.208893178145015</v>
      </c>
      <c r="C175">
        <v>9.8062847984506103</v>
      </c>
      <c r="F175" s="5" t="s">
        <v>13</v>
      </c>
      <c r="G175" s="5">
        <v>0.47922882582569137</v>
      </c>
      <c r="H175" s="5">
        <v>3.5972869870618105</v>
      </c>
      <c r="I175" s="5">
        <v>0.13321951447001884</v>
      </c>
      <c r="J175" s="5">
        <v>0.89579058209186857</v>
      </c>
      <c r="K175" s="5">
        <v>-7.1882068879952934</v>
      </c>
      <c r="L175" s="5">
        <v>8.1466645396466753</v>
      </c>
      <c r="M175" s="5">
        <v>-7.1882068879952934</v>
      </c>
      <c r="N175" s="5">
        <v>8.1466645396466753</v>
      </c>
    </row>
    <row r="176" spans="1:14">
      <c r="A176">
        <v>26.56518782857767</v>
      </c>
      <c r="B176">
        <v>11.348872258478792</v>
      </c>
      <c r="C176">
        <v>9.0289532784294924</v>
      </c>
      <c r="F176" s="5" t="s">
        <v>26</v>
      </c>
      <c r="G176" s="5">
        <v>1.7216032949838105</v>
      </c>
      <c r="H176" s="5">
        <v>0.47560647296753528</v>
      </c>
      <c r="I176" s="5">
        <v>3.6198062743803878</v>
      </c>
      <c r="J176" s="5">
        <v>2.5211621829276374E-3</v>
      </c>
      <c r="K176" s="5">
        <v>0.70787209431187037</v>
      </c>
      <c r="L176" s="5">
        <v>2.7353344956557506</v>
      </c>
      <c r="M176" s="5">
        <v>0.70787209431187037</v>
      </c>
      <c r="N176" s="5">
        <v>2.7353344956557506</v>
      </c>
    </row>
    <row r="177" spans="6:14" ht="15" thickBot="1">
      <c r="F177" s="6" t="s">
        <v>128</v>
      </c>
      <c r="G177" s="6">
        <v>0.82434356740571324</v>
      </c>
      <c r="H177" s="6">
        <v>0.14025877742507548</v>
      </c>
      <c r="I177" s="6">
        <v>5.8773046688366257</v>
      </c>
      <c r="J177" s="6">
        <v>3.0393469772021168E-5</v>
      </c>
      <c r="K177" s="6">
        <v>0.52538906000226659</v>
      </c>
      <c r="L177" s="6">
        <v>1.1232980748091599</v>
      </c>
      <c r="M177" s="6">
        <v>0.52538906000226659</v>
      </c>
      <c r="N177" s="6">
        <v>1.1232980748091599</v>
      </c>
    </row>
    <row r="181" spans="6:14">
      <c r="F181" t="s">
        <v>27</v>
      </c>
    </row>
    <row r="182" spans="6:14" ht="15" thickBot="1"/>
    <row r="183" spans="6:14">
      <c r="F183" s="7" t="s">
        <v>28</v>
      </c>
      <c r="G183" s="7" t="s">
        <v>29</v>
      </c>
      <c r="H183" s="7" t="s">
        <v>30</v>
      </c>
    </row>
    <row r="184" spans="6:14">
      <c r="F184" s="5">
        <v>1</v>
      </c>
      <c r="G184" s="5">
        <v>16.50245719972002</v>
      </c>
      <c r="H184" s="5">
        <v>-5.4612320849733802</v>
      </c>
    </row>
    <row r="185" spans="6:14">
      <c r="F185" s="5">
        <v>2</v>
      </c>
      <c r="G185" s="5">
        <v>18.69687964664044</v>
      </c>
      <c r="H185" s="5">
        <v>0.31577049032213012</v>
      </c>
    </row>
    <row r="186" spans="6:14">
      <c r="F186" s="5">
        <v>3</v>
      </c>
      <c r="G186" s="5">
        <v>17.098583347669347</v>
      </c>
      <c r="H186" s="5">
        <v>3.0524006682335809</v>
      </c>
    </row>
    <row r="187" spans="6:14">
      <c r="F187" s="5">
        <v>4</v>
      </c>
      <c r="G187" s="5">
        <v>13.096483475687585</v>
      </c>
      <c r="H187" s="5">
        <v>2.0177978316137448</v>
      </c>
    </row>
    <row r="188" spans="6:14">
      <c r="F188" s="5">
        <v>5</v>
      </c>
      <c r="G188" s="5">
        <v>18.391129954142826</v>
      </c>
      <c r="H188" s="5">
        <v>1.788194739664501</v>
      </c>
    </row>
    <row r="189" spans="6:14">
      <c r="F189" s="5">
        <v>6</v>
      </c>
      <c r="G189" s="5">
        <v>17.552040830886867</v>
      </c>
      <c r="H189" s="5">
        <v>5.082495086825098</v>
      </c>
    </row>
    <row r="190" spans="6:14">
      <c r="F190" s="5">
        <v>7</v>
      </c>
      <c r="G190" s="5">
        <v>10.778030486112849</v>
      </c>
      <c r="H190" s="5">
        <v>-2.7866376190168367</v>
      </c>
    </row>
    <row r="191" spans="6:14">
      <c r="F191" s="5">
        <v>8</v>
      </c>
      <c r="G191" s="5">
        <v>24.789497551306411</v>
      </c>
      <c r="H191" s="5">
        <v>-1.3525920444957222</v>
      </c>
    </row>
    <row r="192" spans="6:14">
      <c r="F192" s="5">
        <v>9</v>
      </c>
      <c r="G192" s="5">
        <v>14.275625245791717</v>
      </c>
      <c r="H192" s="5">
        <v>-0.29839391419572614</v>
      </c>
    </row>
    <row r="193" spans="1:8">
      <c r="F193" s="5">
        <v>10</v>
      </c>
      <c r="G193" s="5">
        <v>16.287561752931214</v>
      </c>
      <c r="H193" s="5">
        <v>-0.68168723740173576</v>
      </c>
    </row>
    <row r="194" spans="1:8">
      <c r="F194" s="5">
        <v>11</v>
      </c>
      <c r="G194" s="5">
        <v>16.996119338130956</v>
      </c>
      <c r="H194" s="5">
        <v>0.59033696219838916</v>
      </c>
    </row>
    <row r="195" spans="1:8">
      <c r="F195" s="5">
        <v>12</v>
      </c>
      <c r="G195" s="5">
        <v>21.999592361678967</v>
      </c>
      <c r="H195" s="5">
        <v>-0.95433423598181477</v>
      </c>
    </row>
    <row r="196" spans="1:8">
      <c r="F196" s="5">
        <v>13</v>
      </c>
      <c r="G196" s="5">
        <v>27.690725135777502</v>
      </c>
      <c r="H196" s="5">
        <v>-0.27384006838468622</v>
      </c>
    </row>
    <row r="197" spans="1:8">
      <c r="F197" s="5">
        <v>14</v>
      </c>
      <c r="G197" s="5">
        <v>16.725443289400822</v>
      </c>
      <c r="H197" s="5">
        <v>2.6972638105213775E-2</v>
      </c>
    </row>
    <row r="198" spans="1:8">
      <c r="F198" s="5">
        <v>15</v>
      </c>
      <c r="G198" s="5">
        <v>22.792932493061503</v>
      </c>
      <c r="H198" s="5">
        <v>3.8020430442674886</v>
      </c>
    </row>
    <row r="199" spans="1:8">
      <c r="F199" s="5">
        <v>16</v>
      </c>
      <c r="G199" s="5">
        <v>18.852619706181976</v>
      </c>
      <c r="H199" s="5">
        <v>-2.2376994744809302</v>
      </c>
    </row>
    <row r="200" spans="1:8">
      <c r="F200" s="5">
        <v>17</v>
      </c>
      <c r="G200" s="5">
        <v>22.695434163241465</v>
      </c>
      <c r="H200" s="5">
        <v>-1.7343383550238052</v>
      </c>
    </row>
    <row r="201" spans="1:8" ht="15" thickBot="1">
      <c r="F201" s="6">
        <v>18</v>
      </c>
      <c r="G201" s="6">
        <v>27.460444255853218</v>
      </c>
      <c r="H201" s="6">
        <v>-0.89525642727554811</v>
      </c>
    </row>
    <row r="206" spans="1:8">
      <c r="A206" t="s">
        <v>166</v>
      </c>
    </row>
    <row r="207" spans="1:8">
      <c r="A207" t="s">
        <v>148</v>
      </c>
      <c r="B207" t="s">
        <v>162</v>
      </c>
      <c r="C207" t="s">
        <v>163</v>
      </c>
      <c r="D207" t="s">
        <v>31</v>
      </c>
      <c r="E207" t="s">
        <v>32</v>
      </c>
      <c r="F207" t="s">
        <v>131</v>
      </c>
      <c r="G207" t="s">
        <v>132</v>
      </c>
      <c r="H207" t="s">
        <v>134</v>
      </c>
    </row>
    <row r="208" spans="1:8">
      <c r="A208">
        <v>11.04122511474664</v>
      </c>
      <c r="B208">
        <v>5.4294309868346744</v>
      </c>
      <c r="C208">
        <v>8.0984462802108652</v>
      </c>
      <c r="D208">
        <v>-5.4612320849733802</v>
      </c>
      <c r="E208">
        <f>D208^2</f>
        <v>29.825055885942692</v>
      </c>
      <c r="F208" t="s">
        <v>133</v>
      </c>
      <c r="G208" t="s">
        <v>133</v>
      </c>
      <c r="H208" t="s">
        <v>133</v>
      </c>
    </row>
    <row r="209" spans="1:8">
      <c r="A209">
        <v>19.01265013696257</v>
      </c>
      <c r="B209">
        <v>6.5233621001555147</v>
      </c>
      <c r="C209">
        <v>8.475846007755333</v>
      </c>
      <c r="D209">
        <v>0.31577049032213012</v>
      </c>
      <c r="E209">
        <f t="shared" ref="E209:E225" si="14">D209^2</f>
        <v>9.9711002558278472E-2</v>
      </c>
      <c r="F209">
        <v>-5.4612320849733802</v>
      </c>
      <c r="G209">
        <f>D209-F209</f>
        <v>5.7770025752955103</v>
      </c>
      <c r="H209">
        <f>G209^2</f>
        <v>33.373758754970957</v>
      </c>
    </row>
    <row r="210" spans="1:8">
      <c r="A210">
        <v>20.150984015902928</v>
      </c>
      <c r="B210">
        <v>6.3343244492954192</v>
      </c>
      <c r="C210">
        <v>6.9317708105895122</v>
      </c>
      <c r="D210">
        <v>3.0524006682335809</v>
      </c>
      <c r="E210">
        <f t="shared" si="14"/>
        <v>9.3171498394328118</v>
      </c>
      <c r="F210">
        <v>0.31577049032213012</v>
      </c>
      <c r="G210">
        <f t="shared" ref="G210:G225" si="15">D210-F210</f>
        <v>2.7366301779114508</v>
      </c>
      <c r="H210">
        <f t="shared" ref="H210:H225" si="16">G210^2</f>
        <v>7.4891447306556591</v>
      </c>
    </row>
    <row r="211" spans="1:8">
      <c r="A211">
        <v>15.114281307301329</v>
      </c>
      <c r="B211">
        <v>6.2287719737203826</v>
      </c>
      <c r="C211">
        <v>2.2973191895728333</v>
      </c>
      <c r="D211">
        <v>2.0177978316137448</v>
      </c>
      <c r="E211">
        <f t="shared" si="14"/>
        <v>4.0715080892651301</v>
      </c>
      <c r="F211">
        <v>3.0524006682335809</v>
      </c>
      <c r="G211">
        <f t="shared" si="15"/>
        <v>-1.0346028366198361</v>
      </c>
      <c r="H211">
        <f t="shared" si="16"/>
        <v>1.0704030295418112</v>
      </c>
    </row>
    <row r="212" spans="1:8">
      <c r="A212">
        <v>20.179324693807327</v>
      </c>
      <c r="B212">
        <v>6.0072081840130966</v>
      </c>
      <c r="C212">
        <v>9.1829087098836375</v>
      </c>
      <c r="D212">
        <v>1.788194739664501</v>
      </c>
      <c r="E212">
        <f t="shared" si="14"/>
        <v>3.1976404269637926</v>
      </c>
      <c r="F212">
        <v>2.0177978316137448</v>
      </c>
      <c r="G212">
        <f t="shared" si="15"/>
        <v>-0.22960309194924378</v>
      </c>
      <c r="H212">
        <f t="shared" si="16"/>
        <v>5.2717579832652892E-2</v>
      </c>
    </row>
    <row r="213" spans="1:8">
      <c r="A213">
        <v>22.634535917711965</v>
      </c>
      <c r="B213">
        <v>6.9425482813799757</v>
      </c>
      <c r="C213">
        <v>6.2116066779873194</v>
      </c>
      <c r="D213">
        <v>5.082495086825098</v>
      </c>
      <c r="E213">
        <f t="shared" si="14"/>
        <v>25.83175630760126</v>
      </c>
      <c r="F213">
        <v>1.788194739664501</v>
      </c>
      <c r="G213">
        <f t="shared" si="15"/>
        <v>3.2943003471605969</v>
      </c>
      <c r="H213">
        <f t="shared" si="16"/>
        <v>10.85241477730243</v>
      </c>
    </row>
    <row r="214" spans="1:8">
      <c r="A214">
        <v>7.9913928670960122</v>
      </c>
      <c r="B214">
        <v>6.5152207708115828</v>
      </c>
      <c r="C214">
        <v>-1.1133997068449295</v>
      </c>
      <c r="D214">
        <v>-2.7866376190168367</v>
      </c>
      <c r="E214">
        <f t="shared" si="14"/>
        <v>7.7653492197198251</v>
      </c>
      <c r="F214">
        <v>5.082495086825098</v>
      </c>
      <c r="G214">
        <f t="shared" si="15"/>
        <v>-7.8691327058419347</v>
      </c>
      <c r="H214">
        <f t="shared" si="16"/>
        <v>61.923249542151211</v>
      </c>
    </row>
    <row r="215" spans="1:8">
      <c r="A215">
        <v>23.436905506810689</v>
      </c>
      <c r="B215">
        <v>6.6532898842542121</v>
      </c>
      <c r="C215">
        <v>15.595369996911696</v>
      </c>
      <c r="D215">
        <v>-1.3525920444957222</v>
      </c>
      <c r="E215">
        <f t="shared" si="14"/>
        <v>1.8295052388331179</v>
      </c>
      <c r="F215">
        <v>-2.7866376190168367</v>
      </c>
      <c r="G215">
        <f t="shared" si="15"/>
        <v>1.4340455745211145</v>
      </c>
      <c r="H215">
        <f t="shared" si="16"/>
        <v>2.0564867098035933</v>
      </c>
    </row>
    <row r="216" spans="1:8">
      <c r="A216">
        <v>13.977231331595991</v>
      </c>
      <c r="B216">
        <v>7.0019045655480827</v>
      </c>
      <c r="C216">
        <v>2.1130685282571759</v>
      </c>
      <c r="D216">
        <v>-0.29839391419572614</v>
      </c>
      <c r="E216">
        <f t="shared" si="14"/>
        <v>8.903892802904638E-2</v>
      </c>
      <c r="F216">
        <v>-1.3525920444957222</v>
      </c>
      <c r="G216">
        <f t="shared" si="15"/>
        <v>1.0541981302999961</v>
      </c>
      <c r="H216">
        <f t="shared" si="16"/>
        <v>1.1113336979280075</v>
      </c>
    </row>
    <row r="217" spans="1:8">
      <c r="A217">
        <v>15.605874515529479</v>
      </c>
      <c r="B217">
        <v>7.014665179089203</v>
      </c>
      <c r="C217">
        <v>4.5270714652652302</v>
      </c>
      <c r="D217">
        <v>-0.68168723740173576</v>
      </c>
      <c r="E217">
        <f t="shared" si="14"/>
        <v>0.46469748963641044</v>
      </c>
      <c r="F217">
        <v>-0.29839391419572614</v>
      </c>
      <c r="G217">
        <f t="shared" si="15"/>
        <v>-0.38329332320600962</v>
      </c>
      <c r="H217">
        <f t="shared" si="16"/>
        <v>0.14691377161430655</v>
      </c>
    </row>
    <row r="218" spans="1:8">
      <c r="A218">
        <v>17.586456300329345</v>
      </c>
      <c r="B218">
        <v>6.9312564042117462</v>
      </c>
      <c r="C218">
        <v>5.5608084173726455</v>
      </c>
      <c r="D218">
        <v>0.59033696219838916</v>
      </c>
      <c r="E218">
        <f t="shared" si="14"/>
        <v>0.34849772893762238</v>
      </c>
      <c r="F218">
        <v>-0.68168723740173576</v>
      </c>
      <c r="G218">
        <f t="shared" si="15"/>
        <v>1.2720241996001249</v>
      </c>
      <c r="H218">
        <f t="shared" si="16"/>
        <v>1.6180455643683385</v>
      </c>
    </row>
    <row r="219" spans="1:8">
      <c r="A219">
        <v>21.045258125697153</v>
      </c>
      <c r="B219">
        <v>8.4229249231669474</v>
      </c>
      <c r="C219">
        <v>8.515173178118685</v>
      </c>
      <c r="D219">
        <v>-0.95433423598181477</v>
      </c>
      <c r="E219">
        <f t="shared" si="14"/>
        <v>0.91075383396699416</v>
      </c>
      <c r="F219">
        <v>0.59033696219838916</v>
      </c>
      <c r="G219">
        <f t="shared" si="15"/>
        <v>-1.5446711981802039</v>
      </c>
      <c r="H219">
        <f t="shared" si="16"/>
        <v>2.3860091104874668</v>
      </c>
    </row>
    <row r="220" spans="1:8">
      <c r="A220">
        <v>27.416885067392816</v>
      </c>
      <c r="B220">
        <v>7.1847431923680833</v>
      </c>
      <c r="C220">
        <v>18.004894249455084</v>
      </c>
      <c r="D220">
        <v>-0.27384006838468622</v>
      </c>
      <c r="E220">
        <f t="shared" si="14"/>
        <v>7.4988383052929625E-2</v>
      </c>
      <c r="F220">
        <v>-0.95433423598181477</v>
      </c>
      <c r="G220">
        <f t="shared" si="15"/>
        <v>0.68049416759712855</v>
      </c>
      <c r="H220">
        <f t="shared" si="16"/>
        <v>0.46307231213370886</v>
      </c>
    </row>
    <row r="221" spans="1:8">
      <c r="A221">
        <v>16.752415927506036</v>
      </c>
      <c r="B221">
        <v>8.124455459595243</v>
      </c>
      <c r="C221">
        <v>2.7405141056615863</v>
      </c>
      <c r="D221">
        <v>2.6972638105213775E-2</v>
      </c>
      <c r="E221">
        <f t="shared" si="14"/>
        <v>7.2752320635483014E-4</v>
      </c>
      <c r="F221">
        <v>-0.27384006838468622</v>
      </c>
      <c r="G221">
        <f t="shared" si="15"/>
        <v>0.30081270648989999</v>
      </c>
      <c r="H221">
        <f t="shared" si="16"/>
        <v>9.0488284385778717E-2</v>
      </c>
    </row>
    <row r="222" spans="1:8">
      <c r="A222">
        <v>26.594975537328992</v>
      </c>
      <c r="B222">
        <v>8.6508373571985882</v>
      </c>
      <c r="C222">
        <v>9.001578785974349</v>
      </c>
      <c r="D222">
        <v>3.8020430442674886</v>
      </c>
      <c r="E222">
        <f t="shared" si="14"/>
        <v>14.455531310462792</v>
      </c>
      <c r="F222">
        <v>2.6972638105213775E-2</v>
      </c>
      <c r="G222">
        <f t="shared" si="15"/>
        <v>3.7750704061622748</v>
      </c>
      <c r="H222">
        <f t="shared" si="16"/>
        <v>14.251156571482202</v>
      </c>
    </row>
    <row r="223" spans="1:8">
      <c r="A223">
        <v>16.614920231701046</v>
      </c>
      <c r="B223">
        <v>8.5410543118878088</v>
      </c>
      <c r="C223">
        <v>4.4509155884135811</v>
      </c>
      <c r="D223">
        <v>-2.2376994744809302</v>
      </c>
      <c r="E223">
        <f t="shared" si="14"/>
        <v>5.007298938092231</v>
      </c>
      <c r="F223">
        <v>3.8020430442674886</v>
      </c>
      <c r="G223">
        <f t="shared" si="15"/>
        <v>-6.0397425187484188</v>
      </c>
      <c r="H223">
        <f t="shared" si="16"/>
        <v>36.478489692777494</v>
      </c>
    </row>
    <row r="224" spans="1:8">
      <c r="A224">
        <v>20.96109580821766</v>
      </c>
      <c r="B224">
        <v>8.208893178145015</v>
      </c>
      <c r="C224">
        <v>9.8062847984506103</v>
      </c>
      <c r="D224">
        <v>-1.7343383550238052</v>
      </c>
      <c r="E224">
        <f t="shared" si="14"/>
        <v>3.0079295297066784</v>
      </c>
      <c r="F224">
        <v>-2.2376994744809302</v>
      </c>
      <c r="G224">
        <f t="shared" si="15"/>
        <v>0.50336111945712503</v>
      </c>
      <c r="H224">
        <f t="shared" si="16"/>
        <v>0.25337241658113008</v>
      </c>
    </row>
    <row r="225" spans="1:8">
      <c r="A225">
        <v>26.56518782857767</v>
      </c>
      <c r="B225">
        <v>11.348872258478792</v>
      </c>
      <c r="C225">
        <v>9.0289532784294924</v>
      </c>
      <c r="D225">
        <v>-0.89525642727554811</v>
      </c>
      <c r="E225">
        <f t="shared" si="14"/>
        <v>0.80148407057817872</v>
      </c>
      <c r="F225">
        <v>-1.7343383550238052</v>
      </c>
      <c r="G225">
        <f t="shared" si="15"/>
        <v>0.83908192774825707</v>
      </c>
      <c r="H225">
        <f t="shared" si="16"/>
        <v>0.70405848147373129</v>
      </c>
    </row>
    <row r="226" spans="1:8">
      <c r="E226" s="18">
        <f>SUM(E208:E225)</f>
        <v>107.09862374598612</v>
      </c>
      <c r="H226" s="18">
        <f>SUM(H209:H225)</f>
        <v>174.32111502749046</v>
      </c>
    </row>
    <row r="232" spans="1:8">
      <c r="A232" t="s">
        <v>135</v>
      </c>
      <c r="B232" s="18">
        <f>H226/E226</f>
        <v>1.6276690486792902</v>
      </c>
    </row>
    <row r="233" spans="1:8">
      <c r="A233" t="s">
        <v>101</v>
      </c>
      <c r="B233">
        <v>19</v>
      </c>
    </row>
    <row r="234" spans="1:8">
      <c r="A234" s="25" t="s">
        <v>137</v>
      </c>
      <c r="B234" s="26">
        <v>1.08</v>
      </c>
    </row>
    <row r="235" spans="1:8">
      <c r="A235" s="25"/>
    </row>
    <row r="236" spans="1:8">
      <c r="A236" s="25" t="s">
        <v>138</v>
      </c>
      <c r="B236">
        <v>1.53</v>
      </c>
    </row>
    <row r="251" spans="1:4">
      <c r="A251" t="s">
        <v>167</v>
      </c>
      <c r="B251">
        <f>B232</f>
        <v>1.6276690486792902</v>
      </c>
      <c r="C251" t="s">
        <v>168</v>
      </c>
      <c r="D251">
        <f>4-B236</f>
        <v>2.4699999999999998</v>
      </c>
    </row>
    <row r="252" spans="1:4">
      <c r="A252" s="18" t="s">
        <v>123</v>
      </c>
    </row>
    <row r="253" spans="1:4">
      <c r="A253" s="28" t="s">
        <v>169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9497-3003-491A-863D-2426BDFC8C22}">
  <dimension ref="A11:D31"/>
  <sheetViews>
    <sheetView tabSelected="1" workbookViewId="0">
      <selection activeCell="E34" sqref="E34"/>
    </sheetView>
  </sheetViews>
  <sheetFormatPr defaultRowHeight="14.4"/>
  <sheetData>
    <row r="11" spans="4:4">
      <c r="D11" t="s">
        <v>170</v>
      </c>
    </row>
    <row r="29" spans="1:1">
      <c r="A29" s="18" t="s">
        <v>171</v>
      </c>
    </row>
    <row r="30" spans="1:1">
      <c r="A30" t="s">
        <v>172</v>
      </c>
    </row>
    <row r="31" spans="1:1">
      <c r="A31" t="s">
        <v>173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Zad8</vt:lpstr>
      <vt:lpstr>Zad9</vt:lpstr>
      <vt:lpstr>Zad10</vt:lpstr>
      <vt:lpstr>Zad11</vt:lpstr>
      <vt:lpstr>Zad12</vt:lpstr>
      <vt:lpstr>Zad7 из 92</vt:lpstr>
      <vt:lpstr>Zad8 из 92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Кузнецов</dc:creator>
  <cp:lastModifiedBy>Михаил Кузнецов</cp:lastModifiedBy>
  <dcterms:created xsi:type="dcterms:W3CDTF">2021-11-04T11:42:16Z</dcterms:created>
  <dcterms:modified xsi:type="dcterms:W3CDTF">2021-11-06T18:06:07Z</dcterms:modified>
</cp:coreProperties>
</file>