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icha\Downloads\"/>
    </mc:Choice>
  </mc:AlternateContent>
  <xr:revisionPtr revIDLastSave="0" documentId="13_ncr:1_{AB93F43C-7F34-4530-9635-724C37F085F6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Portfolio" sheetId="1" r:id="rId1"/>
    <sheet name="Prices" sheetId="2" r:id="rId2"/>
    <sheet name="TSLA" sheetId="3" r:id="rId3"/>
    <sheet name="QCOM" sheetId="4" r:id="rId4"/>
    <sheet name="MSFT" sheetId="5" r:id="rId5"/>
    <sheet name="NVDA" sheetId="6" r:id="rId6"/>
    <sheet name="AMZN" sheetId="7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C58" i="7"/>
  <c r="D81" i="7" s="1"/>
  <c r="C58" i="3"/>
  <c r="D81" i="3" s="1"/>
  <c r="D89" i="7"/>
  <c r="D84" i="7"/>
  <c r="D89" i="6"/>
  <c r="H87" i="6"/>
  <c r="H88" i="6" s="1"/>
  <c r="F87" i="6"/>
  <c r="F88" i="6" s="1"/>
  <c r="D87" i="6"/>
  <c r="D88" i="6" s="1"/>
  <c r="D84" i="6"/>
  <c r="D81" i="6"/>
  <c r="G87" i="6" s="1"/>
  <c r="G88" i="6" s="1"/>
  <c r="H87" i="5"/>
  <c r="H88" i="5" s="1"/>
  <c r="G87" i="5"/>
  <c r="D87" i="5"/>
  <c r="D88" i="5" s="1"/>
  <c r="D84" i="5"/>
  <c r="D89" i="5" s="1"/>
  <c r="D81" i="5"/>
  <c r="F87" i="5" s="1"/>
  <c r="F88" i="5" s="1"/>
  <c r="H87" i="4"/>
  <c r="G87" i="4"/>
  <c r="D84" i="4"/>
  <c r="D89" i="4" s="1"/>
  <c r="F87" i="4"/>
  <c r="F88" i="4" s="1"/>
  <c r="D89" i="3"/>
  <c r="D84" i="3"/>
  <c r="N4" i="7"/>
  <c r="N3" i="7"/>
  <c r="N2" i="7"/>
  <c r="L4" i="7"/>
  <c r="L3" i="7"/>
  <c r="L2" i="7"/>
  <c r="I3" i="7"/>
  <c r="I4" i="7"/>
  <c r="I2" i="7"/>
  <c r="G4" i="7"/>
  <c r="G3" i="7"/>
  <c r="G2" i="7"/>
  <c r="G88" i="4" l="1"/>
  <c r="H88" i="4"/>
  <c r="E87" i="7"/>
  <c r="E88" i="7" s="1"/>
  <c r="F87" i="7"/>
  <c r="F88" i="7" s="1"/>
  <c r="E87" i="3"/>
  <c r="E88" i="3" s="1"/>
  <c r="H87" i="3"/>
  <c r="H88" i="3" s="1"/>
  <c r="D87" i="3"/>
  <c r="D88" i="3" s="1"/>
  <c r="F87" i="3"/>
  <c r="F88" i="3" s="1"/>
  <c r="G87" i="3"/>
  <c r="G88" i="3" s="1"/>
  <c r="G87" i="7"/>
  <c r="G88" i="7" s="1"/>
  <c r="H87" i="7"/>
  <c r="H88" i="7" s="1"/>
  <c r="D87" i="7"/>
  <c r="D88" i="7" s="1"/>
  <c r="E87" i="6"/>
  <c r="E88" i="6" s="1"/>
  <c r="D90" i="6" s="1"/>
  <c r="D91" i="6" s="1"/>
  <c r="G88" i="5"/>
  <c r="E87" i="5"/>
  <c r="E88" i="5" s="1"/>
  <c r="D90" i="5" s="1"/>
  <c r="D91" i="5" s="1"/>
  <c r="E87" i="4"/>
  <c r="E88" i="4" s="1"/>
  <c r="D87" i="4"/>
  <c r="D88" i="4" s="1"/>
  <c r="D90" i="4" s="1"/>
  <c r="D91" i="4" s="1"/>
  <c r="G2" i="3"/>
  <c r="I2" i="3"/>
  <c r="L2" i="3"/>
  <c r="G3" i="3"/>
  <c r="I3" i="3"/>
  <c r="L3" i="3"/>
  <c r="G4" i="3"/>
  <c r="I4" i="3"/>
  <c r="L4" i="3"/>
  <c r="C48" i="3"/>
  <c r="D48" i="3"/>
  <c r="E48" i="3"/>
  <c r="F48" i="3"/>
  <c r="G48" i="3"/>
  <c r="C49" i="3"/>
  <c r="D49" i="3"/>
  <c r="D54" i="3" s="1"/>
  <c r="E49" i="3"/>
  <c r="F49" i="3"/>
  <c r="G49" i="3"/>
  <c r="C50" i="3"/>
  <c r="D50" i="3"/>
  <c r="E50" i="3"/>
  <c r="E54" i="3" s="1"/>
  <c r="F50" i="3"/>
  <c r="F54" i="3" s="1"/>
  <c r="G50" i="3"/>
  <c r="G54" i="3" s="1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C55" i="3"/>
  <c r="D55" i="3"/>
  <c r="E55" i="3"/>
  <c r="F55" i="3"/>
  <c r="G55" i="3"/>
  <c r="C60" i="3"/>
  <c r="F72" i="3" s="1"/>
  <c r="D60" i="3"/>
  <c r="E60" i="3"/>
  <c r="F60" i="3"/>
  <c r="G60" i="3"/>
  <c r="C61" i="3"/>
  <c r="E76" i="3" s="1"/>
  <c r="C63" i="3"/>
  <c r="C64" i="3" s="1"/>
  <c r="D63" i="3"/>
  <c r="E63" i="3"/>
  <c r="F63" i="3"/>
  <c r="G63" i="3"/>
  <c r="D64" i="3"/>
  <c r="E64" i="3"/>
  <c r="F64" i="3"/>
  <c r="G64" i="3"/>
  <c r="C66" i="3"/>
  <c r="F73" i="3"/>
  <c r="F74" i="3"/>
  <c r="F76" i="3"/>
  <c r="F78" i="3"/>
  <c r="N4" i="3"/>
  <c r="N3" i="3"/>
  <c r="N2" i="3"/>
  <c r="N4" i="6"/>
  <c r="N3" i="6"/>
  <c r="N2" i="6"/>
  <c r="L4" i="6"/>
  <c r="L3" i="6"/>
  <c r="L2" i="6"/>
  <c r="I4" i="6"/>
  <c r="I3" i="6"/>
  <c r="I2" i="6"/>
  <c r="G4" i="6"/>
  <c r="G3" i="6"/>
  <c r="G2" i="6"/>
  <c r="N4" i="5"/>
  <c r="N3" i="5"/>
  <c r="N2" i="5"/>
  <c r="L4" i="5"/>
  <c r="L3" i="5"/>
  <c r="L2" i="5"/>
  <c r="I4" i="5"/>
  <c r="I3" i="5"/>
  <c r="I2" i="5"/>
  <c r="G4" i="5"/>
  <c r="G3" i="5"/>
  <c r="G2" i="5"/>
  <c r="N4" i="4"/>
  <c r="N3" i="4"/>
  <c r="N2" i="4"/>
  <c r="L4" i="4"/>
  <c r="L3" i="4"/>
  <c r="L2" i="4"/>
  <c r="I4" i="4"/>
  <c r="I3" i="4"/>
  <c r="I2" i="4"/>
  <c r="M6" i="1"/>
  <c r="O6" i="1" s="1"/>
  <c r="AA2" i="1" s="1"/>
  <c r="M5" i="1"/>
  <c r="O5" i="1" s="1"/>
  <c r="Z6" i="1" s="1"/>
  <c r="M4" i="1"/>
  <c r="O4" i="1" s="1"/>
  <c r="M3" i="1"/>
  <c r="O3" i="1" s="1"/>
  <c r="AF2" i="1"/>
  <c r="M2" i="1"/>
  <c r="O2" i="1" s="1"/>
  <c r="C66" i="4"/>
  <c r="G63" i="4"/>
  <c r="G64" i="4" s="1"/>
  <c r="F63" i="4"/>
  <c r="F64" i="4" s="1"/>
  <c r="E63" i="4"/>
  <c r="E64" i="4" s="1"/>
  <c r="D63" i="4"/>
  <c r="D64" i="4" s="1"/>
  <c r="C63" i="4"/>
  <c r="C64" i="4" s="1"/>
  <c r="G60" i="4"/>
  <c r="F60" i="4"/>
  <c r="E60" i="4"/>
  <c r="D60" i="4"/>
  <c r="C60" i="4"/>
  <c r="G55" i="4"/>
  <c r="F55" i="4"/>
  <c r="E55" i="4"/>
  <c r="D55" i="4"/>
  <c r="C55" i="4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G54" i="4" s="1"/>
  <c r="F49" i="4"/>
  <c r="F54" i="4" s="1"/>
  <c r="E49" i="4"/>
  <c r="E54" i="4" s="1"/>
  <c r="D49" i="4"/>
  <c r="D54" i="4" s="1"/>
  <c r="C49" i="4"/>
  <c r="C54" i="4" s="1"/>
  <c r="G48" i="4"/>
  <c r="F48" i="4"/>
  <c r="E48" i="4"/>
  <c r="D48" i="4"/>
  <c r="C48" i="4"/>
  <c r="G44" i="4"/>
  <c r="F44" i="4"/>
  <c r="F56" i="4" s="1"/>
  <c r="E44" i="4"/>
  <c r="E56" i="4" s="1"/>
  <c r="D44" i="4"/>
  <c r="D57" i="4" s="1"/>
  <c r="D58" i="4" s="1"/>
  <c r="C44" i="4"/>
  <c r="C66" i="5"/>
  <c r="G63" i="5"/>
  <c r="G64" i="5" s="1"/>
  <c r="F63" i="5"/>
  <c r="F64" i="5" s="1"/>
  <c r="E63" i="5"/>
  <c r="E64" i="5" s="1"/>
  <c r="D63" i="5"/>
  <c r="D64" i="5" s="1"/>
  <c r="C63" i="5"/>
  <c r="C64" i="5" s="1"/>
  <c r="G60" i="5"/>
  <c r="F60" i="5"/>
  <c r="E60" i="5"/>
  <c r="D60" i="5"/>
  <c r="C60" i="5"/>
  <c r="G55" i="5"/>
  <c r="F55" i="5"/>
  <c r="E55" i="5"/>
  <c r="D55" i="5"/>
  <c r="C55" i="5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G54" i="5" s="1"/>
  <c r="F49" i="5"/>
  <c r="F54" i="5" s="1"/>
  <c r="E49" i="5"/>
  <c r="E54" i="5" s="1"/>
  <c r="D49" i="5"/>
  <c r="D54" i="5" s="1"/>
  <c r="C49" i="5"/>
  <c r="C54" i="5" s="1"/>
  <c r="G48" i="5"/>
  <c r="F48" i="5"/>
  <c r="E48" i="5"/>
  <c r="D48" i="5"/>
  <c r="C48" i="5"/>
  <c r="G44" i="5"/>
  <c r="F44" i="5"/>
  <c r="F57" i="5" s="1"/>
  <c r="F58" i="5" s="1"/>
  <c r="E44" i="5"/>
  <c r="D44" i="5"/>
  <c r="D56" i="5" s="1"/>
  <c r="C44" i="5"/>
  <c r="C56" i="5" s="1"/>
  <c r="C2" i="5"/>
  <c r="C66" i="6"/>
  <c r="F63" i="6"/>
  <c r="F64" i="6" s="1"/>
  <c r="E63" i="6"/>
  <c r="E64" i="6" s="1"/>
  <c r="D63" i="6"/>
  <c r="D64" i="6" s="1"/>
  <c r="C63" i="6"/>
  <c r="C64" i="6" s="1"/>
  <c r="F60" i="6"/>
  <c r="E60" i="6"/>
  <c r="D60" i="6"/>
  <c r="C60" i="6"/>
  <c r="F55" i="6"/>
  <c r="E55" i="6"/>
  <c r="D55" i="6"/>
  <c r="C55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F54" i="6" s="1"/>
  <c r="E49" i="6"/>
  <c r="E54" i="6" s="1"/>
  <c r="D49" i="6"/>
  <c r="D54" i="6" s="1"/>
  <c r="C49" i="6"/>
  <c r="F48" i="6"/>
  <c r="E48" i="6"/>
  <c r="D48" i="6"/>
  <c r="C48" i="6"/>
  <c r="F44" i="6"/>
  <c r="F56" i="6" s="1"/>
  <c r="E44" i="6"/>
  <c r="E56" i="6" s="1"/>
  <c r="D44" i="6"/>
  <c r="D57" i="6" s="1"/>
  <c r="D58" i="6" s="1"/>
  <c r="C44" i="6"/>
  <c r="C66" i="7"/>
  <c r="G63" i="7"/>
  <c r="G64" i="7" s="1"/>
  <c r="F63" i="7"/>
  <c r="F64" i="7" s="1"/>
  <c r="E63" i="7"/>
  <c r="E64" i="7" s="1"/>
  <c r="D63" i="7"/>
  <c r="D64" i="7" s="1"/>
  <c r="C63" i="7"/>
  <c r="C64" i="7" s="1"/>
  <c r="G60" i="7"/>
  <c r="F60" i="7"/>
  <c r="E60" i="7"/>
  <c r="D60" i="7"/>
  <c r="C60" i="7"/>
  <c r="F78" i="7" s="1"/>
  <c r="G55" i="7"/>
  <c r="F55" i="7"/>
  <c r="E55" i="7"/>
  <c r="D55" i="7"/>
  <c r="C55" i="7"/>
  <c r="G53" i="7"/>
  <c r="F53" i="7"/>
  <c r="E53" i="7"/>
  <c r="D53" i="7"/>
  <c r="C53" i="7"/>
  <c r="G52" i="7"/>
  <c r="F52" i="7"/>
  <c r="E52" i="7"/>
  <c r="D52" i="7"/>
  <c r="C52" i="7"/>
  <c r="G51" i="7"/>
  <c r="F51" i="7"/>
  <c r="E51" i="7"/>
  <c r="D51" i="7"/>
  <c r="C51" i="7"/>
  <c r="G50" i="7"/>
  <c r="F50" i="7"/>
  <c r="E50" i="7"/>
  <c r="D50" i="7"/>
  <c r="C50" i="7"/>
  <c r="G49" i="7"/>
  <c r="F49" i="7"/>
  <c r="E49" i="7"/>
  <c r="D49" i="7"/>
  <c r="C49" i="7"/>
  <c r="G48" i="7"/>
  <c r="F48" i="7"/>
  <c r="E48" i="7"/>
  <c r="D48" i="7"/>
  <c r="C48" i="7"/>
  <c r="D90" i="7" l="1"/>
  <c r="D91" i="7" s="1"/>
  <c r="D90" i="3"/>
  <c r="D91" i="3" s="1"/>
  <c r="C54" i="7"/>
  <c r="E54" i="7"/>
  <c r="F54" i="7"/>
  <c r="C61" i="7"/>
  <c r="E78" i="7" s="1"/>
  <c r="D54" i="7"/>
  <c r="G54" i="7"/>
  <c r="F74" i="7"/>
  <c r="E74" i="3"/>
  <c r="E78" i="3"/>
  <c r="E73" i="3"/>
  <c r="F77" i="3"/>
  <c r="E77" i="3"/>
  <c r="E72" i="3"/>
  <c r="Z2" i="1"/>
  <c r="Z3" i="1"/>
  <c r="C57" i="6"/>
  <c r="C58" i="6" s="1"/>
  <c r="C56" i="6"/>
  <c r="C54" i="6"/>
  <c r="F78" i="6"/>
  <c r="F74" i="6"/>
  <c r="C61" i="6"/>
  <c r="E57" i="5"/>
  <c r="E58" i="5" s="1"/>
  <c r="E56" i="5"/>
  <c r="G57" i="5"/>
  <c r="G58" i="5" s="1"/>
  <c r="G56" i="5"/>
  <c r="F76" i="5"/>
  <c r="F73" i="5"/>
  <c r="C61" i="5"/>
  <c r="E76" i="5" s="1"/>
  <c r="C56" i="4"/>
  <c r="C57" i="4"/>
  <c r="C58" i="4" s="1"/>
  <c r="G57" i="4"/>
  <c r="G58" i="4" s="1"/>
  <c r="G56" i="4"/>
  <c r="F78" i="4"/>
  <c r="F74" i="4"/>
  <c r="C61" i="4"/>
  <c r="E78" i="4" s="1"/>
  <c r="Y39" i="1"/>
  <c r="Y41" i="1"/>
  <c r="Y40" i="1"/>
  <c r="Y37" i="1"/>
  <c r="Y36" i="1"/>
  <c r="Y33" i="1"/>
  <c r="Y32" i="1"/>
  <c r="Y29" i="1"/>
  <c r="Y28" i="1"/>
  <c r="Y25" i="1"/>
  <c r="Y24" i="1"/>
  <c r="Y21" i="1"/>
  <c r="Y20" i="1"/>
  <c r="Y17" i="1"/>
  <c r="Y16" i="1"/>
  <c r="Y14" i="1"/>
  <c r="Y13" i="1"/>
  <c r="Y12" i="1"/>
  <c r="Y10" i="1"/>
  <c r="Y9" i="1"/>
  <c r="Y8" i="1"/>
  <c r="X58" i="1"/>
  <c r="X57" i="1"/>
  <c r="X56" i="1"/>
  <c r="X55" i="1"/>
  <c r="X49" i="1"/>
  <c r="X48" i="1"/>
  <c r="X47" i="1"/>
  <c r="X41" i="1"/>
  <c r="X37" i="1"/>
  <c r="X33" i="1"/>
  <c r="X29" i="1"/>
  <c r="X25" i="1"/>
  <c r="X21" i="1"/>
  <c r="X17" i="1"/>
  <c r="X13" i="1"/>
  <c r="X9" i="1"/>
  <c r="AA6" i="1"/>
  <c r="X10" i="1"/>
  <c r="X14" i="1"/>
  <c r="X18" i="1"/>
  <c r="X22" i="1"/>
  <c r="X26" i="1"/>
  <c r="X30" i="1"/>
  <c r="X34" i="1"/>
  <c r="X38" i="1"/>
  <c r="X42" i="1"/>
  <c r="X50" i="1"/>
  <c r="P6" i="1"/>
  <c r="X3" i="1"/>
  <c r="X2" i="1"/>
  <c r="X6" i="1"/>
  <c r="X4" i="1"/>
  <c r="P3" i="1"/>
  <c r="Y18" i="1"/>
  <c r="Y22" i="1"/>
  <c r="Y26" i="1"/>
  <c r="Y30" i="1"/>
  <c r="Y34" i="1"/>
  <c r="Y38" i="1"/>
  <c r="X43" i="1"/>
  <c r="X51" i="1"/>
  <c r="X59" i="1"/>
  <c r="X7" i="1"/>
  <c r="X11" i="1"/>
  <c r="X15" i="1"/>
  <c r="X19" i="1"/>
  <c r="X23" i="1"/>
  <c r="X27" i="1"/>
  <c r="X31" i="1"/>
  <c r="X35" i="1"/>
  <c r="X39" i="1"/>
  <c r="X44" i="1"/>
  <c r="X52" i="1"/>
  <c r="X60" i="1"/>
  <c r="AA4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5" i="1"/>
  <c r="AA3" i="1"/>
  <c r="X5" i="1"/>
  <c r="Y7" i="1"/>
  <c r="Y11" i="1"/>
  <c r="Y15" i="1"/>
  <c r="Y19" i="1"/>
  <c r="Y23" i="1"/>
  <c r="Y27" i="1"/>
  <c r="Y31" i="1"/>
  <c r="Y35" i="1"/>
  <c r="X45" i="1"/>
  <c r="X53" i="1"/>
  <c r="X61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5" i="1"/>
  <c r="W3" i="1"/>
  <c r="W2" i="1"/>
  <c r="W6" i="1"/>
  <c r="W4" i="1"/>
  <c r="P2" i="1"/>
  <c r="P4" i="1"/>
  <c r="Y3" i="1"/>
  <c r="Y2" i="1"/>
  <c r="Y6" i="1"/>
  <c r="Y4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5" i="1"/>
  <c r="X8" i="1"/>
  <c r="X12" i="1"/>
  <c r="X16" i="1"/>
  <c r="X20" i="1"/>
  <c r="X24" i="1"/>
  <c r="X28" i="1"/>
  <c r="X32" i="1"/>
  <c r="X36" i="1"/>
  <c r="X40" i="1"/>
  <c r="X46" i="1"/>
  <c r="X54" i="1"/>
  <c r="X62" i="1"/>
  <c r="Z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P5" i="1"/>
  <c r="Z4" i="1"/>
  <c r="E74" i="4"/>
  <c r="E76" i="4"/>
  <c r="E57" i="4"/>
  <c r="E58" i="4" s="1"/>
  <c r="F76" i="4"/>
  <c r="F57" i="4"/>
  <c r="F58" i="4" s="1"/>
  <c r="E72" i="4"/>
  <c r="E77" i="4"/>
  <c r="D56" i="4"/>
  <c r="F72" i="4"/>
  <c r="F77" i="4"/>
  <c r="E73" i="4"/>
  <c r="F73" i="4"/>
  <c r="F56" i="5"/>
  <c r="E73" i="5"/>
  <c r="E77" i="5"/>
  <c r="C57" i="5"/>
  <c r="C58" i="5" s="1"/>
  <c r="F77" i="5"/>
  <c r="D57" i="5"/>
  <c r="D58" i="5" s="1"/>
  <c r="E74" i="5"/>
  <c r="F74" i="5"/>
  <c r="E78" i="5"/>
  <c r="E72" i="5"/>
  <c r="F78" i="5"/>
  <c r="F72" i="5"/>
  <c r="E78" i="6"/>
  <c r="E73" i="6"/>
  <c r="E74" i="6"/>
  <c r="E77" i="6"/>
  <c r="E72" i="6"/>
  <c r="E76" i="6"/>
  <c r="E57" i="6"/>
  <c r="E58" i="6" s="1"/>
  <c r="D56" i="6"/>
  <c r="F76" i="6"/>
  <c r="F57" i="6"/>
  <c r="F58" i="6" s="1"/>
  <c r="F72" i="6"/>
  <c r="F77" i="6"/>
  <c r="F73" i="6"/>
  <c r="E76" i="7"/>
  <c r="F76" i="7"/>
  <c r="E74" i="7"/>
  <c r="E72" i="7"/>
  <c r="E77" i="7"/>
  <c r="F72" i="7"/>
  <c r="F77" i="7"/>
  <c r="E73" i="7"/>
  <c r="F73" i="7"/>
  <c r="R2" i="1" l="1"/>
  <c r="Q2" i="1"/>
  <c r="AB3" i="1"/>
  <c r="AB13" i="1"/>
  <c r="AB14" i="1"/>
  <c r="AB21" i="1"/>
  <c r="AB22" i="1"/>
  <c r="AB29" i="1"/>
  <c r="AB37" i="1"/>
  <c r="AB45" i="1"/>
  <c r="AB53" i="1"/>
  <c r="AB61" i="1"/>
  <c r="AB46" i="1"/>
  <c r="AB54" i="1"/>
  <c r="AB62" i="1"/>
  <c r="AB7" i="1"/>
  <c r="AB39" i="1"/>
  <c r="R5" i="1"/>
  <c r="Q5" i="1"/>
  <c r="R4" i="1"/>
  <c r="Q4" i="1"/>
  <c r="AB8" i="1"/>
  <c r="AB16" i="1"/>
  <c r="AB24" i="1"/>
  <c r="AB32" i="1"/>
  <c r="AB40" i="1"/>
  <c r="AB48" i="1"/>
  <c r="AB56" i="1"/>
  <c r="R6" i="1"/>
  <c r="Q6" i="1"/>
  <c r="AB5" i="1"/>
  <c r="AB30" i="1"/>
  <c r="AB55" i="1"/>
  <c r="P7" i="1"/>
  <c r="R7" i="1" s="1"/>
  <c r="AB9" i="1"/>
  <c r="AB17" i="1"/>
  <c r="AB25" i="1"/>
  <c r="AB33" i="1"/>
  <c r="AD33" i="1" s="1"/>
  <c r="AB41" i="1"/>
  <c r="AD41" i="1" s="1"/>
  <c r="AB49" i="1"/>
  <c r="AB57" i="1"/>
  <c r="AB38" i="1"/>
  <c r="AB23" i="1"/>
  <c r="AB4" i="1"/>
  <c r="AB10" i="1"/>
  <c r="AD10" i="1" s="1"/>
  <c r="AB18" i="1"/>
  <c r="AB26" i="1"/>
  <c r="AB34" i="1"/>
  <c r="AB42" i="1"/>
  <c r="AB50" i="1"/>
  <c r="AB58" i="1"/>
  <c r="AB31" i="1"/>
  <c r="AB6" i="1"/>
  <c r="AB11" i="1"/>
  <c r="AB19" i="1"/>
  <c r="AB27" i="1"/>
  <c r="AB35" i="1"/>
  <c r="AB43" i="1"/>
  <c r="AB51" i="1"/>
  <c r="AB59" i="1"/>
  <c r="R3" i="1"/>
  <c r="Q3" i="1"/>
  <c r="AB15" i="1"/>
  <c r="AB47" i="1"/>
  <c r="AB2" i="1"/>
  <c r="AB12" i="1"/>
  <c r="AB20" i="1"/>
  <c r="AB28" i="1"/>
  <c r="AB36" i="1"/>
  <c r="AB44" i="1"/>
  <c r="AD45" i="1" s="1"/>
  <c r="AB52" i="1"/>
  <c r="AB60" i="1"/>
  <c r="AD54" i="1" l="1"/>
  <c r="AD62" i="1"/>
  <c r="AD14" i="1"/>
  <c r="AD25" i="1"/>
  <c r="AD46" i="1"/>
  <c r="AD22" i="1"/>
  <c r="AD57" i="1"/>
  <c r="AD55" i="1"/>
  <c r="AD47" i="1"/>
  <c r="AD12" i="1"/>
  <c r="AD43" i="1"/>
  <c r="AD58" i="1"/>
  <c r="AD23" i="1"/>
  <c r="AD17" i="1"/>
  <c r="AD3" i="1"/>
  <c r="AD60" i="1"/>
  <c r="AD38" i="1"/>
  <c r="AD4" i="1"/>
  <c r="AD35" i="1"/>
  <c r="AD9" i="1"/>
  <c r="AD52" i="1"/>
  <c r="AD15" i="1"/>
  <c r="AD27" i="1"/>
  <c r="AD19" i="1"/>
  <c r="AD37" i="1"/>
  <c r="AD49" i="1"/>
  <c r="AD30" i="1"/>
  <c r="AD32" i="1"/>
  <c r="AD39" i="1"/>
  <c r="AD7" i="1"/>
  <c r="AD48" i="1"/>
  <c r="AD40" i="1"/>
  <c r="AD44" i="1"/>
  <c r="AD24" i="1"/>
  <c r="AD28" i="1"/>
  <c r="AD11" i="1"/>
  <c r="AD42" i="1"/>
  <c r="AD29" i="1"/>
  <c r="AD16" i="1"/>
  <c r="AD20" i="1"/>
  <c r="AD6" i="1"/>
  <c r="AD34" i="1"/>
  <c r="AD61" i="1"/>
  <c r="AD8" i="1"/>
  <c r="AD59" i="1"/>
  <c r="AD36" i="1"/>
  <c r="AD53" i="1"/>
  <c r="AD50" i="1"/>
  <c r="AD5" i="1"/>
  <c r="AD31" i="1"/>
  <c r="AD26" i="1"/>
  <c r="AD13" i="1"/>
  <c r="AD51" i="1"/>
  <c r="AD18" i="1"/>
  <c r="Q7" i="1"/>
  <c r="AD56" i="1"/>
  <c r="AD21" i="1"/>
  <c r="AD63" i="1" l="1"/>
  <c r="AE3" i="1" l="1"/>
  <c r="AE4" i="1"/>
  <c r="AF4" i="1" s="1"/>
  <c r="AE12" i="1"/>
  <c r="AF12" i="1" s="1"/>
  <c r="AE20" i="1"/>
  <c r="AF20" i="1" s="1"/>
  <c r="AE28" i="1"/>
  <c r="AF28" i="1" s="1"/>
  <c r="AE36" i="1"/>
  <c r="AF36" i="1" s="1"/>
  <c r="AE44" i="1"/>
  <c r="AF44" i="1" s="1"/>
  <c r="AE52" i="1"/>
  <c r="AF52" i="1" s="1"/>
  <c r="AE60" i="1"/>
  <c r="AF60" i="1" s="1"/>
  <c r="AE21" i="1"/>
  <c r="AF21" i="1" s="1"/>
  <c r="AE29" i="1"/>
  <c r="AF29" i="1" s="1"/>
  <c r="AE37" i="1"/>
  <c r="AF37" i="1" s="1"/>
  <c r="AE45" i="1"/>
  <c r="AF45" i="1" s="1"/>
  <c r="AE61" i="1"/>
  <c r="AF61" i="1" s="1"/>
  <c r="AE26" i="1"/>
  <c r="AF26" i="1" s="1"/>
  <c r="AE58" i="1"/>
  <c r="AF58" i="1" s="1"/>
  <c r="AE19" i="1"/>
  <c r="AF19" i="1" s="1"/>
  <c r="AE51" i="1"/>
  <c r="AF51" i="1" s="1"/>
  <c r="AE5" i="1"/>
  <c r="AF5" i="1" s="1"/>
  <c r="AE13" i="1"/>
  <c r="AF13" i="1" s="1"/>
  <c r="AE53" i="1"/>
  <c r="AF53" i="1" s="1"/>
  <c r="AE6" i="1"/>
  <c r="AF6" i="1" s="1"/>
  <c r="AE14" i="1"/>
  <c r="AF14" i="1" s="1"/>
  <c r="AE22" i="1"/>
  <c r="AF22" i="1" s="1"/>
  <c r="AE30" i="1"/>
  <c r="AF30" i="1" s="1"/>
  <c r="AE38" i="1"/>
  <c r="AF38" i="1" s="1"/>
  <c r="AE46" i="1"/>
  <c r="AF46" i="1" s="1"/>
  <c r="AE54" i="1"/>
  <c r="AF54" i="1" s="1"/>
  <c r="AE62" i="1"/>
  <c r="AF62" i="1" s="1"/>
  <c r="AE17" i="1"/>
  <c r="AF17" i="1" s="1"/>
  <c r="AE49" i="1"/>
  <c r="AF49" i="1" s="1"/>
  <c r="AE10" i="1"/>
  <c r="AF10" i="1" s="1"/>
  <c r="AE34" i="1"/>
  <c r="AF34" i="1" s="1"/>
  <c r="AE50" i="1"/>
  <c r="AF50" i="1" s="1"/>
  <c r="AE27" i="1"/>
  <c r="AF27" i="1" s="1"/>
  <c r="AE43" i="1"/>
  <c r="AF43" i="1" s="1"/>
  <c r="AE7" i="1"/>
  <c r="AF7" i="1" s="1"/>
  <c r="AE15" i="1"/>
  <c r="AF15" i="1" s="1"/>
  <c r="AE23" i="1"/>
  <c r="AF23" i="1" s="1"/>
  <c r="AE31" i="1"/>
  <c r="AF31" i="1" s="1"/>
  <c r="AE39" i="1"/>
  <c r="AF39" i="1" s="1"/>
  <c r="AE47" i="1"/>
  <c r="AF47" i="1" s="1"/>
  <c r="AE55" i="1"/>
  <c r="AF55" i="1" s="1"/>
  <c r="AE8" i="1"/>
  <c r="AF8" i="1" s="1"/>
  <c r="AE16" i="1"/>
  <c r="AF16" i="1" s="1"/>
  <c r="AE24" i="1"/>
  <c r="AF24" i="1" s="1"/>
  <c r="AE32" i="1"/>
  <c r="AF32" i="1" s="1"/>
  <c r="AE40" i="1"/>
  <c r="AF40" i="1" s="1"/>
  <c r="AE48" i="1"/>
  <c r="AF48" i="1" s="1"/>
  <c r="AE56" i="1"/>
  <c r="AF56" i="1" s="1"/>
  <c r="AE25" i="1"/>
  <c r="AF25" i="1" s="1"/>
  <c r="AE33" i="1"/>
  <c r="AF33" i="1" s="1"/>
  <c r="AE41" i="1"/>
  <c r="AF41" i="1" s="1"/>
  <c r="AE57" i="1"/>
  <c r="AF57" i="1" s="1"/>
  <c r="AE18" i="1"/>
  <c r="AF18" i="1" s="1"/>
  <c r="AE42" i="1"/>
  <c r="AF42" i="1" s="1"/>
  <c r="AE11" i="1"/>
  <c r="AF11" i="1" s="1"/>
  <c r="AE35" i="1"/>
  <c r="AF35" i="1" s="1"/>
  <c r="AE59" i="1"/>
  <c r="AF59" i="1" s="1"/>
  <c r="AE9" i="1"/>
  <c r="AF9" i="1" s="1"/>
  <c r="AK2" i="1" l="1"/>
  <c r="AL2" i="1" s="1"/>
  <c r="AH2" i="1"/>
  <c r="AF3" i="1"/>
  <c r="AF63" i="1" s="1"/>
  <c r="AI2" i="1" l="1"/>
  <c r="AJ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 nayak</author>
  </authors>
  <commentList>
    <comment ref="F46" authorId="0" shapeId="0" xr:uid="{708BE623-9EE7-4C47-B16E-3AFBA73F9071}">
      <text>
        <r>
          <rPr>
            <sz val="9"/>
            <color indexed="81"/>
            <rFont val="Tahoma"/>
            <charset val="1"/>
          </rPr>
          <t xml:space="preserve">05/28/2021
</t>
        </r>
      </text>
    </comment>
    <comment ref="G46" authorId="0" shapeId="0" xr:uid="{8819BEDC-DBDF-4932-89DD-F3304AFCF2D2}">
      <text>
        <r>
          <rPr>
            <sz val="9"/>
            <color indexed="81"/>
            <rFont val="Tahoma"/>
            <charset val="1"/>
          </rPr>
          <t xml:space="preserve">
05/29/2020
</t>
        </r>
      </text>
    </comment>
  </commentList>
</comments>
</file>

<file path=xl/sharedStrings.xml><?xml version="1.0" encoding="utf-8"?>
<sst xmlns="http://schemas.openxmlformats.org/spreadsheetml/2006/main" count="603" uniqueCount="152">
  <si>
    <t>The focus of my portfolio was to focus on Tech stocks.</t>
  </si>
  <si>
    <t>Stocks Considered</t>
  </si>
  <si>
    <t>Stocks</t>
  </si>
  <si>
    <t>Position</t>
  </si>
  <si>
    <t>Amount Invested</t>
  </si>
  <si>
    <t>% of Portfolio</t>
  </si>
  <si>
    <t># of Shares</t>
  </si>
  <si>
    <t>Ending Value</t>
  </si>
  <si>
    <t>P/L</t>
  </si>
  <si>
    <t>% Change</t>
  </si>
  <si>
    <t>Date</t>
  </si>
  <si>
    <t>TSLA</t>
  </si>
  <si>
    <t>QCOM</t>
  </si>
  <si>
    <t>MSFT</t>
  </si>
  <si>
    <t>NVDA</t>
  </si>
  <si>
    <t>AMZN</t>
  </si>
  <si>
    <t>Portfolio Value</t>
  </si>
  <si>
    <t>Differences</t>
  </si>
  <si>
    <t>Change</t>
  </si>
  <si>
    <t>^2</t>
  </si>
  <si>
    <t>VAR.S</t>
  </si>
  <si>
    <t>STD DEV</t>
  </si>
  <si>
    <t>Annual</t>
  </si>
  <si>
    <t>STDEV.S</t>
  </si>
  <si>
    <t>SHARPE RATIO</t>
  </si>
  <si>
    <t>This would allow me to focus my research on a</t>
  </si>
  <si>
    <t>SNOW</t>
  </si>
  <si>
    <t>Short</t>
  </si>
  <si>
    <t>particular sector. I included both stocks that provided</t>
  </si>
  <si>
    <t>CRM</t>
  </si>
  <si>
    <t>Long</t>
  </si>
  <si>
    <t>dividends as well as those that did not as these</t>
  </si>
  <si>
    <t>GOOGL</t>
  </si>
  <si>
    <t>companies reinvest their revenue which can also lead</t>
  </si>
  <si>
    <t>to an appreciation of the stock price.</t>
  </si>
  <si>
    <t>The first constraint was to have a mix of stocks</t>
  </si>
  <si>
    <t>AAPL</t>
  </si>
  <si>
    <t>providing dividens and those not (70-30 split)</t>
  </si>
  <si>
    <t>INTC</t>
  </si>
  <si>
    <t>So I have 2 stocks with no dividends in my portfolio.</t>
  </si>
  <si>
    <t>META</t>
  </si>
  <si>
    <t>Second constraint was to invest in only the tech</t>
  </si>
  <si>
    <t>CSCO</t>
  </si>
  <si>
    <t>industry.</t>
  </si>
  <si>
    <t>ORCL</t>
  </si>
  <si>
    <t>The third constraint was to have no more than 45% in</t>
  </si>
  <si>
    <t>ADBE</t>
  </si>
  <si>
    <t>a single stock.</t>
  </si>
  <si>
    <t>DELL</t>
  </si>
  <si>
    <t>Avg</t>
  </si>
  <si>
    <t>Last</t>
  </si>
  <si>
    <t>2024 PV Target</t>
  </si>
  <si>
    <t>Exit Target</t>
  </si>
  <si>
    <t>2025 PV Target</t>
  </si>
  <si>
    <t>Div</t>
  </si>
  <si>
    <t>high</t>
  </si>
  <si>
    <t>Months to year end</t>
  </si>
  <si>
    <t>mid</t>
  </si>
  <si>
    <t>low</t>
  </si>
  <si>
    <t>Breakdown</t>
  </si>
  <si>
    <t>TTM</t>
  </si>
  <si>
    <t>Total Revenue</t>
  </si>
  <si>
    <t>Cost of Revenue</t>
  </si>
  <si>
    <t>Gross Profit</t>
  </si>
  <si>
    <t>Operating Expense</t>
  </si>
  <si>
    <t>Operating Income</t>
  </si>
  <si>
    <t>Net Non Operating Interest Income Expense</t>
  </si>
  <si>
    <t>Other Income Expense</t>
  </si>
  <si>
    <t>Pretax Income (EBT)</t>
  </si>
  <si>
    <t>Tax Provision</t>
  </si>
  <si>
    <t>Net Income Common Stockholders</t>
  </si>
  <si>
    <t>Diluted NI Available to Com Stockholders</t>
  </si>
  <si>
    <t>Basic EPS</t>
  </si>
  <si>
    <t>-</t>
  </si>
  <si>
    <t>Diluted EPS</t>
  </si>
  <si>
    <t>Basic Average Shares</t>
  </si>
  <si>
    <t>Diluted Average Shares</t>
  </si>
  <si>
    <t>Total Expenses</t>
  </si>
  <si>
    <t>Net Income from Continuing &amp; Discontinued Operation</t>
  </si>
  <si>
    <t>Normalized Income</t>
  </si>
  <si>
    <t>EBIT</t>
  </si>
  <si>
    <t>EBITDA</t>
  </si>
  <si>
    <t>Total Assets</t>
  </si>
  <si>
    <t>Total Liabilities Net Minority Interest</t>
  </si>
  <si>
    <t>Total Equity Gross 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</si>
  <si>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</si>
  <si>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</si>
  <si>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</si>
  <si>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</si>
  <si>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</si>
  <si>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</si>
  <si>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</si>
  <si>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</si>
  <si>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</si>
  <si>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</si>
  <si>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Income Tax Paid Supplemental Data</t>
  </si>
  <si>
    <t>Interest Paid Supplemental Data</t>
  </si>
  <si>
    <t>Capital Expenditure</t>
  </si>
  <si>
    <t>Free Cash Flow</t>
  </si>
  <si>
    <t>Cash Dividends paid?</t>
  </si>
  <si>
    <t>stock price</t>
  </si>
  <si>
    <t>ROE</t>
  </si>
  <si>
    <t>NET/EBT</t>
  </si>
  <si>
    <t>EBT/EBIT</t>
  </si>
  <si>
    <t>EBIT/SALES</t>
  </si>
  <si>
    <t>SALES/ASSETS</t>
  </si>
  <si>
    <t>ASSETS/EQUITY</t>
  </si>
  <si>
    <t>ROE(BUPONT)</t>
  </si>
  <si>
    <t>ROA</t>
  </si>
  <si>
    <t>DIV/SHARE</t>
  </si>
  <si>
    <t>PLOWBACK RATIO</t>
  </si>
  <si>
    <t>GROWTH RATE</t>
  </si>
  <si>
    <t>p/e</t>
  </si>
  <si>
    <t>p/e 3 yr average</t>
  </si>
  <si>
    <t>book</t>
  </si>
  <si>
    <t xml:space="preserve"> </t>
  </si>
  <si>
    <t>p/b</t>
  </si>
  <si>
    <t>CAPM</t>
  </si>
  <si>
    <t>BETA</t>
  </si>
  <si>
    <t>RF</t>
  </si>
  <si>
    <t>MARKET RETURN</t>
  </si>
  <si>
    <t>analyst est err</t>
  </si>
  <si>
    <t>3yr ave pe</t>
  </si>
  <si>
    <t>current pe</t>
  </si>
  <si>
    <t>Target DCM</t>
  </si>
  <si>
    <t>2024 high</t>
  </si>
  <si>
    <t>2024 ave</t>
  </si>
  <si>
    <t>2024 low</t>
  </si>
  <si>
    <t>2025 high</t>
  </si>
  <si>
    <t>2025 ave</t>
  </si>
  <si>
    <t>2025 low</t>
  </si>
  <si>
    <t xml:space="preserve">Made this DCM Calculator and changed EPS </t>
  </si>
  <si>
    <t>EPS DCM</t>
  </si>
  <si>
    <t>with the yahoo finance EPS estimates to get stock price</t>
  </si>
  <si>
    <t>Annual Growth Rate</t>
  </si>
  <si>
    <t>Number of years</t>
  </si>
  <si>
    <t>Constant Growth</t>
  </si>
  <si>
    <t>Market Return</t>
  </si>
  <si>
    <t>Year</t>
  </si>
  <si>
    <t>Earnings</t>
  </si>
  <si>
    <t>PV of Earnings</t>
  </si>
  <si>
    <t>Q</t>
  </si>
  <si>
    <t>Price</t>
  </si>
  <si>
    <t>Stock price high</t>
  </si>
  <si>
    <t>Stock price ave</t>
  </si>
  <si>
    <t>Stock price low</t>
  </si>
  <si>
    <t>Pretax Income</t>
  </si>
  <si>
    <t>Cash Dividend Paid</t>
  </si>
  <si>
    <t>yahoo finance</t>
  </si>
  <si>
    <t>Interest Paid Supplemental</t>
  </si>
  <si>
    <t>Cash dividends paid</t>
  </si>
  <si>
    <t>ROE(DUPONT)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</si>
</sst>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0"/>
      <color theme="4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sz val="10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43" fontId="2" fillId="0" borderId="0" xfId="0" applyNumberFormat="1" applyFont="1"/>
    <xf numFmtId="43" fontId="3" fillId="0" borderId="0" xfId="0" applyNumberFormat="1" applyFont="1" applyAlignment="1">
      <alignment horizontal="center" vertical="center" wrapText="1"/>
    </xf>
    <xf numFmtId="10" fontId="0" fillId="0" borderId="0" xfId="2" applyNumberFormat="1" applyFont="1"/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44" fontId="2" fillId="0" borderId="0" xfId="1" applyFont="1"/>
    <xf numFmtId="44" fontId="0" fillId="0" borderId="0" xfId="0" applyNumberFormat="1"/>
    <xf numFmtId="44" fontId="0" fillId="0" borderId="0" xfId="1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43" fontId="0" fillId="0" borderId="0" xfId="1" applyNumberFormat="1" applyFont="1"/>
    <xf numFmtId="43" fontId="0" fillId="0" borderId="0" xfId="0" applyNumberFormat="1"/>
    <xf numFmtId="43" fontId="2" fillId="0" borderId="0" xfId="3" applyFont="1"/>
    <xf numFmtId="10" fontId="2" fillId="0" borderId="0" xfId="2" applyNumberFormat="1" applyFont="1"/>
    <xf numFmtId="4" fontId="5" fillId="0" borderId="0" xfId="0" applyNumberFormat="1" applyFont="1" applyAlignment="1">
      <alignment horizontal="center" vertical="center" wrapText="1"/>
    </xf>
    <xf numFmtId="10" fontId="0" fillId="0" borderId="0" xfId="2" applyNumberFormat="1" applyFont="1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/>
    <xf numFmtId="0" fontId="0" fillId="2" borderId="3" xfId="0" applyFill="1" applyBorder="1"/>
    <xf numFmtId="9" fontId="0" fillId="0" borderId="0" xfId="2" applyFont="1"/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6" xfId="0" applyFill="1" applyBorder="1"/>
    <xf numFmtId="0" fontId="0" fillId="2" borderId="8" xfId="0" applyFill="1" applyBorder="1"/>
    <xf numFmtId="0" fontId="0" fillId="0" borderId="0" xfId="2" applyNumberFormat="1" applyFont="1"/>
    <xf numFmtId="0" fontId="7" fillId="0" borderId="0" xfId="0" applyFont="1"/>
    <xf numFmtId="9" fontId="0" fillId="0" borderId="0" xfId="2" applyFont="1" applyFill="1"/>
    <xf numFmtId="44" fontId="0" fillId="0" borderId="0" xfId="1" applyFont="1" applyFill="1"/>
    <xf numFmtId="164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2" fillId="0" borderId="0" xfId="2" applyNumberFormat="1" applyFont="1" applyBorder="1"/>
    <xf numFmtId="0" fontId="0" fillId="0" borderId="5" xfId="0" applyBorder="1"/>
    <xf numFmtId="9" fontId="0" fillId="0" borderId="0" xfId="0" applyNumberFormat="1"/>
    <xf numFmtId="44" fontId="0" fillId="0" borderId="5" xfId="0" applyNumberFormat="1" applyBorder="1"/>
    <xf numFmtId="0" fontId="0" fillId="0" borderId="6" xfId="0" applyBorder="1"/>
    <xf numFmtId="43" fontId="0" fillId="0" borderId="7" xfId="0" applyNumberFormat="1" applyBorder="1"/>
    <xf numFmtId="0" fontId="0" fillId="0" borderId="7" xfId="0" applyBorder="1"/>
    <xf numFmtId="0" fontId="0" fillId="0" borderId="8" xfId="0" applyBorder="1"/>
    <xf numFmtId="2" fontId="2" fillId="2" borderId="2" xfId="2" applyNumberFormat="1" applyFont="1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cfd628d130ce127/Documents/Assets.xlsx" TargetMode="External"/><Relationship Id="rId1" Type="http://schemas.openxmlformats.org/officeDocument/2006/relationships/externalLinkPath" Target="https://d.docs.live.net/ccfd628d130ce127/Documents/As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tfolio"/>
      <sheetName val="Prices"/>
      <sheetName val="TSLA"/>
      <sheetName val="QCOM"/>
      <sheetName val="MSFT"/>
      <sheetName val="NVDA"/>
      <sheetName val="AMZN"/>
      <sheetName val="Sheet3"/>
    </sheetNames>
    <sheetDataSet>
      <sheetData sheetId="0"/>
      <sheetData sheetId="1">
        <row r="2">
          <cell r="B2">
            <v>248.41999799999999</v>
          </cell>
          <cell r="C2">
            <v>140.229996</v>
          </cell>
          <cell r="D2">
            <v>370.86999500000002</v>
          </cell>
          <cell r="E2">
            <v>481.67999300000002</v>
          </cell>
          <cell r="F2">
            <v>149.929993</v>
          </cell>
        </row>
        <row r="3">
          <cell r="B3">
            <v>238.449997</v>
          </cell>
          <cell r="C3">
            <v>137.60000600000001</v>
          </cell>
          <cell r="D3">
            <v>370.60000600000001</v>
          </cell>
          <cell r="E3">
            <v>475.69000199999999</v>
          </cell>
          <cell r="F3">
            <v>148.470001</v>
          </cell>
        </row>
        <row r="4">
          <cell r="B4">
            <v>237.929993</v>
          </cell>
          <cell r="C4">
            <v>136.16999799999999</v>
          </cell>
          <cell r="D4">
            <v>367.94000199999999</v>
          </cell>
          <cell r="E4">
            <v>479.98001099999999</v>
          </cell>
          <cell r="F4">
            <v>144.570007</v>
          </cell>
        </row>
        <row r="5">
          <cell r="B5">
            <v>237.490005</v>
          </cell>
          <cell r="C5">
            <v>136.729996</v>
          </cell>
          <cell r="D5">
            <v>367.75</v>
          </cell>
          <cell r="E5">
            <v>490.97000100000002</v>
          </cell>
          <cell r="F5">
            <v>145.240005</v>
          </cell>
        </row>
        <row r="6">
          <cell r="B6">
            <v>240.449997</v>
          </cell>
          <cell r="C6">
            <v>139.029999</v>
          </cell>
          <cell r="D6">
            <v>374.69000199999999</v>
          </cell>
          <cell r="E6">
            <v>522.53002900000001</v>
          </cell>
          <cell r="F6">
            <v>149.10000600000001</v>
          </cell>
        </row>
        <row r="7">
          <cell r="B7">
            <v>234.96000699999999</v>
          </cell>
          <cell r="C7">
            <v>139.88999899999999</v>
          </cell>
          <cell r="D7">
            <v>375.790009</v>
          </cell>
          <cell r="E7">
            <v>531.40002400000003</v>
          </cell>
          <cell r="F7">
            <v>151.36999499999999</v>
          </cell>
        </row>
        <row r="8">
          <cell r="B8">
            <v>233.94000199999999</v>
          </cell>
          <cell r="C8">
            <v>139.30999800000001</v>
          </cell>
          <cell r="D8">
            <v>382.76998900000001</v>
          </cell>
          <cell r="E8">
            <v>543.5</v>
          </cell>
          <cell r="F8">
            <v>153.729996</v>
          </cell>
        </row>
        <row r="9">
          <cell r="B9">
            <v>227.220001</v>
          </cell>
          <cell r="C9">
            <v>139.029999</v>
          </cell>
          <cell r="D9">
            <v>384.63000499999998</v>
          </cell>
          <cell r="E9">
            <v>548.21997099999999</v>
          </cell>
          <cell r="F9">
            <v>155.179993</v>
          </cell>
        </row>
        <row r="10">
          <cell r="B10">
            <v>218.88999899999999</v>
          </cell>
          <cell r="C10">
            <v>140.199997</v>
          </cell>
          <cell r="D10">
            <v>388.47000100000002</v>
          </cell>
          <cell r="E10">
            <v>547.09997599999997</v>
          </cell>
          <cell r="F10">
            <v>154.61999499999999</v>
          </cell>
        </row>
        <row r="11">
          <cell r="B11">
            <v>219.91000399999999</v>
          </cell>
          <cell r="C11">
            <v>141.11999499999999</v>
          </cell>
          <cell r="D11">
            <v>390.26998900000001</v>
          </cell>
          <cell r="E11">
            <v>563.82000700000003</v>
          </cell>
          <cell r="F11">
            <v>153.16000399999999</v>
          </cell>
        </row>
        <row r="12">
          <cell r="B12">
            <v>215.550003</v>
          </cell>
          <cell r="C12">
            <v>139.320007</v>
          </cell>
          <cell r="D12">
            <v>389.47000100000002</v>
          </cell>
          <cell r="E12">
            <v>560.53002900000001</v>
          </cell>
          <cell r="F12">
            <v>151.71000699999999</v>
          </cell>
        </row>
        <row r="13">
          <cell r="B13">
            <v>211.88000500000001</v>
          </cell>
          <cell r="C13">
            <v>145.28999300000001</v>
          </cell>
          <cell r="D13">
            <v>393.86999500000002</v>
          </cell>
          <cell r="E13">
            <v>571.07000700000003</v>
          </cell>
          <cell r="F13">
            <v>153.5</v>
          </cell>
        </row>
        <row r="14">
          <cell r="B14">
            <v>212.19000199999999</v>
          </cell>
          <cell r="C14">
            <v>151.96000699999999</v>
          </cell>
          <cell r="D14">
            <v>398.67001299999998</v>
          </cell>
          <cell r="E14">
            <v>594.90997300000004</v>
          </cell>
          <cell r="F14">
            <v>155.33999600000001</v>
          </cell>
        </row>
        <row r="15">
          <cell r="B15">
            <v>208.800003</v>
          </cell>
          <cell r="C15">
            <v>152.86999499999999</v>
          </cell>
          <cell r="D15">
            <v>396.51001000000002</v>
          </cell>
          <cell r="E15">
            <v>596.53997800000002</v>
          </cell>
          <cell r="F15">
            <v>154.779999</v>
          </cell>
        </row>
        <row r="16">
          <cell r="B16">
            <v>209.13999899999999</v>
          </cell>
          <cell r="C16">
            <v>153.5</v>
          </cell>
          <cell r="D16">
            <v>398.89999399999999</v>
          </cell>
          <cell r="E16">
            <v>598.72997999999995</v>
          </cell>
          <cell r="F16">
            <v>156.020004</v>
          </cell>
        </row>
        <row r="17">
          <cell r="B17">
            <v>207.83000200000001</v>
          </cell>
          <cell r="C17">
            <v>154.36999499999999</v>
          </cell>
          <cell r="D17">
            <v>402.55999800000001</v>
          </cell>
          <cell r="E17">
            <v>613.61999500000002</v>
          </cell>
          <cell r="F17">
            <v>156.86999499999999</v>
          </cell>
        </row>
        <row r="18">
          <cell r="B18">
            <v>182.63000500000001</v>
          </cell>
          <cell r="C18">
            <v>154.470001</v>
          </cell>
          <cell r="D18">
            <v>404.86999500000002</v>
          </cell>
          <cell r="E18">
            <v>616.169983</v>
          </cell>
          <cell r="F18">
            <v>157.75</v>
          </cell>
        </row>
        <row r="19">
          <cell r="B19">
            <v>183.25</v>
          </cell>
          <cell r="C19">
            <v>150.720001</v>
          </cell>
          <cell r="D19">
            <v>403.92999300000002</v>
          </cell>
          <cell r="E19">
            <v>610.30999799999995</v>
          </cell>
          <cell r="F19">
            <v>159.11999499999999</v>
          </cell>
        </row>
        <row r="20">
          <cell r="B20">
            <v>190.929993</v>
          </cell>
          <cell r="C20">
            <v>149.63999899999999</v>
          </cell>
          <cell r="D20">
            <v>409.72000100000002</v>
          </cell>
          <cell r="E20">
            <v>624.65002400000003</v>
          </cell>
          <cell r="F20">
            <v>161.259995</v>
          </cell>
        </row>
        <row r="21">
          <cell r="B21">
            <v>191.58999600000001</v>
          </cell>
          <cell r="C21">
            <v>145.979996</v>
          </cell>
          <cell r="D21">
            <v>408.58999599999999</v>
          </cell>
          <cell r="E21">
            <v>627.73999000000003</v>
          </cell>
          <cell r="F21">
            <v>159</v>
          </cell>
        </row>
        <row r="22">
          <cell r="B22">
            <v>187.28999300000001</v>
          </cell>
          <cell r="C22">
            <v>148.509995</v>
          </cell>
          <cell r="D22">
            <v>397.57998700000002</v>
          </cell>
          <cell r="E22">
            <v>615.27002000000005</v>
          </cell>
          <cell r="F22">
            <v>155.199997</v>
          </cell>
        </row>
        <row r="23">
          <cell r="B23">
            <v>188.86000100000001</v>
          </cell>
          <cell r="C23">
            <v>141.11000100000001</v>
          </cell>
          <cell r="D23">
            <v>403.77999899999998</v>
          </cell>
          <cell r="E23">
            <v>630.27002000000005</v>
          </cell>
          <cell r="F23">
            <v>159.279999</v>
          </cell>
        </row>
        <row r="24">
          <cell r="B24">
            <v>187.91000399999999</v>
          </cell>
          <cell r="C24">
            <v>141.69000199999999</v>
          </cell>
          <cell r="D24">
            <v>411.22000100000002</v>
          </cell>
          <cell r="E24">
            <v>661.59997599999997</v>
          </cell>
          <cell r="F24">
            <v>171.80999800000001</v>
          </cell>
        </row>
        <row r="25">
          <cell r="B25">
            <v>181.05999800000001</v>
          </cell>
          <cell r="C25">
            <v>144.029999</v>
          </cell>
          <cell r="D25">
            <v>405.64999399999999</v>
          </cell>
          <cell r="E25">
            <v>693.32000700000003</v>
          </cell>
          <cell r="F25">
            <v>170.30999800000001</v>
          </cell>
        </row>
        <row r="26">
          <cell r="B26">
            <v>185.10000600000001</v>
          </cell>
          <cell r="C26">
            <v>144.10000600000001</v>
          </cell>
          <cell r="D26">
            <v>405.48998999999998</v>
          </cell>
          <cell r="E26">
            <v>682.22997999999995</v>
          </cell>
          <cell r="F26">
            <v>169.14999399999999</v>
          </cell>
        </row>
        <row r="27">
          <cell r="B27">
            <v>187.58000200000001</v>
          </cell>
          <cell r="C27">
            <v>145.88999899999999</v>
          </cell>
          <cell r="D27">
            <v>414.04998799999998</v>
          </cell>
          <cell r="E27">
            <v>700.98999000000003</v>
          </cell>
          <cell r="F27">
            <v>170.529999</v>
          </cell>
        </row>
        <row r="28">
          <cell r="B28">
            <v>189.55999800000001</v>
          </cell>
          <cell r="C28">
            <v>148.179993</v>
          </cell>
          <cell r="D28">
            <v>414.10998499999999</v>
          </cell>
          <cell r="E28">
            <v>696.40997300000004</v>
          </cell>
          <cell r="F28">
            <v>169.83999600000001</v>
          </cell>
        </row>
        <row r="29">
          <cell r="B29">
            <v>193.570007</v>
          </cell>
          <cell r="C29">
            <v>151</v>
          </cell>
          <cell r="D29">
            <v>420.54998799999998</v>
          </cell>
          <cell r="E29">
            <v>721.330017</v>
          </cell>
          <cell r="F29">
            <v>174.449997</v>
          </cell>
        </row>
        <row r="30">
          <cell r="B30">
            <v>188.13000500000001</v>
          </cell>
          <cell r="C30">
            <v>153.10000600000001</v>
          </cell>
          <cell r="D30">
            <v>415.26001000000002</v>
          </cell>
          <cell r="E30">
            <v>722.47997999999995</v>
          </cell>
          <cell r="F30">
            <v>172.33999600000001</v>
          </cell>
        </row>
        <row r="31">
          <cell r="B31">
            <v>184.020004</v>
          </cell>
          <cell r="C31">
            <v>150.03999300000001</v>
          </cell>
          <cell r="D31">
            <v>406.32000699999998</v>
          </cell>
          <cell r="E31">
            <v>721.28002900000001</v>
          </cell>
          <cell r="F31">
            <v>168.63999899999999</v>
          </cell>
        </row>
        <row r="32">
          <cell r="B32">
            <v>188.71000699999999</v>
          </cell>
          <cell r="C32">
            <v>153.94000199999999</v>
          </cell>
          <cell r="D32">
            <v>409.48998999999998</v>
          </cell>
          <cell r="E32">
            <v>739</v>
          </cell>
          <cell r="F32">
            <v>170.979996</v>
          </cell>
        </row>
        <row r="33">
          <cell r="B33">
            <v>200.449997</v>
          </cell>
          <cell r="C33">
            <v>155.979996</v>
          </cell>
          <cell r="D33">
            <v>406.55999800000001</v>
          </cell>
          <cell r="E33">
            <v>726.580017</v>
          </cell>
          <cell r="F33">
            <v>169.800003</v>
          </cell>
        </row>
        <row r="34">
          <cell r="B34">
            <v>199.949997</v>
          </cell>
          <cell r="C34">
            <v>152.69000199999999</v>
          </cell>
          <cell r="D34">
            <v>404.05999800000001</v>
          </cell>
          <cell r="E34">
            <v>726.13000499999998</v>
          </cell>
          <cell r="F34">
            <v>169.509995</v>
          </cell>
        </row>
        <row r="35">
          <cell r="B35">
            <v>193.759995</v>
          </cell>
          <cell r="C35">
            <v>151.96000699999999</v>
          </cell>
          <cell r="D35">
            <v>402.790009</v>
          </cell>
          <cell r="E35">
            <v>694.52002000000005</v>
          </cell>
          <cell r="F35">
            <v>167.08000200000001</v>
          </cell>
        </row>
        <row r="36">
          <cell r="B36">
            <v>194.770004</v>
          </cell>
          <cell r="C36">
            <v>152.009995</v>
          </cell>
          <cell r="D36">
            <v>402.17999300000002</v>
          </cell>
          <cell r="E36">
            <v>674.71997099999999</v>
          </cell>
          <cell r="F36">
            <v>168.58999600000001</v>
          </cell>
        </row>
        <row r="37">
          <cell r="B37">
            <v>197.41000399999999</v>
          </cell>
          <cell r="C37">
            <v>154.75</v>
          </cell>
          <cell r="D37">
            <v>411.64999399999999</v>
          </cell>
          <cell r="E37">
            <v>785.38000499999998</v>
          </cell>
          <cell r="F37">
            <v>174.58000200000001</v>
          </cell>
        </row>
        <row r="38">
          <cell r="B38">
            <v>191.970001</v>
          </cell>
          <cell r="C38">
            <v>154.91000399999999</v>
          </cell>
          <cell r="D38">
            <v>410.33999599999999</v>
          </cell>
          <cell r="E38">
            <v>788.169983</v>
          </cell>
          <cell r="F38">
            <v>174.990005</v>
          </cell>
        </row>
        <row r="39">
          <cell r="B39">
            <v>199.39999399999999</v>
          </cell>
          <cell r="C39">
            <v>157.029999</v>
          </cell>
          <cell r="D39">
            <v>407.540009</v>
          </cell>
          <cell r="E39">
            <v>790.919983</v>
          </cell>
          <cell r="F39">
            <v>174.729996</v>
          </cell>
        </row>
        <row r="40">
          <cell r="B40">
            <v>199.729996</v>
          </cell>
          <cell r="C40">
            <v>158.300003</v>
          </cell>
          <cell r="D40">
            <v>407.48001099999999</v>
          </cell>
          <cell r="E40">
            <v>787.01000999999997</v>
          </cell>
          <cell r="F40">
            <v>173.53999300000001</v>
          </cell>
        </row>
        <row r="41">
          <cell r="B41">
            <v>202.03999300000001</v>
          </cell>
          <cell r="C41">
            <v>155.85000600000001</v>
          </cell>
          <cell r="D41">
            <v>407.72000100000002</v>
          </cell>
          <cell r="E41">
            <v>776.63000499999998</v>
          </cell>
          <cell r="F41">
            <v>173.16000399999999</v>
          </cell>
        </row>
        <row r="42">
          <cell r="B42">
            <v>201.88000500000001</v>
          </cell>
          <cell r="C42">
            <v>157.78999300000001</v>
          </cell>
          <cell r="D42">
            <v>413.64001500000001</v>
          </cell>
          <cell r="E42">
            <v>791.11999500000002</v>
          </cell>
          <cell r="F42">
            <v>176.759995</v>
          </cell>
        </row>
        <row r="43">
          <cell r="B43">
            <v>202.63999899999999</v>
          </cell>
          <cell r="C43">
            <v>163.08999600000001</v>
          </cell>
          <cell r="D43">
            <v>415.5</v>
          </cell>
          <cell r="E43">
            <v>822.78997800000002</v>
          </cell>
          <cell r="F43">
            <v>178.220001</v>
          </cell>
        </row>
        <row r="44">
          <cell r="B44">
            <v>188.13999899999999</v>
          </cell>
          <cell r="C44">
            <v>166.55999800000001</v>
          </cell>
          <cell r="D44">
            <v>414.92001299999998</v>
          </cell>
          <cell r="E44">
            <v>852.36999500000002</v>
          </cell>
          <cell r="F44">
            <v>177.58000200000001</v>
          </cell>
        </row>
        <row r="45">
          <cell r="B45">
            <v>180.740005</v>
          </cell>
          <cell r="C45">
            <v>161.449997</v>
          </cell>
          <cell r="D45">
            <v>402.64999399999999</v>
          </cell>
          <cell r="E45">
            <v>859.64001499999995</v>
          </cell>
          <cell r="F45">
            <v>174.11999499999999</v>
          </cell>
        </row>
        <row r="46">
          <cell r="B46">
            <v>176.53999300000001</v>
          </cell>
          <cell r="C46">
            <v>167.88999899999999</v>
          </cell>
          <cell r="D46">
            <v>402.08999599999999</v>
          </cell>
          <cell r="E46">
            <v>887</v>
          </cell>
          <cell r="F46">
            <v>173.509995</v>
          </cell>
        </row>
        <row r="47">
          <cell r="B47">
            <v>178.64999399999999</v>
          </cell>
          <cell r="C47">
            <v>175.720001</v>
          </cell>
          <cell r="D47">
            <v>409.14001500000001</v>
          </cell>
          <cell r="E47">
            <v>926.69000200000005</v>
          </cell>
          <cell r="F47">
            <v>176.820007</v>
          </cell>
        </row>
        <row r="48">
          <cell r="B48">
            <v>175.33999600000001</v>
          </cell>
          <cell r="C48">
            <v>170.570007</v>
          </cell>
          <cell r="D48">
            <v>406.22000100000002</v>
          </cell>
          <cell r="E48">
            <v>875.28002900000001</v>
          </cell>
          <cell r="F48">
            <v>175.35000600000001</v>
          </cell>
        </row>
        <row r="49">
          <cell r="B49">
            <v>177.770004</v>
          </cell>
          <cell r="C49">
            <v>171.11999499999999</v>
          </cell>
          <cell r="D49">
            <v>404.51998900000001</v>
          </cell>
          <cell r="E49">
            <v>857.73999000000003</v>
          </cell>
          <cell r="F49">
            <v>171.96000699999999</v>
          </cell>
        </row>
        <row r="50">
          <cell r="B50">
            <v>177.53999300000001</v>
          </cell>
          <cell r="C50">
            <v>173.08000200000001</v>
          </cell>
          <cell r="D50">
            <v>415.27999899999998</v>
          </cell>
          <cell r="E50">
            <v>919.13000499999998</v>
          </cell>
          <cell r="F50">
            <v>175.38999899999999</v>
          </cell>
        </row>
        <row r="51">
          <cell r="B51">
            <v>169.479996</v>
          </cell>
          <cell r="C51">
            <v>169.25</v>
          </cell>
          <cell r="D51">
            <v>415.10000600000001</v>
          </cell>
          <cell r="E51">
            <v>908.88000499999998</v>
          </cell>
          <cell r="F51">
            <v>176.55999800000001</v>
          </cell>
        </row>
        <row r="52">
          <cell r="B52">
            <v>162.5</v>
          </cell>
          <cell r="C52">
            <v>168.449997</v>
          </cell>
          <cell r="D52">
            <v>425.22000100000002</v>
          </cell>
          <cell r="E52">
            <v>879.44000200000005</v>
          </cell>
          <cell r="F52">
            <v>178.75</v>
          </cell>
        </row>
        <row r="53">
          <cell r="B53">
            <v>163.570007</v>
          </cell>
          <cell r="C53">
            <v>167.199997</v>
          </cell>
          <cell r="D53">
            <v>416.42001299999998</v>
          </cell>
          <cell r="E53">
            <v>878.36999500000002</v>
          </cell>
          <cell r="F53">
            <v>174.41999799999999</v>
          </cell>
        </row>
        <row r="54">
          <cell r="B54">
            <v>173.800003</v>
          </cell>
          <cell r="C54">
            <v>166.91999799999999</v>
          </cell>
          <cell r="D54">
            <v>417.32000699999998</v>
          </cell>
          <cell r="E54">
            <v>884.54998799999998</v>
          </cell>
          <cell r="F54">
            <v>174.479996</v>
          </cell>
        </row>
        <row r="55">
          <cell r="B55">
            <v>171.320007</v>
          </cell>
          <cell r="C55">
            <v>164.10000600000001</v>
          </cell>
          <cell r="D55">
            <v>421.41000400000001</v>
          </cell>
          <cell r="E55">
            <v>893.97997999999995</v>
          </cell>
          <cell r="F55">
            <v>175.89999399999999</v>
          </cell>
        </row>
        <row r="56">
          <cell r="B56">
            <v>175.66000399999999</v>
          </cell>
          <cell r="C56">
            <v>167.66999799999999</v>
          </cell>
          <cell r="D56">
            <v>425.23001099999999</v>
          </cell>
          <cell r="E56">
            <v>903.71997099999999</v>
          </cell>
          <cell r="F56">
            <v>178.14999399999999</v>
          </cell>
        </row>
        <row r="57">
          <cell r="B57">
            <v>172.820007</v>
          </cell>
          <cell r="C57">
            <v>170.85000600000001</v>
          </cell>
          <cell r="D57">
            <v>429.36999500000002</v>
          </cell>
          <cell r="E57">
            <v>914.34997599999997</v>
          </cell>
          <cell r="F57">
            <v>178.14999399999999</v>
          </cell>
        </row>
        <row r="58">
          <cell r="B58">
            <v>170.83000200000001</v>
          </cell>
          <cell r="C58">
            <v>170.10000600000001</v>
          </cell>
          <cell r="D58">
            <v>428.73998999999998</v>
          </cell>
          <cell r="E58">
            <v>942.89001499999995</v>
          </cell>
          <cell r="F58">
            <v>178.86999499999999</v>
          </cell>
        </row>
        <row r="59">
          <cell r="B59">
            <v>172.63000500000001</v>
          </cell>
          <cell r="C59">
            <v>167.520004</v>
          </cell>
          <cell r="D59">
            <v>422.85998499999999</v>
          </cell>
          <cell r="E59">
            <v>950.02002000000005</v>
          </cell>
          <cell r="F59">
            <v>179.71000699999999</v>
          </cell>
        </row>
        <row r="60">
          <cell r="B60">
            <v>177.66999799999999</v>
          </cell>
          <cell r="C60">
            <v>167.070007</v>
          </cell>
          <cell r="D60">
            <v>421.64999399999999</v>
          </cell>
          <cell r="E60">
            <v>925.60998500000005</v>
          </cell>
          <cell r="F60">
            <v>178.300003</v>
          </cell>
        </row>
        <row r="61">
          <cell r="B61">
            <v>179.83000200000001</v>
          </cell>
          <cell r="C61">
            <v>169.13000500000001</v>
          </cell>
          <cell r="D61">
            <v>421.42999300000002</v>
          </cell>
          <cell r="E61">
            <v>902.5</v>
          </cell>
          <cell r="F61">
            <v>179.83000200000001</v>
          </cell>
        </row>
        <row r="62">
          <cell r="B62">
            <v>175.78999300000001</v>
          </cell>
          <cell r="C62">
            <v>169.300003</v>
          </cell>
          <cell r="D62">
            <v>420.72000100000002</v>
          </cell>
          <cell r="E62">
            <v>903.55999799999995</v>
          </cell>
          <cell r="F62">
            <v>180.38000500000001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"/>
  <sheetViews>
    <sheetView topLeftCell="H1" workbookViewId="0">
      <selection activeCell="AL2" sqref="AL2"/>
    </sheetView>
  </sheetViews>
  <sheetFormatPr defaultRowHeight="15" x14ac:dyDescent="0.25"/>
  <cols>
    <col min="11" max="11" width="15.28515625" customWidth="1"/>
    <col min="12" max="12" width="11.85546875" customWidth="1"/>
    <col min="13" max="13" width="18.5703125" customWidth="1"/>
    <col min="14" max="14" width="13.28515625" style="25" bestFit="1" customWidth="1"/>
    <col min="15" max="15" width="11.85546875" customWidth="1"/>
    <col min="16" max="16" width="14.28515625" bestFit="1" customWidth="1"/>
    <col min="17" max="17" width="14" bestFit="1" customWidth="1"/>
    <col min="22" max="22" width="9.7109375" bestFit="1" customWidth="1"/>
    <col min="23" max="25" width="13.28515625" bestFit="1" customWidth="1"/>
    <col min="26" max="26" width="14.28515625" bestFit="1" customWidth="1"/>
    <col min="27" max="27" width="13.28515625" bestFit="1" customWidth="1"/>
    <col min="28" max="28" width="14.5703125" bestFit="1" customWidth="1"/>
    <col min="30" max="31" width="14" bestFit="1" customWidth="1"/>
    <col min="32" max="32" width="12.7109375" bestFit="1" customWidth="1"/>
    <col min="34" max="34" width="11" bestFit="1" customWidth="1"/>
  </cols>
  <sheetData>
    <row r="1" spans="1:38" x14ac:dyDescent="0.25">
      <c r="A1" s="20" t="s">
        <v>0</v>
      </c>
      <c r="B1" s="21"/>
      <c r="C1" s="21"/>
      <c r="D1" s="21"/>
      <c r="E1" s="21"/>
      <c r="F1" s="22"/>
      <c r="H1" s="23" t="s">
        <v>1</v>
      </c>
      <c r="I1" s="24"/>
      <c r="K1" t="s">
        <v>2</v>
      </c>
      <c r="L1" t="s">
        <v>3</v>
      </c>
      <c r="M1" t="s">
        <v>4</v>
      </c>
      <c r="N1" s="25" t="s">
        <v>5</v>
      </c>
      <c r="O1" t="s">
        <v>6</v>
      </c>
      <c r="P1" t="s">
        <v>7</v>
      </c>
      <c r="Q1" t="s">
        <v>8</v>
      </c>
      <c r="R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D1" t="s">
        <v>17</v>
      </c>
      <c r="AE1" t="s">
        <v>18</v>
      </c>
      <c r="AF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</row>
    <row r="2" spans="1:38" x14ac:dyDescent="0.25">
      <c r="A2" s="26" t="s">
        <v>25</v>
      </c>
      <c r="B2" s="27"/>
      <c r="C2" s="27"/>
      <c r="D2" s="27"/>
      <c r="E2" s="27"/>
      <c r="F2" s="28"/>
      <c r="H2" s="29" t="s">
        <v>11</v>
      </c>
      <c r="I2" s="30" t="s">
        <v>26</v>
      </c>
      <c r="K2" t="s">
        <v>11</v>
      </c>
      <c r="L2" t="s">
        <v>27</v>
      </c>
      <c r="M2" s="15">
        <f>$M$7*N2</f>
        <v>1400000.0000000002</v>
      </c>
      <c r="N2" s="38">
        <v>7.0000000000000007E-2</v>
      </c>
      <c r="O2" s="15">
        <f>M2/[1]Prices!B2</f>
        <v>5635.6171454441455</v>
      </c>
      <c r="P2" s="15">
        <f>O2*[1]Prices!B62</f>
        <v>990685.09854830639</v>
      </c>
      <c r="Q2" s="15">
        <f>ABS(P2-M2)</f>
        <v>409314.90145169385</v>
      </c>
      <c r="R2" s="4">
        <f>ABS((P2-M2)/M2)</f>
        <v>0.29236778675120983</v>
      </c>
      <c r="V2" s="1">
        <v>45293</v>
      </c>
      <c r="W2" s="15">
        <f>[1]Prices!B2*$O$2</f>
        <v>1400000.0000000002</v>
      </c>
      <c r="X2" s="15">
        <f>[1]Prices!C2*$O$3</f>
        <v>7000000</v>
      </c>
      <c r="Y2" s="15">
        <f>[1]Prices!D2*$O$4</f>
        <v>1000000</v>
      </c>
      <c r="Z2" s="15">
        <f>[1]Prices!E2*$O$5</f>
        <v>9000000</v>
      </c>
      <c r="AA2" s="15">
        <f>[1]Prices!F2*$O$6</f>
        <v>1600000</v>
      </c>
      <c r="AB2" s="15">
        <f>SUM(W2:AA2)</f>
        <v>20000000</v>
      </c>
      <c r="AD2">
        <v>0</v>
      </c>
      <c r="AE2" s="15">
        <v>0</v>
      </c>
      <c r="AF2">
        <f>POWER(AD2,2)</f>
        <v>0</v>
      </c>
      <c r="AH2">
        <f>_xlfn.VAR.S(AE2:AE62)</f>
        <v>290243291197.35162</v>
      </c>
      <c r="AI2">
        <f>SQRT(AH2)*SQRT(60)</f>
        <v>4173080.09410808</v>
      </c>
      <c r="AJ2">
        <f>AI2*4</f>
        <v>16692320.37643232</v>
      </c>
      <c r="AK2">
        <f>_xlfn.STDEV.S(AE2:AE62)</f>
        <v>538742.32356234244</v>
      </c>
      <c r="AL2" s="36">
        <f>(R7-TSLA!C68)/AK2</f>
        <v>7.8638966341632398E-7</v>
      </c>
    </row>
    <row r="3" spans="1:38" x14ac:dyDescent="0.25">
      <c r="A3" s="26" t="s">
        <v>28</v>
      </c>
      <c r="B3" s="27"/>
      <c r="C3" s="27"/>
      <c r="D3" s="27"/>
      <c r="E3" s="27"/>
      <c r="F3" s="28"/>
      <c r="H3" s="29" t="s">
        <v>12</v>
      </c>
      <c r="I3" s="30" t="s">
        <v>29</v>
      </c>
      <c r="K3" t="s">
        <v>12</v>
      </c>
      <c r="L3" t="s">
        <v>30</v>
      </c>
      <c r="M3" s="15">
        <f t="shared" ref="M3:M6" si="0">$M$7*N3</f>
        <v>7000000</v>
      </c>
      <c r="N3" s="38">
        <v>0.35</v>
      </c>
      <c r="O3" s="15">
        <f>M3/[1]Prices!C2</f>
        <v>49917.993294387597</v>
      </c>
      <c r="P3" s="15">
        <f>O3*[1]Prices!C62</f>
        <v>8451116.4144938011</v>
      </c>
      <c r="Q3" s="15">
        <f t="shared" ref="Q3:Q6" si="1">P3-M3</f>
        <v>1451116.4144938011</v>
      </c>
      <c r="R3" s="4">
        <f t="shared" ref="R3:R6" si="2">(P3-M3)/M3</f>
        <v>0.20730234492768587</v>
      </c>
      <c r="V3" s="1">
        <v>45294</v>
      </c>
      <c r="W3" s="15">
        <f>[1]Prices!B3*$O$2</f>
        <v>1343812.891424305</v>
      </c>
      <c r="X3" s="15">
        <f>[1]Prices!C3*$O$3</f>
        <v>6868716.1768156933</v>
      </c>
      <c r="Y3" s="15">
        <f>[1]Prices!D3*$O$4</f>
        <v>999272.01174632635</v>
      </c>
      <c r="Z3" s="15">
        <f>[1]Prices!E3*$O$5</f>
        <v>8888079.3892554305</v>
      </c>
      <c r="AA3" s="15">
        <f>[1]Prices!F3*$O$6</f>
        <v>1584419.4803637455</v>
      </c>
      <c r="AB3" s="15">
        <f t="shared" ref="AB3:AB62" si="3">SUM(W3:AA3)</f>
        <v>19684299.949605498</v>
      </c>
      <c r="AD3" s="15">
        <f t="shared" ref="AD3:AD34" si="4">AB3-AB2</f>
        <v>-315700.05039450154</v>
      </c>
      <c r="AE3" s="15">
        <f t="shared" ref="AE3:AE62" si="5">($AD$63-AD3)</f>
        <v>469533.29449099948</v>
      </c>
      <c r="AF3">
        <f>POWER(AE3,2)</f>
        <v>220461514635.57166</v>
      </c>
    </row>
    <row r="4" spans="1:38" x14ac:dyDescent="0.25">
      <c r="A4" s="26" t="s">
        <v>31</v>
      </c>
      <c r="B4" s="27"/>
      <c r="C4" s="27"/>
      <c r="D4" s="27"/>
      <c r="E4" s="27"/>
      <c r="F4" s="28"/>
      <c r="H4" s="29" t="s">
        <v>15</v>
      </c>
      <c r="I4" s="30" t="s">
        <v>32</v>
      </c>
      <c r="K4" t="s">
        <v>13</v>
      </c>
      <c r="L4" t="s">
        <v>30</v>
      </c>
      <c r="M4" s="15">
        <f t="shared" si="0"/>
        <v>1000000</v>
      </c>
      <c r="N4" s="38">
        <v>0.05</v>
      </c>
      <c r="O4" s="15">
        <f>M4/[1]Prices!D2</f>
        <v>2696.3626431952252</v>
      </c>
      <c r="P4" s="15">
        <f>O4*[1]Prices!D62</f>
        <v>1134413.6939414579</v>
      </c>
      <c r="Q4" s="15">
        <f t="shared" si="1"/>
        <v>134413.6939414579</v>
      </c>
      <c r="R4" s="4">
        <f t="shared" si="2"/>
        <v>0.13441369394145788</v>
      </c>
      <c r="V4" s="1">
        <v>45295</v>
      </c>
      <c r="W4" s="15">
        <f>[1]Prices!B4*$O$2</f>
        <v>1340882.3479662056</v>
      </c>
      <c r="X4" s="15">
        <f>[1]Prices!C4*$O$3</f>
        <v>6797333.0470607718</v>
      </c>
      <c r="Y4" s="15">
        <f>[1]Prices!D4*$O$4</f>
        <v>992099.67632997641</v>
      </c>
      <c r="Z4" s="15">
        <f>[1]Prices!E4*$O$5</f>
        <v>8968236.5092543922</v>
      </c>
      <c r="AA4" s="15">
        <f>[1]Prices!F4*$O$6</f>
        <v>1542800.120053364</v>
      </c>
      <c r="AB4" s="15">
        <f t="shared" si="3"/>
        <v>19641351.700664714</v>
      </c>
      <c r="AD4" s="15">
        <f t="shared" si="4"/>
        <v>-42948.248940784484</v>
      </c>
      <c r="AE4" s="15">
        <f t="shared" si="5"/>
        <v>196781.49303728243</v>
      </c>
      <c r="AF4">
        <f t="shared" ref="AF4:AF62" si="6">POWER(AE4,2)</f>
        <v>38722956001.982033</v>
      </c>
    </row>
    <row r="5" spans="1:38" x14ac:dyDescent="0.25">
      <c r="A5" s="26" t="s">
        <v>33</v>
      </c>
      <c r="B5" s="27"/>
      <c r="C5" s="27"/>
      <c r="D5" s="27"/>
      <c r="E5" s="27"/>
      <c r="F5" s="28"/>
      <c r="H5" s="29" t="s">
        <v>13</v>
      </c>
      <c r="I5" s="30"/>
      <c r="K5" t="s">
        <v>14</v>
      </c>
      <c r="L5" t="s">
        <v>30</v>
      </c>
      <c r="M5" s="15">
        <f t="shared" si="0"/>
        <v>9000000</v>
      </c>
      <c r="N5" s="38">
        <v>0.45</v>
      </c>
      <c r="O5" s="15">
        <f>M5/[1]Prices!E2</f>
        <v>18684.604157931051</v>
      </c>
      <c r="P5" s="15">
        <f>O5*[1]Prices!E62</f>
        <v>16882660.895570971</v>
      </c>
      <c r="Q5" s="15">
        <f t="shared" si="1"/>
        <v>7882660.8955709711</v>
      </c>
      <c r="R5" s="4">
        <f t="shared" si="2"/>
        <v>0.87585121061899673</v>
      </c>
      <c r="V5" s="1">
        <v>45296</v>
      </c>
      <c r="W5" s="15">
        <f>[1]Prices!B5*$O$2</f>
        <v>1338402.7440496159</v>
      </c>
      <c r="X5" s="15">
        <f>[1]Prices!C5*$O$3</f>
        <v>6825287.0234696427</v>
      </c>
      <c r="Y5" s="15">
        <f>[1]Prices!D5*$O$4</f>
        <v>991587.36203504412</v>
      </c>
      <c r="Z5" s="15">
        <f>[1]Prices!E5*$O$5</f>
        <v>9173580.1221040133</v>
      </c>
      <c r="AA5" s="15">
        <f>[1]Prices!F5*$O$6</f>
        <v>1549950.1023787817</v>
      </c>
      <c r="AB5" s="15">
        <f t="shared" si="3"/>
        <v>19878807.354037099</v>
      </c>
      <c r="AD5" s="15">
        <f t="shared" si="4"/>
        <v>237455.65337238461</v>
      </c>
      <c r="AE5" s="15">
        <f t="shared" si="5"/>
        <v>-83622.409275886661</v>
      </c>
      <c r="AF5">
        <f t="shared" si="6"/>
        <v>6992707333.1038952</v>
      </c>
    </row>
    <row r="6" spans="1:38" x14ac:dyDescent="0.25">
      <c r="A6" s="26" t="s">
        <v>34</v>
      </c>
      <c r="B6" s="27"/>
      <c r="C6" s="27"/>
      <c r="D6" s="27"/>
      <c r="E6" s="27"/>
      <c r="F6" s="28"/>
      <c r="H6" s="29" t="s">
        <v>14</v>
      </c>
      <c r="I6" s="30"/>
      <c r="K6" t="s">
        <v>15</v>
      </c>
      <c r="L6" t="s">
        <v>30</v>
      </c>
      <c r="M6" s="15">
        <f t="shared" si="0"/>
        <v>1600000</v>
      </c>
      <c r="N6" s="38">
        <v>0.08</v>
      </c>
      <c r="O6" s="15">
        <f>M6/[1]Prices!F2</f>
        <v>10671.647266734682</v>
      </c>
      <c r="P6" s="15">
        <f>O6*[1]Prices!F62</f>
        <v>1924951.7873318384</v>
      </c>
      <c r="Q6" s="15">
        <f t="shared" si="1"/>
        <v>324951.78733183839</v>
      </c>
      <c r="R6" s="4">
        <f t="shared" si="2"/>
        <v>0.20309486708239899</v>
      </c>
      <c r="V6" s="1">
        <v>45299</v>
      </c>
      <c r="W6" s="15">
        <f>[1]Prices!B6*$O$2</f>
        <v>1355084.1257151933</v>
      </c>
      <c r="X6" s="15">
        <f>[1]Prices!C6*$O$3</f>
        <v>6940098.5578007149</v>
      </c>
      <c r="Y6" s="15">
        <f>[1]Prices!D6*$O$4</f>
        <v>1010300.1241715442</v>
      </c>
      <c r="Z6" s="15">
        <f>[1]Prices!E6*$O$5</f>
        <v>9763266.7524972335</v>
      </c>
      <c r="AA6" s="15">
        <f>[1]Prices!F6*$O$6</f>
        <v>1591142.6715000249</v>
      </c>
      <c r="AB6" s="15">
        <f t="shared" si="3"/>
        <v>20659892.231684711</v>
      </c>
      <c r="AD6" s="15">
        <f t="shared" si="4"/>
        <v>781084.87764761224</v>
      </c>
      <c r="AE6" s="15">
        <f t="shared" si="5"/>
        <v>-627251.63355111424</v>
      </c>
      <c r="AF6">
        <f t="shared" si="6"/>
        <v>393444611792.54132</v>
      </c>
    </row>
    <row r="7" spans="1:38" x14ac:dyDescent="0.25">
      <c r="A7" s="26" t="s">
        <v>35</v>
      </c>
      <c r="B7" s="27"/>
      <c r="C7" s="27"/>
      <c r="D7" s="27"/>
      <c r="E7" s="27"/>
      <c r="F7" s="28"/>
      <c r="H7" s="29" t="s">
        <v>36</v>
      </c>
      <c r="I7" s="30"/>
      <c r="M7" s="15">
        <v>20000000</v>
      </c>
      <c r="N7" s="38"/>
      <c r="P7" s="15">
        <f>SUM(P2:P6)</f>
        <v>29383827.889886376</v>
      </c>
      <c r="Q7" s="15">
        <f>SUM(Q2:Q6)</f>
        <v>10202457.692789761</v>
      </c>
      <c r="R7" s="4">
        <f>(P7-M7)/M7</f>
        <v>0.46919139449431879</v>
      </c>
      <c r="V7" s="1">
        <v>45300</v>
      </c>
      <c r="W7" s="15">
        <f>[1]Prices!B7*$O$2</f>
        <v>1324144.6439428765</v>
      </c>
      <c r="X7" s="15">
        <f>[1]Prices!C7*$O$3</f>
        <v>6983028.0320338868</v>
      </c>
      <c r="Y7" s="15">
        <f>[1]Prices!D7*$O$4</f>
        <v>1013266.1419535974</v>
      </c>
      <c r="Z7" s="15">
        <f>[1]Prices!E7*$O$5</f>
        <v>9928999.0979550611</v>
      </c>
      <c r="AA7" s="15">
        <f>[1]Prices!F7*$O$6</f>
        <v>1615367.1934073924</v>
      </c>
      <c r="AB7" s="15">
        <f t="shared" si="3"/>
        <v>20864805.109292816</v>
      </c>
      <c r="AD7" s="15">
        <f t="shared" si="4"/>
        <v>204912.87760810554</v>
      </c>
      <c r="AE7" s="15">
        <f t="shared" si="5"/>
        <v>-51079.633511607593</v>
      </c>
      <c r="AF7">
        <f t="shared" si="6"/>
        <v>2609128959.6801453</v>
      </c>
    </row>
    <row r="8" spans="1:38" x14ac:dyDescent="0.25">
      <c r="A8" s="26" t="s">
        <v>37</v>
      </c>
      <c r="B8" s="27"/>
      <c r="C8" s="27"/>
      <c r="D8" s="27"/>
      <c r="E8" s="27"/>
      <c r="F8" s="28"/>
      <c r="H8" s="29" t="s">
        <v>38</v>
      </c>
      <c r="I8" s="30"/>
      <c r="V8" s="1">
        <v>45301</v>
      </c>
      <c r="W8" s="15">
        <f>[1]Prices!B8*$O$2</f>
        <v>1318396.2862764376</v>
      </c>
      <c r="X8" s="15">
        <f>[1]Prices!C8*$O$3</f>
        <v>6954075.5460051503</v>
      </c>
      <c r="Y8" s="15">
        <f>[1]Prices!D8*$O$4</f>
        <v>1032086.6992758473</v>
      </c>
      <c r="Z8" s="15">
        <f>[1]Prices!E8*$O$5</f>
        <v>10155082.359835526</v>
      </c>
      <c r="AA8" s="15">
        <f>[1]Prices!F8*$O$6</f>
        <v>1640552.2916285337</v>
      </c>
      <c r="AB8" s="15">
        <f t="shared" si="3"/>
        <v>21100193.183021493</v>
      </c>
      <c r="AD8" s="15">
        <f t="shared" si="4"/>
        <v>235388.07372867689</v>
      </c>
      <c r="AE8" s="15">
        <f t="shared" si="5"/>
        <v>-81554.829632178938</v>
      </c>
      <c r="AF8">
        <f t="shared" si="6"/>
        <v>6651190236.3337317</v>
      </c>
    </row>
    <row r="9" spans="1:38" x14ac:dyDescent="0.25">
      <c r="A9" s="26" t="s">
        <v>39</v>
      </c>
      <c r="B9" s="27"/>
      <c r="C9" s="27"/>
      <c r="D9" s="27"/>
      <c r="E9" s="27"/>
      <c r="F9" s="28"/>
      <c r="H9" s="29" t="s">
        <v>40</v>
      </c>
      <c r="I9" s="30"/>
      <c r="V9" s="1">
        <v>45302</v>
      </c>
      <c r="W9" s="15">
        <f>[1]Prices!B9*$O$2</f>
        <v>1280524.9334234358</v>
      </c>
      <c r="X9" s="15">
        <f>[1]Prices!C9*$O$3</f>
        <v>6940098.5578007149</v>
      </c>
      <c r="Y9" s="15">
        <f>[1]Prices!D9*$O$4</f>
        <v>1037101.9769339927</v>
      </c>
      <c r="Z9" s="15">
        <f>[1]Prices!E9*$O$5</f>
        <v>10243273.14960744</v>
      </c>
      <c r="AA9" s="15">
        <f>[1]Prices!F9*$O$6</f>
        <v>1656026.1481503572</v>
      </c>
      <c r="AB9" s="15">
        <f t="shared" si="3"/>
        <v>21157024.765915941</v>
      </c>
      <c r="AD9" s="15">
        <f t="shared" si="4"/>
        <v>56831.582894448191</v>
      </c>
      <c r="AE9" s="15">
        <f t="shared" si="5"/>
        <v>97001.661202049756</v>
      </c>
      <c r="AF9">
        <f t="shared" si="6"/>
        <v>9409322275.9572449</v>
      </c>
    </row>
    <row r="10" spans="1:38" x14ac:dyDescent="0.25">
      <c r="A10" s="26" t="s">
        <v>41</v>
      </c>
      <c r="B10" s="27"/>
      <c r="C10" s="27"/>
      <c r="D10" s="27"/>
      <c r="E10" s="27"/>
      <c r="F10" s="28"/>
      <c r="H10" s="29" t="s">
        <v>42</v>
      </c>
      <c r="I10" s="30"/>
      <c r="V10" s="1">
        <v>45303</v>
      </c>
      <c r="W10" s="15">
        <f>[1]Prices!B10*$O$2</f>
        <v>1233580.2313306518</v>
      </c>
      <c r="X10" s="15">
        <f>[1]Prices!C10*$O$3</f>
        <v>6998502.5101191606</v>
      </c>
      <c r="Y10" s="15">
        <f>[1]Prices!D10*$O$4</f>
        <v>1047455.9986984119</v>
      </c>
      <c r="Z10" s="15">
        <f>[1]Prices!E10*$O$5</f>
        <v>10222346.486373577</v>
      </c>
      <c r="AA10" s="15">
        <f>[1]Prices!F10*$O$6</f>
        <v>1650050.0470242801</v>
      </c>
      <c r="AB10" s="15">
        <f t="shared" si="3"/>
        <v>21151935.273546081</v>
      </c>
      <c r="AD10" s="15">
        <f t="shared" si="4"/>
        <v>-5089.4923698604107</v>
      </c>
      <c r="AE10" s="15">
        <f t="shared" si="5"/>
        <v>158922.73646635836</v>
      </c>
      <c r="AF10">
        <f t="shared" si="6"/>
        <v>25256436165.955589</v>
      </c>
    </row>
    <row r="11" spans="1:38" x14ac:dyDescent="0.25">
      <c r="A11" s="26" t="s">
        <v>43</v>
      </c>
      <c r="B11" s="27"/>
      <c r="C11" s="27"/>
      <c r="D11" s="27"/>
      <c r="E11" s="27"/>
      <c r="F11" s="28"/>
      <c r="H11" s="29" t="s">
        <v>44</v>
      </c>
      <c r="I11" s="30"/>
      <c r="V11" s="1">
        <v>45307</v>
      </c>
      <c r="W11" s="15">
        <f>[1]Prices!B11*$O$2</f>
        <v>1239328.5889970905</v>
      </c>
      <c r="X11" s="15">
        <f>[1]Prices!C11*$O$3</f>
        <v>7044426.9641140103</v>
      </c>
      <c r="Y11" s="15">
        <f>[1]Prices!D11*$O$4</f>
        <v>1052309.4190998115</v>
      </c>
      <c r="Z11" s="15">
        <f>[1]Prices!E11*$O$5</f>
        <v>10534753.647116914</v>
      </c>
      <c r="AA11" s="15">
        <f>[1]Prices!F11*$O$6</f>
        <v>1634469.5380596728</v>
      </c>
      <c r="AB11" s="15">
        <f t="shared" si="3"/>
        <v>21505288.157387502</v>
      </c>
      <c r="AD11" s="15">
        <f t="shared" si="4"/>
        <v>353352.88384142146</v>
      </c>
      <c r="AE11" s="15">
        <f t="shared" si="5"/>
        <v>-199519.63974492351</v>
      </c>
      <c r="AF11">
        <f t="shared" si="6"/>
        <v>39808086643.944061</v>
      </c>
    </row>
    <row r="12" spans="1:38" x14ac:dyDescent="0.25">
      <c r="A12" s="26" t="s">
        <v>45</v>
      </c>
      <c r="B12" s="27"/>
      <c r="C12" s="27"/>
      <c r="D12" s="27"/>
      <c r="E12" s="27"/>
      <c r="F12" s="28"/>
      <c r="H12" s="29" t="s">
        <v>46</v>
      </c>
      <c r="I12" s="30"/>
      <c r="V12" s="1">
        <v>45308</v>
      </c>
      <c r="W12" s="15">
        <f>[1]Prices!B12*$O$2</f>
        <v>1214757.292607337</v>
      </c>
      <c r="X12" s="15">
        <f>[1]Prices!C12*$O$3</f>
        <v>6954575.175200033</v>
      </c>
      <c r="Y12" s="15">
        <f>[1]Prices!D12*$O$4</f>
        <v>1050152.3613416071</v>
      </c>
      <c r="Z12" s="15">
        <f>[1]Prices!E12*$O$5</f>
        <v>10473281.710498612</v>
      </c>
      <c r="AA12" s="15">
        <f>[1]Prices!F12*$O$6</f>
        <v>1618995.6815378494</v>
      </c>
      <c r="AB12" s="15">
        <f t="shared" si="3"/>
        <v>21311762.221185438</v>
      </c>
      <c r="AD12" s="15">
        <f t="shared" si="4"/>
        <v>-193525.93620206416</v>
      </c>
      <c r="AE12" s="15">
        <f t="shared" si="5"/>
        <v>347359.1802985621</v>
      </c>
      <c r="AF12">
        <f t="shared" si="6"/>
        <v>120658400137.68898</v>
      </c>
    </row>
    <row r="13" spans="1:38" ht="15.75" thickBot="1" x14ac:dyDescent="0.3">
      <c r="A13" s="31" t="s">
        <v>47</v>
      </c>
      <c r="B13" s="32"/>
      <c r="C13" s="32"/>
      <c r="D13" s="32"/>
      <c r="E13" s="32"/>
      <c r="F13" s="33"/>
      <c r="H13" s="34" t="s">
        <v>48</v>
      </c>
      <c r="I13" s="35"/>
      <c r="V13" s="1">
        <v>45309</v>
      </c>
      <c r="W13" s="15">
        <f>[1]Prices!B13*$O$2</f>
        <v>1194074.5889547914</v>
      </c>
      <c r="X13" s="15">
        <f>[1]Prices!C13*$O$3</f>
        <v>7252584.8963156212</v>
      </c>
      <c r="Y13" s="15">
        <f>[1]Prices!D13*$O$4</f>
        <v>1062016.3407934902</v>
      </c>
      <c r="Z13" s="15">
        <f>[1]Prices!E13*$O$5</f>
        <v>10670217.027261915</v>
      </c>
      <c r="AA13" s="15">
        <f>[1]Prices!F13*$O$6</f>
        <v>1638097.8554437738</v>
      </c>
      <c r="AB13" s="15">
        <f t="shared" si="3"/>
        <v>21816990.70876959</v>
      </c>
      <c r="AD13" s="15">
        <f t="shared" si="4"/>
        <v>505228.48758415133</v>
      </c>
      <c r="AE13" s="15">
        <f t="shared" si="5"/>
        <v>-351395.24348765338</v>
      </c>
      <c r="AF13">
        <f t="shared" si="6"/>
        <v>123478617145.74721</v>
      </c>
    </row>
    <row r="14" spans="1:38" x14ac:dyDescent="0.25">
      <c r="V14" s="1">
        <v>45310</v>
      </c>
      <c r="W14" s="15">
        <f>[1]Prices!B14*$O$2</f>
        <v>1195821.6133630276</v>
      </c>
      <c r="X14" s="15">
        <f>[1]Prices!C14*$O$3</f>
        <v>7585538.6104410915</v>
      </c>
      <c r="Y14" s="15">
        <f>[1]Prices!D14*$O$4</f>
        <v>1074958.9300153547</v>
      </c>
      <c r="Z14" s="15">
        <f>[1]Prices!E14*$O$5</f>
        <v>11115657.35511045</v>
      </c>
      <c r="AA14" s="15">
        <f>[1]Prices!F14*$O$6</f>
        <v>1657733.6437279766</v>
      </c>
      <c r="AB14" s="15">
        <f t="shared" si="3"/>
        <v>22629710.1526579</v>
      </c>
      <c r="AD14" s="15">
        <f t="shared" si="4"/>
        <v>812719.44388831034</v>
      </c>
      <c r="AE14" s="15">
        <f t="shared" si="5"/>
        <v>-658886.19979181234</v>
      </c>
      <c r="AF14">
        <f t="shared" si="6"/>
        <v>434131024276.09607</v>
      </c>
    </row>
    <row r="15" spans="1:38" x14ac:dyDescent="0.25">
      <c r="V15" s="1">
        <v>45313</v>
      </c>
      <c r="W15" s="15">
        <f>[1]Prices!B15*$O$2</f>
        <v>1176716.8768755891</v>
      </c>
      <c r="X15" s="15">
        <f>[1]Prices!C15*$O$3</f>
        <v>7630963.3853230653</v>
      </c>
      <c r="Y15" s="15">
        <f>[1]Prices!D15*$O$4</f>
        <v>1069134.7786169653</v>
      </c>
      <c r="Z15" s="15">
        <f>[1]Prices!E15*$O$5</f>
        <v>11146113.353310898</v>
      </c>
      <c r="AA15" s="15">
        <f>[1]Prices!F15*$O$6</f>
        <v>1651757.553273547</v>
      </c>
      <c r="AB15" s="15">
        <f t="shared" si="3"/>
        <v>22674685.947400067</v>
      </c>
      <c r="AD15" s="15">
        <f t="shared" si="4"/>
        <v>44975.794742166996</v>
      </c>
      <c r="AE15" s="15">
        <f t="shared" si="5"/>
        <v>108857.44935433095</v>
      </c>
      <c r="AF15">
        <f t="shared" si="6"/>
        <v>11849944279.930727</v>
      </c>
    </row>
    <row r="16" spans="1:38" x14ac:dyDescent="0.25">
      <c r="V16" s="1">
        <v>45314</v>
      </c>
      <c r="W16" s="15">
        <f>[1]Prices!B16*$O$2</f>
        <v>1178632.9641625714</v>
      </c>
      <c r="X16" s="15">
        <f>[1]Prices!C16*$O$3</f>
        <v>7662411.9706884958</v>
      </c>
      <c r="Y16" s="15">
        <f>[1]Prices!D16*$O$4</f>
        <v>1075579.0421923995</v>
      </c>
      <c r="Z16" s="15">
        <f>[1]Prices!E16*$O$5</f>
        <v>11187032.673785975</v>
      </c>
      <c r="AA16" s="15">
        <f>[1]Prices!F16*$O$6</f>
        <v>1664990.4492425341</v>
      </c>
      <c r="AB16" s="15">
        <f t="shared" si="3"/>
        <v>22768647.100071974</v>
      </c>
      <c r="AD16" s="15">
        <f t="shared" si="4"/>
        <v>93961.152671907097</v>
      </c>
      <c r="AE16" s="15">
        <f t="shared" si="5"/>
        <v>59872.09142459085</v>
      </c>
      <c r="AF16">
        <f t="shared" si="6"/>
        <v>3584667331.554565</v>
      </c>
    </row>
    <row r="17" spans="22:32" x14ac:dyDescent="0.25">
      <c r="V17" s="1">
        <v>45315</v>
      </c>
      <c r="W17" s="15">
        <f>[1]Prices!B17*$O$2</f>
        <v>1171250.3226088912</v>
      </c>
      <c r="X17" s="15">
        <f>[1]Prices!C17*$O$3</f>
        <v>7705840.3752646465</v>
      </c>
      <c r="Y17" s="15">
        <f>[1]Prices!D17*$O$4</f>
        <v>1085447.7402519446</v>
      </c>
      <c r="Z17" s="15">
        <f>[1]Prices!E17*$O$5</f>
        <v>11465246.709966632</v>
      </c>
      <c r="AA17" s="15">
        <f>[1]Prices!F17*$O$6</f>
        <v>1674061.2533744331</v>
      </c>
      <c r="AB17" s="15">
        <f t="shared" si="3"/>
        <v>23101846.401466548</v>
      </c>
      <c r="AD17" s="15">
        <f t="shared" si="4"/>
        <v>333199.30139457434</v>
      </c>
      <c r="AE17" s="15">
        <f t="shared" si="5"/>
        <v>-179366.0572980764</v>
      </c>
      <c r="AF17">
        <f t="shared" si="6"/>
        <v>32172182510.656826</v>
      </c>
    </row>
    <row r="18" spans="22:32" x14ac:dyDescent="0.25">
      <c r="V18" s="1">
        <v>45316</v>
      </c>
      <c r="W18" s="15">
        <f>[1]Prices!B18*$O$2</f>
        <v>1029232.7874505501</v>
      </c>
      <c r="X18" s="15">
        <f>[1]Prices!C18*$O$3</f>
        <v>7710832.4741020454</v>
      </c>
      <c r="Y18" s="15">
        <f>[1]Prices!D18*$O$4</f>
        <v>1091676.3298686377</v>
      </c>
      <c r="Z18" s="15">
        <f>[1]Prices!E18*$O$5</f>
        <v>11512892.226354105</v>
      </c>
      <c r="AA18" s="15">
        <f>[1]Prices!F18*$O$6</f>
        <v>1683452.3563273961</v>
      </c>
      <c r="AB18" s="15">
        <f t="shared" si="3"/>
        <v>23028086.174102735</v>
      </c>
      <c r="AD18" s="15">
        <f t="shared" si="4"/>
        <v>-73760.227363813668</v>
      </c>
      <c r="AE18" s="15">
        <f t="shared" si="5"/>
        <v>227593.47146031162</v>
      </c>
      <c r="AF18">
        <f t="shared" si="6"/>
        <v>51798788251.355675</v>
      </c>
    </row>
    <row r="19" spans="22:32" x14ac:dyDescent="0.25">
      <c r="V19" s="1">
        <v>45317</v>
      </c>
      <c r="W19" s="15">
        <f>[1]Prices!B19*$O$2</f>
        <v>1032726.8419026397</v>
      </c>
      <c r="X19" s="15">
        <f>[1]Prices!C19*$O$3</f>
        <v>7523639.9992480921</v>
      </c>
      <c r="Y19" s="15">
        <f>[1]Prices!D19*$O$4</f>
        <v>1089141.7435913088</v>
      </c>
      <c r="Z19" s="15">
        <f>[1]Prices!E19*$O$5</f>
        <v>11403400.726257691</v>
      </c>
      <c r="AA19" s="15">
        <f>[1]Prices!F19*$O$6</f>
        <v>1698072.4597245862</v>
      </c>
      <c r="AB19" s="15">
        <f t="shared" si="3"/>
        <v>22746981.770724315</v>
      </c>
      <c r="AD19" s="15">
        <f t="shared" si="4"/>
        <v>-281104.40337841958</v>
      </c>
      <c r="AE19" s="15">
        <f t="shared" si="5"/>
        <v>434937.64747491752</v>
      </c>
      <c r="AF19">
        <f t="shared" si="6"/>
        <v>189170757191.01563</v>
      </c>
    </row>
    <row r="20" spans="22:32" x14ac:dyDescent="0.25">
      <c r="V20" s="1">
        <v>45320</v>
      </c>
      <c r="W20" s="15">
        <f>[1]Prices!B20*$O$2</f>
        <v>1076008.3421303306</v>
      </c>
      <c r="X20" s="15">
        <f>[1]Prices!C20*$O$3</f>
        <v>7469728.4666541666</v>
      </c>
      <c r="Y20" s="15">
        <f>[1]Prices!D20*$O$4</f>
        <v>1104753.7048663103</v>
      </c>
      <c r="Z20" s="15">
        <f>[1]Prices!E20*$O$5</f>
        <v>11671338.435682131</v>
      </c>
      <c r="AA20" s="15">
        <f>[1]Prices!F20*$O$6</f>
        <v>1720909.7848753985</v>
      </c>
      <c r="AB20" s="15">
        <f t="shared" si="3"/>
        <v>23042738.734208338</v>
      </c>
      <c r="AD20" s="15">
        <f t="shared" si="4"/>
        <v>295756.96348402277</v>
      </c>
      <c r="AE20" s="15">
        <f t="shared" si="5"/>
        <v>-141923.71938752482</v>
      </c>
      <c r="AF20">
        <f t="shared" si="6"/>
        <v>20142342124.788887</v>
      </c>
    </row>
    <row r="21" spans="22:32" x14ac:dyDescent="0.25">
      <c r="V21" s="1">
        <v>45321</v>
      </c>
      <c r="W21" s="15">
        <f>[1]Prices!B21*$O$2</f>
        <v>1079727.8663531754</v>
      </c>
      <c r="X21" s="15">
        <f>[1]Prices!C21*$O$3</f>
        <v>7287028.4614427285</v>
      </c>
      <c r="Y21" s="15">
        <f>[1]Prices!D21*$O$4</f>
        <v>1101706.8015976865</v>
      </c>
      <c r="Z21" s="15">
        <f>[1]Prices!E21*$O$5</f>
        <v>11729073.227253597</v>
      </c>
      <c r="AA21" s="15">
        <f>[1]Prices!F21*$O$6</f>
        <v>1696791.9154108146</v>
      </c>
      <c r="AB21" s="15">
        <f t="shared" si="3"/>
        <v>22894328.272057999</v>
      </c>
      <c r="AD21" s="15">
        <f t="shared" si="4"/>
        <v>-148410.46215033904</v>
      </c>
      <c r="AE21" s="15">
        <f t="shared" si="5"/>
        <v>302243.70624683698</v>
      </c>
      <c r="AF21">
        <f t="shared" si="6"/>
        <v>91351257965.82428</v>
      </c>
    </row>
    <row r="22" spans="22:32" x14ac:dyDescent="0.25">
      <c r="V22" s="1">
        <v>45322</v>
      </c>
      <c r="W22" s="15">
        <f>[1]Prices!B22*$O$2</f>
        <v>1055494.6957209141</v>
      </c>
      <c r="X22" s="15">
        <f>[1]Prices!C22*$O$3</f>
        <v>7413320.9345595362</v>
      </c>
      <c r="Y22" s="15">
        <f>[1]Prices!D22*$O$4</f>
        <v>1072019.8246288432</v>
      </c>
      <c r="Z22" s="15">
        <f>[1]Prices!E22*$O$5</f>
        <v>11496076.773942322</v>
      </c>
      <c r="AA22" s="15">
        <f>[1]Prices!F22*$O$6</f>
        <v>1656239.6237822808</v>
      </c>
      <c r="AB22" s="15">
        <f t="shared" si="3"/>
        <v>22693151.852633897</v>
      </c>
      <c r="AD22" s="15">
        <f t="shared" si="4"/>
        <v>-201176.41942410171</v>
      </c>
      <c r="AE22" s="15">
        <f t="shared" si="5"/>
        <v>355009.66352059966</v>
      </c>
      <c r="AF22">
        <f t="shared" si="6"/>
        <v>126031861193.00938</v>
      </c>
    </row>
    <row r="23" spans="22:32" x14ac:dyDescent="0.25">
      <c r="V23" s="1">
        <v>45323</v>
      </c>
      <c r="W23" s="15">
        <f>[1]Prices!B23*$O$2</f>
        <v>1064342.6597241985</v>
      </c>
      <c r="X23" s="15">
        <f>[1]Prices!C23*$O$3</f>
        <v>7043928.0836890275</v>
      </c>
      <c r="Y23" s="15">
        <f>[1]Prices!D23*$O$4</f>
        <v>1088737.3053730053</v>
      </c>
      <c r="Z23" s="15">
        <f>[1]Prices!E23*$O$5</f>
        <v>11776345.836311288</v>
      </c>
      <c r="AA23" s="15">
        <f>[1]Prices!F23*$O$6</f>
        <v>1699779.9659738529</v>
      </c>
      <c r="AB23" s="15">
        <f t="shared" si="3"/>
        <v>22673133.851071373</v>
      </c>
      <c r="AD23" s="15">
        <f t="shared" si="4"/>
        <v>-20018.001562524587</v>
      </c>
      <c r="AE23" s="15">
        <f t="shared" si="5"/>
        <v>173851.24565902253</v>
      </c>
      <c r="AF23">
        <f t="shared" si="6"/>
        <v>30224255617.193802</v>
      </c>
    </row>
    <row r="24" spans="22:32" x14ac:dyDescent="0.25">
      <c r="V24" s="1">
        <v>45324</v>
      </c>
      <c r="W24" s="15">
        <f>[1]Prices!B24*$O$2</f>
        <v>1058988.8403428779</v>
      </c>
      <c r="X24" s="15">
        <f>[1]Prices!C24*$O$3</f>
        <v>7072880.5697177649</v>
      </c>
      <c r="Y24" s="15">
        <f>[1]Prices!D24*$O$4</f>
        <v>1108798.2488311033</v>
      </c>
      <c r="Z24" s="15">
        <f>[1]Prices!E24*$O$5</f>
        <v>12361733.662456684</v>
      </c>
      <c r="AA24" s="15">
        <f>[1]Prices!F24*$O$6</f>
        <v>1833495.6955543912</v>
      </c>
      <c r="AB24" s="15">
        <f t="shared" si="3"/>
        <v>23435897.016902819</v>
      </c>
      <c r="AD24" s="15">
        <f t="shared" si="4"/>
        <v>762763.16583144665</v>
      </c>
      <c r="AE24" s="15">
        <f t="shared" si="5"/>
        <v>-608929.92173494864</v>
      </c>
      <c r="AF24">
        <f t="shared" si="6"/>
        <v>370795649584.13068</v>
      </c>
    </row>
    <row r="25" spans="22:32" x14ac:dyDescent="0.25">
      <c r="V25" s="1">
        <v>45327</v>
      </c>
      <c r="W25" s="15">
        <f>[1]Prices!B25*$O$2</f>
        <v>1020384.8290828827</v>
      </c>
      <c r="X25" s="15">
        <f>[1]Prices!C25*$O$3</f>
        <v>7189688.5242726523</v>
      </c>
      <c r="Y25" s="15">
        <f>[1]Prices!D25*$O$4</f>
        <v>1093779.4900339672</v>
      </c>
      <c r="Z25" s="15">
        <f>[1]Prices!E25*$O$5</f>
        <v>12954409.885568986</v>
      </c>
      <c r="AA25" s="15">
        <f>[1]Prices!F25*$O$6</f>
        <v>1817488.2246542894</v>
      </c>
      <c r="AB25" s="15">
        <f t="shared" si="3"/>
        <v>24075750.953612778</v>
      </c>
      <c r="AD25" s="15">
        <f t="shared" si="4"/>
        <v>639853.93670995906</v>
      </c>
      <c r="AE25" s="15">
        <f t="shared" si="5"/>
        <v>-486020.69261346111</v>
      </c>
      <c r="AF25">
        <f t="shared" si="6"/>
        <v>236216113648.46844</v>
      </c>
    </row>
    <row r="26" spans="22:32" x14ac:dyDescent="0.25">
      <c r="V26" s="1">
        <v>45328</v>
      </c>
      <c r="W26" s="15">
        <f>[1]Prices!B26*$O$2</f>
        <v>1043152.7674354143</v>
      </c>
      <c r="X26" s="15">
        <f>[1]Prices!C26*$O$3</f>
        <v>7193183.1332292128</v>
      </c>
      <c r="Y26" s="15">
        <f>[1]Prices!D26*$O$4</f>
        <v>1093348.0612256054</v>
      </c>
      <c r="Z26" s="15">
        <f>[1]Prices!E26*$O$5</f>
        <v>12747197.120973216</v>
      </c>
      <c r="AA26" s="15">
        <f>[1]Prices!F26*$O$6</f>
        <v>1805109.0711382879</v>
      </c>
      <c r="AB26" s="15">
        <f t="shared" si="3"/>
        <v>23881990.154001739</v>
      </c>
      <c r="AD26" s="15">
        <f t="shared" si="4"/>
        <v>-193760.79961103946</v>
      </c>
      <c r="AE26" s="15">
        <f t="shared" si="5"/>
        <v>347594.04370753741</v>
      </c>
      <c r="AF26">
        <f t="shared" si="6"/>
        <v>120821619220.95743</v>
      </c>
    </row>
    <row r="27" spans="22:32" x14ac:dyDescent="0.25">
      <c r="V27" s="1">
        <v>45329</v>
      </c>
      <c r="W27" s="15">
        <f>[1]Prices!B27*$O$2</f>
        <v>1057129.0754136471</v>
      </c>
      <c r="X27" s="15">
        <f>[1]Prices!C27*$O$3</f>
        <v>7282535.9918002123</v>
      </c>
      <c r="Y27" s="15">
        <f>[1]Prices!D27*$O$4</f>
        <v>1116428.9200586313</v>
      </c>
      <c r="Z27" s="15">
        <f>[1]Prices!E27*$O$5</f>
        <v>13097720.481822047</v>
      </c>
      <c r="AA27" s="15">
        <f>[1]Prices!F27*$O$6</f>
        <v>1819835.9977246181</v>
      </c>
      <c r="AB27" s="15">
        <f t="shared" si="3"/>
        <v>24373650.466819156</v>
      </c>
      <c r="AD27" s="15">
        <f t="shared" si="4"/>
        <v>491660.31281741709</v>
      </c>
      <c r="AE27" s="15">
        <f t="shared" si="5"/>
        <v>-337827.06872091914</v>
      </c>
      <c r="AF27">
        <f t="shared" si="6"/>
        <v>114127128360.56862</v>
      </c>
    </row>
    <row r="28" spans="22:32" x14ac:dyDescent="0.25">
      <c r="V28" s="1">
        <v>45330</v>
      </c>
      <c r="W28" s="15">
        <f>[1]Prices!B28*$O$2</f>
        <v>1068287.5748191581</v>
      </c>
      <c r="X28" s="15">
        <f>[1]Prices!C28*$O$3</f>
        <v>7396847.8969364008</v>
      </c>
      <c r="Y28" s="15">
        <f>[1]Prices!D28*$O$4</f>
        <v>1116590.693728135</v>
      </c>
      <c r="Z28" s="15">
        <f>[1]Prices!E28*$O$5</f>
        <v>13012144.677140452</v>
      </c>
      <c r="AA28" s="15">
        <f>[1]Prices!F28*$O$6</f>
        <v>1812472.5290956295</v>
      </c>
      <c r="AB28" s="15">
        <f t="shared" si="3"/>
        <v>24406343.371719778</v>
      </c>
      <c r="AD28" s="15">
        <f t="shared" si="4"/>
        <v>32692.904900621623</v>
      </c>
      <c r="AE28" s="15">
        <f t="shared" si="5"/>
        <v>121140.33919587632</v>
      </c>
      <c r="AF28">
        <f t="shared" si="6"/>
        <v>14674981780.49197</v>
      </c>
    </row>
    <row r="29" spans="22:32" x14ac:dyDescent="0.25">
      <c r="V29" s="1">
        <v>45331</v>
      </c>
      <c r="W29" s="15">
        <f>[1]Prices!B29*$O$2</f>
        <v>1090886.4502929433</v>
      </c>
      <c r="X29" s="15">
        <f>[1]Prices!C29*$O$3</f>
        <v>7537616.9874525275</v>
      </c>
      <c r="Y29" s="15">
        <f>[1]Prices!D29*$O$4</f>
        <v>1133955.2772394002</v>
      </c>
      <c r="Z29" s="15">
        <f>[1]Prices!E29*$O$5</f>
        <v>13477765.834878676</v>
      </c>
      <c r="AA29" s="15">
        <f>[1]Prices!F29*$O$6</f>
        <v>1861668.8336669235</v>
      </c>
      <c r="AB29" s="15">
        <f t="shared" si="3"/>
        <v>25101893.383530471</v>
      </c>
      <c r="AD29" s="15">
        <f t="shared" si="4"/>
        <v>695550.01181069389</v>
      </c>
      <c r="AE29" s="15">
        <f t="shared" si="5"/>
        <v>-541716.76771419588</v>
      </c>
      <c r="AF29">
        <f t="shared" si="6"/>
        <v>293457056422.71606</v>
      </c>
    </row>
    <row r="30" spans="22:32" x14ac:dyDescent="0.25">
      <c r="V30" s="1">
        <v>45334</v>
      </c>
      <c r="W30" s="15">
        <f>[1]Prices!B30*$O$2</f>
        <v>1060228.6817504929</v>
      </c>
      <c r="X30" s="15">
        <f>[1]Prices!C30*$O$3</f>
        <v>7642445.0728787016</v>
      </c>
      <c r="Y30" s="15">
        <f>[1]Prices!D30*$O$4</f>
        <v>1119691.5781768758</v>
      </c>
      <c r="Z30" s="15">
        <f>[1]Prices!E30*$O$5</f>
        <v>13499252.438329943</v>
      </c>
      <c r="AA30" s="15">
        <f>[1]Prices!F30*$O$6</f>
        <v>1839151.6472624664</v>
      </c>
      <c r="AB30" s="15">
        <f t="shared" si="3"/>
        <v>25160769.418398481</v>
      </c>
      <c r="AD30" s="15">
        <f t="shared" si="4"/>
        <v>58876.034868009388</v>
      </c>
      <c r="AE30" s="15">
        <f t="shared" si="5"/>
        <v>94957.209228488558</v>
      </c>
      <c r="AF30">
        <f t="shared" si="6"/>
        <v>9016871584.4629536</v>
      </c>
    </row>
    <row r="31" spans="22:32" x14ac:dyDescent="0.25">
      <c r="V31" s="1">
        <v>45335</v>
      </c>
      <c r="W31" s="15">
        <f>[1]Prices!B31*$O$2</f>
        <v>1037066.2896471003</v>
      </c>
      <c r="X31" s="15">
        <f>[1]Prices!C31*$O$3</f>
        <v>7489695.3644639626</v>
      </c>
      <c r="Y31" s="15">
        <f>[1]Prices!D31*$O$4</f>
        <v>1095586.0880576223</v>
      </c>
      <c r="Z31" s="15">
        <f>[1]Prices!E31*$O$5</f>
        <v>13476831.82888603</v>
      </c>
      <c r="AA31" s="15">
        <f>[1]Prices!F31*$O$6</f>
        <v>1799666.5843904894</v>
      </c>
      <c r="AB31" s="15">
        <f t="shared" si="3"/>
        <v>24898846.155445203</v>
      </c>
      <c r="AD31" s="15">
        <f t="shared" si="4"/>
        <v>-261923.26295327768</v>
      </c>
      <c r="AE31" s="15">
        <f t="shared" si="5"/>
        <v>415756.50704977562</v>
      </c>
      <c r="AF31">
        <f t="shared" si="6"/>
        <v>172853473154.23013</v>
      </c>
    </row>
    <row r="32" spans="22:32" x14ac:dyDescent="0.25">
      <c r="V32" s="1">
        <v>45336</v>
      </c>
      <c r="W32" s="15">
        <f>[1]Prices!B32*$O$2</f>
        <v>1063497.3509660847</v>
      </c>
      <c r="X32" s="15">
        <f>[1]Prices!C32*$O$3</f>
        <v>7684375.987574013</v>
      </c>
      <c r="Y32" s="15">
        <f>[1]Prices!D32*$O$4</f>
        <v>1104133.5117983862</v>
      </c>
      <c r="Z32" s="15">
        <f>[1]Prices!E32*$O$5</f>
        <v>13807922.472711047</v>
      </c>
      <c r="AA32" s="15">
        <f>[1]Prices!F32*$O$6</f>
        <v>1824638.2069797069</v>
      </c>
      <c r="AB32" s="15">
        <f t="shared" si="3"/>
        <v>25484567.530029237</v>
      </c>
      <c r="AD32" s="15">
        <f t="shared" si="4"/>
        <v>585721.37458403409</v>
      </c>
      <c r="AE32" s="15">
        <f t="shared" si="5"/>
        <v>-431888.13048753614</v>
      </c>
      <c r="AF32">
        <f t="shared" si="6"/>
        <v>186527357256.01904</v>
      </c>
    </row>
    <row r="33" spans="22:32" x14ac:dyDescent="0.25">
      <c r="V33" s="1">
        <v>45337</v>
      </c>
      <c r="W33" s="15">
        <f>[1]Prices!B33*$O$2</f>
        <v>1129659.4398974276</v>
      </c>
      <c r="X33" s="15">
        <f>[1]Prices!C33*$O$3</f>
        <v>7786208.3943866044</v>
      </c>
      <c r="Y33" s="15">
        <f>[1]Prices!D33*$O$4</f>
        <v>1096233.1908247254</v>
      </c>
      <c r="Z33" s="15">
        <f>[1]Prices!E33*$O$5</f>
        <v>13575860.006707814</v>
      </c>
      <c r="AA33" s="15">
        <f>[1]Prices!F33*$O$6</f>
        <v>1812045.7379064909</v>
      </c>
      <c r="AB33" s="15">
        <f t="shared" si="3"/>
        <v>25400006.769723061</v>
      </c>
      <c r="AD33" s="15">
        <f t="shared" si="4"/>
        <v>-84560.760306175798</v>
      </c>
      <c r="AE33" s="15">
        <f t="shared" si="5"/>
        <v>238394.00440267375</v>
      </c>
      <c r="AF33">
        <f t="shared" si="6"/>
        <v>56831701335.142029</v>
      </c>
    </row>
    <row r="34" spans="22:32" x14ac:dyDescent="0.25">
      <c r="V34" s="1">
        <v>45338</v>
      </c>
      <c r="W34" s="15">
        <f>[1]Prices!B34*$O$2</f>
        <v>1126841.6313247054</v>
      </c>
      <c r="X34" s="15">
        <f>[1]Prices!C34*$O$3</f>
        <v>7621978.4959560288</v>
      </c>
      <c r="Y34" s="15">
        <f>[1]Prices!D34*$O$4</f>
        <v>1089492.2842167374</v>
      </c>
      <c r="Z34" s="15">
        <f>[1]Prices!E34*$O$5</f>
        <v>13567451.710621495</v>
      </c>
      <c r="AA34" s="15">
        <f>[1]Prices!F34*$O$6</f>
        <v>1808950.8748259598</v>
      </c>
      <c r="AB34" s="15">
        <f t="shared" si="3"/>
        <v>25214714.996944923</v>
      </c>
      <c r="AD34" s="15">
        <f t="shared" si="4"/>
        <v>-185291.77277813852</v>
      </c>
      <c r="AE34" s="15">
        <f t="shared" si="5"/>
        <v>339125.01687463647</v>
      </c>
      <c r="AF34">
        <f t="shared" si="6"/>
        <v>115005777070.22247</v>
      </c>
    </row>
    <row r="35" spans="22:32" x14ac:dyDescent="0.25">
      <c r="V35" s="1">
        <v>45342</v>
      </c>
      <c r="W35" s="15">
        <f>[1]Prices!B35*$O$2</f>
        <v>1091957.1499231718</v>
      </c>
      <c r="X35" s="15">
        <f>[1]Prices!C35*$O$3</f>
        <v>7585538.6104410915</v>
      </c>
      <c r="Y35" s="15">
        <f>[1]Prices!D35*$O$4</f>
        <v>1086067.9333198685</v>
      </c>
      <c r="Z35" s="15">
        <f>[1]Prices!E35*$O$5</f>
        <v>12976831.653458357</v>
      </c>
      <c r="AA35" s="15">
        <f>[1]Prices!F35*$O$6</f>
        <v>1783018.8466693254</v>
      </c>
      <c r="AB35" s="15">
        <f t="shared" si="3"/>
        <v>24523414.193811812</v>
      </c>
      <c r="AD35" s="15">
        <f t="shared" ref="AD35:AD62" si="7">AB35-AB34</f>
        <v>-691300.80313311145</v>
      </c>
      <c r="AE35" s="15">
        <f t="shared" si="5"/>
        <v>845134.04722960945</v>
      </c>
      <c r="AF35">
        <f t="shared" si="6"/>
        <v>714251557786.69971</v>
      </c>
    </row>
    <row r="36" spans="22:32" x14ac:dyDescent="0.25">
      <c r="V36" s="1">
        <v>45343</v>
      </c>
      <c r="W36" s="15">
        <f>[1]Prices!B36*$O$2</f>
        <v>1097649.1739606247</v>
      </c>
      <c r="X36" s="15">
        <f>[1]Prices!C36*$O$3</f>
        <v>7588033.9110898925</v>
      </c>
      <c r="Y36" s="15">
        <f>[1]Prices!D36*$O$4</f>
        <v>1084423.1089657173</v>
      </c>
      <c r="Z36" s="15">
        <f>[1]Prices!E36*$O$5</f>
        <v>12606875.575585717</v>
      </c>
      <c r="AA36" s="15">
        <f>[1]Prices!F36*$O$6</f>
        <v>1799132.9700122112</v>
      </c>
      <c r="AB36" s="15">
        <f t="shared" si="3"/>
        <v>24176114.739614163</v>
      </c>
      <c r="AD36" s="15">
        <f t="shared" si="7"/>
        <v>-347299.45419764891</v>
      </c>
      <c r="AE36" s="15">
        <f t="shared" si="5"/>
        <v>501132.69829414686</v>
      </c>
      <c r="AF36">
        <f t="shared" si="6"/>
        <v>251133981299.57242</v>
      </c>
    </row>
    <row r="37" spans="22:32" x14ac:dyDescent="0.25">
      <c r="V37" s="1">
        <v>45344</v>
      </c>
      <c r="W37" s="15">
        <f>[1]Prices!B37*$O$2</f>
        <v>1112527.2032245973</v>
      </c>
      <c r="X37" s="15">
        <f>[1]Prices!C37*$O$3</f>
        <v>7724809.4623064809</v>
      </c>
      <c r="Y37" s="15">
        <f>[1]Prices!D37*$O$4</f>
        <v>1109957.6658931386</v>
      </c>
      <c r="Z37" s="15">
        <f>[1]Prices!E37*$O$5</f>
        <v>14674514.50697891</v>
      </c>
      <c r="AA37" s="15">
        <f>[1]Prices!F37*$O$6</f>
        <v>1863056.2011698354</v>
      </c>
      <c r="AB37" s="15">
        <f t="shared" si="3"/>
        <v>26484865.039572962</v>
      </c>
      <c r="AD37" s="15">
        <f t="shared" si="7"/>
        <v>2308750.299958799</v>
      </c>
      <c r="AE37" s="15">
        <f t="shared" si="5"/>
        <v>-2154917.055862301</v>
      </c>
      <c r="AF37">
        <f t="shared" si="6"/>
        <v>4643667517646.2471</v>
      </c>
    </row>
    <row r="38" spans="22:32" x14ac:dyDescent="0.25">
      <c r="V38" s="1">
        <v>45345</v>
      </c>
      <c r="W38" s="15">
        <f>[1]Prices!B38*$O$2</f>
        <v>1081869.4290465298</v>
      </c>
      <c r="X38" s="15">
        <f>[1]Prices!C38*$O$3</f>
        <v>7732796.5409055548</v>
      </c>
      <c r="Y38" s="15">
        <f>[1]Prices!D38*$O$4</f>
        <v>1106425.4362232781</v>
      </c>
      <c r="Z38" s="15">
        <f>[1]Prices!E38*$O$5</f>
        <v>14726644.141518246</v>
      </c>
      <c r="AA38" s="15">
        <f>[1]Prices!F38*$O$6</f>
        <v>1867431.6085641384</v>
      </c>
      <c r="AB38" s="15">
        <f t="shared" si="3"/>
        <v>26515167.156257749</v>
      </c>
      <c r="AD38" s="15">
        <f t="shared" si="7"/>
        <v>30302.116684786975</v>
      </c>
      <c r="AE38" s="15">
        <f t="shared" si="5"/>
        <v>123531.12741171097</v>
      </c>
      <c r="AF38">
        <f t="shared" si="6"/>
        <v>15259939439.60837</v>
      </c>
    </row>
    <row r="39" spans="22:32" x14ac:dyDescent="0.25">
      <c r="V39" s="1">
        <v>45348</v>
      </c>
      <c r="W39" s="15">
        <f>[1]Prices!B39*$O$2</f>
        <v>1123742.0249878597</v>
      </c>
      <c r="X39" s="15">
        <f>[1]Prices!C39*$O$3</f>
        <v>7838622.4370996915</v>
      </c>
      <c r="Y39" s="15">
        <f>[1]Prices!D39*$O$4</f>
        <v>1098875.6558750458</v>
      </c>
      <c r="Z39" s="15">
        <f>[1]Prices!E39*$O$5</f>
        <v>14778026.802952556</v>
      </c>
      <c r="AA39" s="15">
        <f>[1]Prices!F39*$O$6</f>
        <v>1864656.884229962</v>
      </c>
      <c r="AB39" s="15">
        <f t="shared" si="3"/>
        <v>26703923.805145115</v>
      </c>
      <c r="AD39" s="15">
        <f t="shared" si="7"/>
        <v>188756.64888736606</v>
      </c>
      <c r="AE39" s="15">
        <f t="shared" si="5"/>
        <v>-34923.40479086811</v>
      </c>
      <c r="AF39">
        <f t="shared" si="6"/>
        <v>1219644202.1868296</v>
      </c>
    </row>
    <row r="40" spans="22:32" x14ac:dyDescent="0.25">
      <c r="V40" s="1">
        <v>45349</v>
      </c>
      <c r="W40" s="15">
        <f>[1]Prices!B40*$O$2</f>
        <v>1125601.7899170907</v>
      </c>
      <c r="X40" s="15">
        <f>[1]Prices!C40*$O$3</f>
        <v>7902018.4882555371</v>
      </c>
      <c r="Y40" s="15">
        <f>[1]Prices!D40*$O$4</f>
        <v>1098713.8795091794</v>
      </c>
      <c r="Z40" s="15">
        <f>[1]Prices!E40*$O$5</f>
        <v>14704970.505179357</v>
      </c>
      <c r="AA40" s="15">
        <f>[1]Prices!F40*$O$6</f>
        <v>1851957.591967606</v>
      </c>
      <c r="AB40" s="15">
        <f t="shared" si="3"/>
        <v>26683262.254828766</v>
      </c>
      <c r="AD40" s="15">
        <f t="shared" si="7"/>
        <v>-20661.550316348672</v>
      </c>
      <c r="AE40" s="15">
        <f t="shared" si="5"/>
        <v>174494.79441284662</v>
      </c>
      <c r="AF40">
        <f t="shared" si="6"/>
        <v>30448433277.181606</v>
      </c>
    </row>
    <row r="41" spans="22:32" x14ac:dyDescent="0.25">
      <c r="V41" s="1">
        <v>45350</v>
      </c>
      <c r="W41" s="15">
        <f>[1]Prices!B41*$O$2</f>
        <v>1138620.0486162151</v>
      </c>
      <c r="X41" s="15">
        <f>[1]Prices!C41*$O$3</f>
        <v>7779719.5544382669</v>
      </c>
      <c r="Y41" s="15">
        <f>[1]Prices!D41*$O$4</f>
        <v>1099360.9795799199</v>
      </c>
      <c r="Z41" s="15">
        <f>[1]Prices!E41*$O$5</f>
        <v>14511024.220597012</v>
      </c>
      <c r="AA41" s="15">
        <f>[1]Prices!F41*$O$6</f>
        <v>1847902.4833943665</v>
      </c>
      <c r="AB41" s="15">
        <f t="shared" si="3"/>
        <v>26376627.28662578</v>
      </c>
      <c r="AD41" s="15">
        <f t="shared" si="7"/>
        <v>-306634.96820298582</v>
      </c>
      <c r="AE41" s="15">
        <f t="shared" si="5"/>
        <v>460468.21229948377</v>
      </c>
      <c r="AF41">
        <f t="shared" si="6"/>
        <v>212030974538.28247</v>
      </c>
    </row>
    <row r="42" spans="22:32" x14ac:dyDescent="0.25">
      <c r="V42" s="1">
        <v>45351</v>
      </c>
      <c r="W42" s="15">
        <f>[1]Prices!B42*$O$2</f>
        <v>1137718.4175003499</v>
      </c>
      <c r="X42" s="15">
        <f>[1]Prices!C42*$O$3</f>
        <v>7876559.8124954663</v>
      </c>
      <c r="Y42" s="15">
        <f>[1]Prices!D42*$O$4</f>
        <v>1115323.4841767126</v>
      </c>
      <c r="Z42" s="15">
        <f>[1]Prices!E42*$O$5</f>
        <v>14781763.947999394</v>
      </c>
      <c r="AA42" s="15">
        <f>[1]Prices!F42*$O$6</f>
        <v>1886320.3175097862</v>
      </c>
      <c r="AB42" s="15">
        <f t="shared" si="3"/>
        <v>26797685.979681708</v>
      </c>
      <c r="AD42" s="15">
        <f t="shared" si="7"/>
        <v>421058.69305592775</v>
      </c>
      <c r="AE42" s="15">
        <f t="shared" si="5"/>
        <v>-267225.44895942981</v>
      </c>
      <c r="AF42">
        <f t="shared" si="6"/>
        <v>71409440571.568817</v>
      </c>
    </row>
    <row r="43" spans="22:32" x14ac:dyDescent="0.25">
      <c r="V43" s="1">
        <v>45352</v>
      </c>
      <c r="W43" s="15">
        <f>[1]Prices!B43*$O$2</f>
        <v>1142001.4527171846</v>
      </c>
      <c r="X43" s="15">
        <f>[1]Prices!C43*$O$3</f>
        <v>8141125.3267097007</v>
      </c>
      <c r="Y43" s="15">
        <f>[1]Prices!D43*$O$4</f>
        <v>1120338.6782476162</v>
      </c>
      <c r="Z43" s="15">
        <f>[1]Prices!E43*$O$5</f>
        <v>15373505.044042798</v>
      </c>
      <c r="AA43" s="15">
        <f>[1]Prices!F43*$O$6</f>
        <v>1901900.9865491022</v>
      </c>
      <c r="AB43" s="15">
        <f t="shared" si="3"/>
        <v>27678871.488266401</v>
      </c>
      <c r="AD43" s="15">
        <f t="shared" si="7"/>
        <v>881185.50858469307</v>
      </c>
      <c r="AE43" s="15">
        <f t="shared" si="5"/>
        <v>-727352.26448819507</v>
      </c>
      <c r="AF43">
        <f t="shared" si="6"/>
        <v>529041316656.10529</v>
      </c>
    </row>
    <row r="44" spans="22:32" x14ac:dyDescent="0.25">
      <c r="V44" s="1">
        <v>45355</v>
      </c>
      <c r="W44" s="15">
        <f>[1]Prices!B44*$O$2</f>
        <v>1060285.0041082443</v>
      </c>
      <c r="X44" s="15">
        <f>[1]Prices!C44*$O$3</f>
        <v>8314340.8632772118</v>
      </c>
      <c r="Y44" s="15">
        <f>[1]Prices!D44*$O$4</f>
        <v>1118774.8229672771</v>
      </c>
      <c r="Z44" s="15">
        <f>[1]Prices!E44*$O$5</f>
        <v>15926195.95267267</v>
      </c>
      <c r="AA44" s="15">
        <f>[1]Prices!F44*$O$6</f>
        <v>1895071.1429700395</v>
      </c>
      <c r="AB44" s="15">
        <f t="shared" si="3"/>
        <v>28314667.785995446</v>
      </c>
      <c r="AD44" s="15">
        <f t="shared" si="7"/>
        <v>635796.29772904515</v>
      </c>
      <c r="AE44" s="15">
        <f t="shared" si="5"/>
        <v>-481963.05363254721</v>
      </c>
      <c r="AF44">
        <f t="shared" si="6"/>
        <v>232288385066.80957</v>
      </c>
    </row>
    <row r="45" spans="22:32" x14ac:dyDescent="0.25">
      <c r="V45" s="1">
        <v>45356</v>
      </c>
      <c r="W45" s="15">
        <f>[1]Prices!B45*$O$2</f>
        <v>1018581.4710456606</v>
      </c>
      <c r="X45" s="15">
        <f>[1]Prices!C45*$O$3</f>
        <v>8059259.8676248975</v>
      </c>
      <c r="Y45" s="15">
        <f>[1]Prices!D45*$O$4</f>
        <v>1085690.4021043815</v>
      </c>
      <c r="Z45" s="15">
        <f>[1]Prices!E45*$O$5</f>
        <v>16062033.39859291</v>
      </c>
      <c r="AA45" s="15">
        <f>[1]Prices!F45*$O$6</f>
        <v>1858147.1687256065</v>
      </c>
      <c r="AB45" s="15">
        <f t="shared" si="3"/>
        <v>28083712.308093455</v>
      </c>
      <c r="AD45" s="15">
        <f t="shared" si="7"/>
        <v>-230955.47790199146</v>
      </c>
      <c r="AE45" s="15">
        <f t="shared" si="5"/>
        <v>384788.7219984894</v>
      </c>
      <c r="AF45">
        <f t="shared" si="6"/>
        <v>148062360577.23077</v>
      </c>
    </row>
    <row r="46" spans="22:32" x14ac:dyDescent="0.25">
      <c r="V46" s="1">
        <v>45357</v>
      </c>
      <c r="W46" s="15">
        <f>[1]Prices!B46*$O$2</f>
        <v>994911.81140738947</v>
      </c>
      <c r="X46" s="15">
        <f>[1]Prices!C46*$O$3</f>
        <v>8380731.8442767402</v>
      </c>
      <c r="Y46" s="15">
        <f>[1]Prices!D46*$O$4</f>
        <v>1084180.4444169174</v>
      </c>
      <c r="Z46" s="15">
        <f>[1]Prices!E46*$O$5</f>
        <v>16573243.888084842</v>
      </c>
      <c r="AA46" s="15">
        <f>[1]Prices!F46*$O$6</f>
        <v>1851637.4638928985</v>
      </c>
      <c r="AB46" s="15">
        <f t="shared" si="3"/>
        <v>28884705.452078789</v>
      </c>
      <c r="AD46" s="15">
        <f t="shared" si="7"/>
        <v>800993.14398533478</v>
      </c>
      <c r="AE46" s="15">
        <f t="shared" si="5"/>
        <v>-647159.89988883678</v>
      </c>
      <c r="AF46">
        <f t="shared" si="6"/>
        <v>418815936024.12921</v>
      </c>
    </row>
    <row r="47" spans="22:32" x14ac:dyDescent="0.25">
      <c r="V47" s="1">
        <v>45358</v>
      </c>
      <c r="W47" s="15">
        <f>[1]Prices!B47*$O$2</f>
        <v>1006802.9692198937</v>
      </c>
      <c r="X47" s="15">
        <f>[1]Prices!C47*$O$3</f>
        <v>8771589.8316077814</v>
      </c>
      <c r="Y47" s="15">
        <f>[1]Prices!D47*$O$4</f>
        <v>1103189.8522823341</v>
      </c>
      <c r="Z47" s="15">
        <f>[1]Prices!E47*$O$5</f>
        <v>17314835.864482336</v>
      </c>
      <c r="AA47" s="15">
        <f>[1]Prices!F47*$O$6</f>
        <v>1886960.7444055574</v>
      </c>
      <c r="AB47" s="15">
        <f t="shared" si="3"/>
        <v>30083379.261997901</v>
      </c>
      <c r="AD47" s="15">
        <f t="shared" si="7"/>
        <v>1198673.8099191114</v>
      </c>
      <c r="AE47" s="15">
        <f t="shared" si="5"/>
        <v>-1044840.5658226134</v>
      </c>
      <c r="AF47">
        <f t="shared" si="6"/>
        <v>1091691807988.5189</v>
      </c>
    </row>
    <row r="48" spans="22:32" x14ac:dyDescent="0.25">
      <c r="V48" s="1">
        <v>45359</v>
      </c>
      <c r="W48" s="15">
        <f>[1]Prices!B48*$O$2</f>
        <v>988149.08773970802</v>
      </c>
      <c r="X48" s="15">
        <f>[1]Prices!C48*$O$3</f>
        <v>8514512.4656496458</v>
      </c>
      <c r="Y48" s="15">
        <f>[1]Prices!D48*$O$4</f>
        <v>1095316.4356151272</v>
      </c>
      <c r="Z48" s="15">
        <f>[1]Prices!E48*$O$5</f>
        <v>16354260.869207412</v>
      </c>
      <c r="AA48" s="15">
        <f>[1]Prices!F48*$O$6</f>
        <v>1871273.4122518103</v>
      </c>
      <c r="AB48" s="15">
        <f t="shared" si="3"/>
        <v>28823512.270463705</v>
      </c>
      <c r="AD48" s="15">
        <f t="shared" si="7"/>
        <v>-1259866.9915341958</v>
      </c>
      <c r="AE48" s="15">
        <f t="shared" si="5"/>
        <v>1413700.2356306938</v>
      </c>
      <c r="AF48">
        <f t="shared" si="6"/>
        <v>1998548356222.2793</v>
      </c>
    </row>
    <row r="49" spans="22:32" x14ac:dyDescent="0.25">
      <c r="V49" s="1">
        <v>45362</v>
      </c>
      <c r="W49" s="15">
        <f>[1]Prices!B49*$O$2</f>
        <v>1001843.6824880743</v>
      </c>
      <c r="X49" s="15">
        <f>[1]Prices!C49*$O$3</f>
        <v>8541966.762945639</v>
      </c>
      <c r="Y49" s="15">
        <f>[1]Prices!D49*$O$4</f>
        <v>1090732.5867653436</v>
      </c>
      <c r="Z49" s="15">
        <f>[1]Prices!E49*$O$5</f>
        <v>16026532.183577739</v>
      </c>
      <c r="AA49" s="15">
        <f>[1]Prices!F49*$O$6</f>
        <v>1835096.5386892268</v>
      </c>
      <c r="AB49" s="15">
        <f t="shared" si="3"/>
        <v>28496171.75446602</v>
      </c>
      <c r="AD49" s="15">
        <f t="shared" si="7"/>
        <v>-327340.51599768549</v>
      </c>
      <c r="AE49" s="15">
        <f t="shared" si="5"/>
        <v>481173.76009418344</v>
      </c>
      <c r="AF49">
        <f t="shared" si="6"/>
        <v>231528187403.1748</v>
      </c>
    </row>
    <row r="50" spans="22:32" x14ac:dyDescent="0.25">
      <c r="V50" s="1">
        <v>45363</v>
      </c>
      <c r="W50" s="15">
        <f>[1]Prices!B50*$O$2</f>
        <v>1000547.4285528336</v>
      </c>
      <c r="X50" s="15">
        <f>[1]Prices!C50*$O$3</f>
        <v>8639806.3792285919</v>
      </c>
      <c r="Y50" s="15">
        <f>[1]Prices!D50*$O$4</f>
        <v>1119745.4757697505</v>
      </c>
      <c r="Z50" s="15">
        <f>[1]Prices!E50*$O$5</f>
        <v>17173580.313102189</v>
      </c>
      <c r="AA50" s="15">
        <f>[1]Prices!F50*$O$6</f>
        <v>1871700.2034409486</v>
      </c>
      <c r="AB50" s="15">
        <f t="shared" si="3"/>
        <v>29805379.800094314</v>
      </c>
      <c r="AD50" s="15">
        <f t="shared" si="7"/>
        <v>1309208.0456282943</v>
      </c>
      <c r="AE50" s="15">
        <f t="shared" si="5"/>
        <v>-1155374.8015317963</v>
      </c>
      <c r="AF50">
        <f t="shared" si="6"/>
        <v>1334890932014.6377</v>
      </c>
    </row>
    <row r="51" spans="22:32" x14ac:dyDescent="0.25">
      <c r="V51" s="1">
        <v>45364</v>
      </c>
      <c r="W51" s="15">
        <f>[1]Prices!B51*$O$2</f>
        <v>955124.37126740522</v>
      </c>
      <c r="X51" s="15">
        <f>[1]Prices!C51*$O$3</f>
        <v>8448620.3650751002</v>
      </c>
      <c r="Y51" s="15">
        <f>[1]Prices!D51*$O$4</f>
        <v>1119260.1493685138</v>
      </c>
      <c r="Z51" s="15">
        <f>[1]Prices!E51*$O$5</f>
        <v>16982063.120483395</v>
      </c>
      <c r="AA51" s="15">
        <f>[1]Prices!F51*$O$6</f>
        <v>1884186.020071381</v>
      </c>
      <c r="AB51" s="15">
        <f t="shared" si="3"/>
        <v>29389254.026265793</v>
      </c>
      <c r="AD51" s="15">
        <f t="shared" si="7"/>
        <v>-416125.77382852137</v>
      </c>
      <c r="AE51" s="15">
        <f t="shared" si="5"/>
        <v>569959.01792501938</v>
      </c>
      <c r="AF51">
        <f t="shared" si="6"/>
        <v>324853282114.05255</v>
      </c>
    </row>
    <row r="52" spans="22:32" x14ac:dyDescent="0.25">
      <c r="V52" s="1">
        <v>45365</v>
      </c>
      <c r="W52" s="15">
        <f>[1]Prices!B52*$O$2</f>
        <v>915787.78613467363</v>
      </c>
      <c r="X52" s="15">
        <f>[1]Prices!C52*$O$3</f>
        <v>8408685.8206856102</v>
      </c>
      <c r="Y52" s="15">
        <f>[1]Prices!D52*$O$4</f>
        <v>1146547.3258358364</v>
      </c>
      <c r="Z52" s="15">
        <f>[1]Prices!E52*$O$5</f>
        <v>16431988.318020092</v>
      </c>
      <c r="AA52" s="15">
        <f>[1]Prices!F52*$O$6</f>
        <v>1907556.9489288244</v>
      </c>
      <c r="AB52" s="15">
        <f t="shared" si="3"/>
        <v>28810566.19960504</v>
      </c>
      <c r="AD52" s="15">
        <f t="shared" si="7"/>
        <v>-578687.8266607523</v>
      </c>
      <c r="AE52" s="15">
        <f t="shared" si="5"/>
        <v>732521.0707572503</v>
      </c>
      <c r="AF52">
        <f t="shared" si="6"/>
        <v>536587119103.34851</v>
      </c>
    </row>
    <row r="53" spans="22:32" x14ac:dyDescent="0.25">
      <c r="V53" s="1">
        <v>45366</v>
      </c>
      <c r="W53" s="15">
        <f>[1]Prices!B53*$O$2</f>
        <v>921817.93592961889</v>
      </c>
      <c r="X53" s="15">
        <f>[1]Prices!C53*$O$3</f>
        <v>8346288.329067626</v>
      </c>
      <c r="Y53" s="15">
        <f>[1]Prices!D53*$O$4</f>
        <v>1122819.3669320701</v>
      </c>
      <c r="Z53" s="15">
        <f>[1]Prices!E53*$O$5</f>
        <v>16411995.660778876</v>
      </c>
      <c r="AA53" s="15">
        <f>[1]Prices!F53*$O$6</f>
        <v>1861348.6949205687</v>
      </c>
      <c r="AB53" s="15">
        <f t="shared" si="3"/>
        <v>28664269.987628762</v>
      </c>
      <c r="AD53" s="15">
        <f t="shared" si="7"/>
        <v>-146296.21197627857</v>
      </c>
      <c r="AE53" s="15">
        <f t="shared" si="5"/>
        <v>300129.45607277652</v>
      </c>
      <c r="AF53">
        <f t="shared" si="6"/>
        <v>90077690402.540695</v>
      </c>
    </row>
    <row r="54" spans="22:32" x14ac:dyDescent="0.25">
      <c r="V54" s="1">
        <v>45369</v>
      </c>
      <c r="W54" s="15">
        <f>[1]Prices!B54*$O$2</f>
        <v>979470.276785044</v>
      </c>
      <c r="X54" s="15">
        <f>[1]Prices!C54*$O$3</f>
        <v>8332311.3408631906</v>
      </c>
      <c r="Y54" s="15">
        <f>[1]Prices!D54*$O$4</f>
        <v>1125246.0771327699</v>
      </c>
      <c r="Z54" s="15">
        <f>[1]Prices!E54*$O$5</f>
        <v>16527466.383682661</v>
      </c>
      <c r="AA54" s="15">
        <f>[1]Prices!F54*$O$6</f>
        <v>1861988.9724132784</v>
      </c>
      <c r="AB54" s="15">
        <f t="shared" si="3"/>
        <v>28826483.050876945</v>
      </c>
      <c r="AD54" s="15">
        <f t="shared" si="7"/>
        <v>162213.06324818358</v>
      </c>
      <c r="AE54" s="15">
        <f t="shared" si="5"/>
        <v>-8379.8191516856314</v>
      </c>
      <c r="AF54">
        <f t="shared" si="6"/>
        <v>70221369.014957294</v>
      </c>
    </row>
    <row r="55" spans="22:32" x14ac:dyDescent="0.25">
      <c r="V55" s="1">
        <v>45370</v>
      </c>
      <c r="W55" s="15">
        <f>[1]Prices!B55*$O$2</f>
        <v>965493.96880681103</v>
      </c>
      <c r="X55" s="15">
        <f>[1]Prices!C55*$O$3</f>
        <v>8191542.9991169646</v>
      </c>
      <c r="Y55" s="15">
        <f>[1]Prices!D55*$O$4</f>
        <v>1136274.1922543505</v>
      </c>
      <c r="Z55" s="15">
        <f>[1]Prices!E55*$O$5</f>
        <v>16703662.051415117</v>
      </c>
      <c r="AA55" s="15">
        <f>[1]Prices!F55*$O$6</f>
        <v>1877142.6901887469</v>
      </c>
      <c r="AB55" s="15">
        <f t="shared" si="3"/>
        <v>28874115.901781987</v>
      </c>
      <c r="AD55" s="15">
        <f t="shared" si="7"/>
        <v>47632.850905042142</v>
      </c>
      <c r="AE55" s="15">
        <f t="shared" si="5"/>
        <v>106200.39319145581</v>
      </c>
      <c r="AF55">
        <f t="shared" si="6"/>
        <v>11278523514.019812</v>
      </c>
    </row>
    <row r="56" spans="22:32" x14ac:dyDescent="0.25">
      <c r="V56" s="1">
        <v>45371</v>
      </c>
      <c r="W56" s="15">
        <f>[1]Prices!B56*$O$2</f>
        <v>989952.53031118715</v>
      </c>
      <c r="X56" s="15">
        <f>[1]Prices!C56*$O$3</f>
        <v>8369749.8358339816</v>
      </c>
      <c r="Y56" s="15">
        <f>[1]Prices!D56*$O$4</f>
        <v>1146574.3164258946</v>
      </c>
      <c r="Z56" s="15">
        <f>[1]Prices!E56*$O$5</f>
        <v>16885649.927751929</v>
      </c>
      <c r="AA56" s="15">
        <f>[1]Prices!F56*$O$6</f>
        <v>1901153.8965389</v>
      </c>
      <c r="AB56" s="15">
        <f t="shared" si="3"/>
        <v>29293080.506861892</v>
      </c>
      <c r="AD56" s="15">
        <f t="shared" si="7"/>
        <v>418964.6050799042</v>
      </c>
      <c r="AE56" s="15">
        <f t="shared" si="5"/>
        <v>-265131.36098340625</v>
      </c>
      <c r="AF56">
        <f t="shared" si="6"/>
        <v>70294638576.913269</v>
      </c>
    </row>
    <row r="57" spans="22:32" x14ac:dyDescent="0.25">
      <c r="V57" s="1">
        <v>45372</v>
      </c>
      <c r="W57" s="15">
        <f>[1]Prices!B57*$O$2</f>
        <v>973947.39452497731</v>
      </c>
      <c r="X57" s="15">
        <f>[1]Prices!C57*$O$3</f>
        <v>8528489.4538540803</v>
      </c>
      <c r="Y57" s="15">
        <f>[1]Prices!D57*$O$4</f>
        <v>1157737.2146269206</v>
      </c>
      <c r="Z57" s="15">
        <f>[1]Prices!E57*$O$5</f>
        <v>17084267.363373756</v>
      </c>
      <c r="AA57" s="15">
        <f>[1]Prices!F57*$O$6</f>
        <v>1901153.8965389</v>
      </c>
      <c r="AB57" s="15">
        <f t="shared" si="3"/>
        <v>29645595.322918631</v>
      </c>
      <c r="AD57" s="15">
        <f t="shared" si="7"/>
        <v>352514.81605673954</v>
      </c>
      <c r="AE57" s="15">
        <f t="shared" si="5"/>
        <v>-198681.57196024159</v>
      </c>
      <c r="AF57">
        <f t="shared" si="6"/>
        <v>39474367036.592659</v>
      </c>
    </row>
    <row r="58" spans="22:32" x14ac:dyDescent="0.25">
      <c r="V58" s="1">
        <v>45373</v>
      </c>
      <c r="W58" s="15">
        <f>[1]Prices!B58*$O$2</f>
        <v>962732.48822745774</v>
      </c>
      <c r="X58" s="15">
        <f>[1]Prices!C58*$O$3</f>
        <v>8491050.9588832911</v>
      </c>
      <c r="Y58" s="15">
        <f>[1]Prices!D58*$O$4</f>
        <v>1156038.4926798944</v>
      </c>
      <c r="Z58" s="15">
        <f>[1]Prices!E58*$O$5</f>
        <v>17617526.694740672</v>
      </c>
      <c r="AA58" s="15">
        <f>[1]Prices!F58*$O$6</f>
        <v>1908837.4932425963</v>
      </c>
      <c r="AB58" s="15">
        <f t="shared" si="3"/>
        <v>30136186.127773911</v>
      </c>
      <c r="AD58" s="15">
        <f t="shared" si="7"/>
        <v>490590.80485527962</v>
      </c>
      <c r="AE58" s="15">
        <f t="shared" si="5"/>
        <v>-336757.56075878168</v>
      </c>
      <c r="AF58">
        <f t="shared" si="6"/>
        <v>113405654728.20453</v>
      </c>
    </row>
    <row r="59" spans="22:32" x14ac:dyDescent="0.25">
      <c r="V59" s="1">
        <v>45376</v>
      </c>
      <c r="W59" s="15">
        <f>[1]Prices!B59*$O$2</f>
        <v>972876.61599610862</v>
      </c>
      <c r="X59" s="15">
        <f>[1]Prices!C59*$O$3</f>
        <v>8362262.4363477835</v>
      </c>
      <c r="Y59" s="15">
        <f>[1]Prices!D59*$O$4</f>
        <v>1140183.8668560933</v>
      </c>
      <c r="Z59" s="15">
        <f>[1]Prices!E59*$O$5</f>
        <v>17750748.015809741</v>
      </c>
      <c r="AA59" s="15">
        <f>[1]Prices!F59*$O$6</f>
        <v>1917801.8050064205</v>
      </c>
      <c r="AB59" s="15">
        <f t="shared" si="3"/>
        <v>30143872.740016147</v>
      </c>
      <c r="AD59" s="15">
        <f t="shared" si="7"/>
        <v>7686.6122422367334</v>
      </c>
      <c r="AE59" s="15">
        <f t="shared" si="5"/>
        <v>146146.63185426121</v>
      </c>
      <c r="AF59">
        <f t="shared" si="6"/>
        <v>21358838002.344959</v>
      </c>
    </row>
    <row r="60" spans="22:32" x14ac:dyDescent="0.25">
      <c r="V60" s="1">
        <v>45377</v>
      </c>
      <c r="W60" s="15">
        <f>[1]Prices!B60*$O$2</f>
        <v>1001280.086959827</v>
      </c>
      <c r="X60" s="15">
        <f>[1]Prices!C60*$O$3</f>
        <v>8339799.4891192894</v>
      </c>
      <c r="Y60" s="15">
        <f>[1]Prices!D60*$O$4</f>
        <v>1136921.2923250908</v>
      </c>
      <c r="Z60" s="15">
        <f>[1]Prices!E60*$O$5</f>
        <v>17294656.174353499</v>
      </c>
      <c r="AA60" s="15">
        <f>[1]Prices!F60*$O$6</f>
        <v>1902754.7396737358</v>
      </c>
      <c r="AB60" s="15">
        <f t="shared" si="3"/>
        <v>29675411.782431442</v>
      </c>
      <c r="AD60" s="15">
        <f t="shared" si="7"/>
        <v>-468460.9575847052</v>
      </c>
      <c r="AE60" s="15">
        <f t="shared" si="5"/>
        <v>622294.20168120321</v>
      </c>
      <c r="AF60">
        <f t="shared" si="6"/>
        <v>387250073446.04602</v>
      </c>
    </row>
    <row r="61" spans="22:32" x14ac:dyDescent="0.25">
      <c r="V61" s="1">
        <v>45378</v>
      </c>
      <c r="W61" s="15">
        <f>[1]Prices!B61*$O$2</f>
        <v>1013453.042536455</v>
      </c>
      <c r="X61" s="15">
        <f>[1]Prices!C61*$O$3</f>
        <v>8442630.4554697406</v>
      </c>
      <c r="Y61" s="15">
        <f>[1]Prices!D61*$O$4</f>
        <v>1136328.0898472252</v>
      </c>
      <c r="Z61" s="15">
        <f>[1]Prices!E61*$O$5</f>
        <v>16862855.252532773</v>
      </c>
      <c r="AA61" s="15">
        <f>[1]Prices!F61*$O$6</f>
        <v>1919082.3493201926</v>
      </c>
      <c r="AB61" s="15">
        <f t="shared" si="3"/>
        <v>29374349.189706385</v>
      </c>
      <c r="AD61" s="15">
        <f t="shared" si="7"/>
        <v>-301062.59272505715</v>
      </c>
      <c r="AE61" s="15">
        <f t="shared" si="5"/>
        <v>454895.8368215551</v>
      </c>
      <c r="AF61">
        <f t="shared" si="6"/>
        <v>206930222357.58289</v>
      </c>
    </row>
    <row r="62" spans="22:32" x14ac:dyDescent="0.25">
      <c r="V62" s="1">
        <v>45379</v>
      </c>
      <c r="W62" s="15">
        <f>[1]Prices!B62*$O$2</f>
        <v>990685.09854830639</v>
      </c>
      <c r="X62" s="15">
        <f>[1]Prices!C62*$O$3</f>
        <v>8451116.4144938011</v>
      </c>
      <c r="Y62" s="15">
        <f>[1]Prices!D62*$O$4</f>
        <v>1134413.6939414579</v>
      </c>
      <c r="Z62" s="15">
        <f>[1]Prices!E62*$O$5</f>
        <v>16882660.895570971</v>
      </c>
      <c r="AA62" s="15">
        <f>[1]Prices!F62*$O$6</f>
        <v>1924951.7873318384</v>
      </c>
      <c r="AB62" s="15">
        <f t="shared" si="3"/>
        <v>29383827.889886376</v>
      </c>
      <c r="AD62" s="15">
        <f t="shared" si="7"/>
        <v>9478.700179990381</v>
      </c>
      <c r="AE62" s="15">
        <f t="shared" si="5"/>
        <v>144354.54391650757</v>
      </c>
      <c r="AF62">
        <f t="shared" si="6"/>
        <v>20838234349.342911</v>
      </c>
    </row>
    <row r="63" spans="22:32" x14ac:dyDescent="0.25">
      <c r="V63" s="1"/>
      <c r="AC63" t="s">
        <v>49</v>
      </c>
      <c r="AD63" s="15">
        <f>AVERAGE(AD2:AD62)</f>
        <v>153833.24409649795</v>
      </c>
      <c r="AF63">
        <f>SUM(AF2:AF62)/(61-1)</f>
        <v>290249756953.35962</v>
      </c>
    </row>
    <row r="64" spans="22:32" x14ac:dyDescent="0.25">
      <c r="V64" s="1"/>
    </row>
    <row r="65" spans="22:22" x14ac:dyDescent="0.25">
      <c r="V65" s="1"/>
    </row>
    <row r="66" spans="22:22" x14ac:dyDescent="0.25">
      <c r="V66" s="1"/>
    </row>
    <row r="67" spans="22:22" x14ac:dyDescent="0.25">
      <c r="V67" s="1"/>
    </row>
    <row r="68" spans="22:22" x14ac:dyDescent="0.25">
      <c r="V68" s="1"/>
    </row>
    <row r="69" spans="22:22" x14ac:dyDescent="0.25">
      <c r="V69" s="1"/>
    </row>
    <row r="70" spans="22:22" x14ac:dyDescent="0.25">
      <c r="V70" s="1"/>
    </row>
    <row r="71" spans="22:22" x14ac:dyDescent="0.25">
      <c r="V71" s="1"/>
    </row>
    <row r="72" spans="22:22" x14ac:dyDescent="0.25">
      <c r="V72" s="1"/>
    </row>
  </sheetData>
  <conditionalFormatting sqref="W2:W62">
    <cfRule type="cellIs" dxfId="13" priority="8" operator="greaterThan">
      <formula>$W$2-0.00000001</formula>
    </cfRule>
    <cfRule type="cellIs" dxfId="12" priority="14" operator="lessThan">
      <formula>$W$2</formula>
    </cfRule>
  </conditionalFormatting>
  <conditionalFormatting sqref="X2:X62">
    <cfRule type="cellIs" dxfId="11" priority="7" operator="greaterThan">
      <formula>$X$2-0.00000001</formula>
    </cfRule>
    <cfRule type="cellIs" dxfId="10" priority="13" operator="lessThan">
      <formula>$X$2</formula>
    </cfRule>
  </conditionalFormatting>
  <conditionalFormatting sqref="Y2:Y62">
    <cfRule type="cellIs" dxfId="9" priority="5" operator="greaterThan">
      <formula>$Y$2-0.000001</formula>
    </cfRule>
    <cfRule type="cellIs" dxfId="8" priority="6" operator="greaterThan">
      <formula>" $Y$2-0.00000001"</formula>
    </cfRule>
    <cfRule type="cellIs" dxfId="7" priority="12" operator="lessThan">
      <formula>$Y$2</formula>
    </cfRule>
  </conditionalFormatting>
  <conditionalFormatting sqref="Z2:Z62">
    <cfRule type="cellIs" dxfId="6" priority="4" operator="greaterThan">
      <formula>$Z$2-0.0000001</formula>
    </cfRule>
    <cfRule type="cellIs" dxfId="5" priority="11" operator="lessThan">
      <formula>$Z$2</formula>
    </cfRule>
  </conditionalFormatting>
  <conditionalFormatting sqref="AA2:AA62">
    <cfRule type="cellIs" dxfId="4" priority="2" operator="greaterThan">
      <formula>$AA$2-0.0000001</formula>
    </cfRule>
    <cfRule type="cellIs" dxfId="3" priority="3" operator="greaterThan">
      <formula>" $AA$2-0.00000001"</formula>
    </cfRule>
    <cfRule type="cellIs" dxfId="2" priority="10" operator="lessThan">
      <formula>$AA$2</formula>
    </cfRule>
  </conditionalFormatting>
  <conditionalFormatting sqref="AB2:AB62">
    <cfRule type="cellIs" dxfId="1" priority="1" operator="greaterThan">
      <formula>$AB$2-0.0000001</formula>
    </cfRule>
    <cfRule type="cellIs" dxfId="0" priority="9" operator="lessThan">
      <formula>$AB$2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C656-5088-451F-9C6D-157223E99EAE}">
  <dimension ref="A1:F72"/>
  <sheetViews>
    <sheetView workbookViewId="0">
      <selection activeCell="H59" sqref="H59"/>
    </sheetView>
  </sheetViews>
  <sheetFormatPr defaultRowHeight="15" x14ac:dyDescent="0.25"/>
  <cols>
    <col min="1" max="1" width="9.7109375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1">
        <v>45293</v>
      </c>
      <c r="B2">
        <v>248.41999799999999</v>
      </c>
      <c r="C2">
        <v>140.229996</v>
      </c>
      <c r="D2">
        <v>370.86999500000002</v>
      </c>
      <c r="E2">
        <v>481.67999300000002</v>
      </c>
      <c r="F2">
        <v>149.929993</v>
      </c>
    </row>
    <row r="3" spans="1:6" x14ac:dyDescent="0.25">
      <c r="A3" s="1">
        <v>45294</v>
      </c>
      <c r="B3">
        <v>238.449997</v>
      </c>
      <c r="C3">
        <v>137.60000600000001</v>
      </c>
      <c r="D3">
        <v>370.60000600000001</v>
      </c>
      <c r="E3">
        <v>475.69000199999999</v>
      </c>
      <c r="F3">
        <v>148.470001</v>
      </c>
    </row>
    <row r="4" spans="1:6" x14ac:dyDescent="0.25">
      <c r="A4" s="1">
        <v>45295</v>
      </c>
      <c r="B4">
        <v>237.929993</v>
      </c>
      <c r="C4">
        <v>136.16999799999999</v>
      </c>
      <c r="D4">
        <v>367.94000199999999</v>
      </c>
      <c r="E4">
        <v>479.98001099999999</v>
      </c>
      <c r="F4">
        <v>144.570007</v>
      </c>
    </row>
    <row r="5" spans="1:6" x14ac:dyDescent="0.25">
      <c r="A5" s="1">
        <v>45296</v>
      </c>
      <c r="B5">
        <v>237.490005</v>
      </c>
      <c r="C5">
        <v>136.729996</v>
      </c>
      <c r="D5">
        <v>367.75</v>
      </c>
      <c r="E5">
        <v>490.97000100000002</v>
      </c>
      <c r="F5">
        <v>145.240005</v>
      </c>
    </row>
    <row r="6" spans="1:6" x14ac:dyDescent="0.25">
      <c r="A6" s="1">
        <v>45299</v>
      </c>
      <c r="B6">
        <v>240.449997</v>
      </c>
      <c r="C6">
        <v>139.029999</v>
      </c>
      <c r="D6">
        <v>374.69000199999999</v>
      </c>
      <c r="E6">
        <v>522.53002900000001</v>
      </c>
      <c r="F6">
        <v>149.10000600000001</v>
      </c>
    </row>
    <row r="7" spans="1:6" x14ac:dyDescent="0.25">
      <c r="A7" s="1">
        <v>45300</v>
      </c>
      <c r="B7">
        <v>234.96000699999999</v>
      </c>
      <c r="C7">
        <v>139.88999899999999</v>
      </c>
      <c r="D7">
        <v>375.790009</v>
      </c>
      <c r="E7">
        <v>531.40002400000003</v>
      </c>
      <c r="F7">
        <v>151.36999499999999</v>
      </c>
    </row>
    <row r="8" spans="1:6" x14ac:dyDescent="0.25">
      <c r="A8" s="1">
        <v>45301</v>
      </c>
      <c r="B8">
        <v>233.94000199999999</v>
      </c>
      <c r="C8">
        <v>139.30999800000001</v>
      </c>
      <c r="D8">
        <v>382.76998900000001</v>
      </c>
      <c r="E8">
        <v>543.5</v>
      </c>
      <c r="F8">
        <v>153.729996</v>
      </c>
    </row>
    <row r="9" spans="1:6" x14ac:dyDescent="0.25">
      <c r="A9" s="1">
        <v>45302</v>
      </c>
      <c r="B9">
        <v>227.220001</v>
      </c>
      <c r="C9">
        <v>139.029999</v>
      </c>
      <c r="D9">
        <v>384.63000499999998</v>
      </c>
      <c r="E9">
        <v>548.21997099999999</v>
      </c>
      <c r="F9">
        <v>155.179993</v>
      </c>
    </row>
    <row r="10" spans="1:6" x14ac:dyDescent="0.25">
      <c r="A10" s="1">
        <v>45303</v>
      </c>
      <c r="B10">
        <v>218.88999899999999</v>
      </c>
      <c r="C10">
        <v>140.199997</v>
      </c>
      <c r="D10">
        <v>388.47000100000002</v>
      </c>
      <c r="E10">
        <v>547.09997599999997</v>
      </c>
      <c r="F10">
        <v>154.61999499999999</v>
      </c>
    </row>
    <row r="11" spans="1:6" x14ac:dyDescent="0.25">
      <c r="A11" s="1">
        <v>45307</v>
      </c>
      <c r="B11">
        <v>219.91000399999999</v>
      </c>
      <c r="C11">
        <v>141.11999499999999</v>
      </c>
      <c r="D11">
        <v>390.26998900000001</v>
      </c>
      <c r="E11">
        <v>563.82000700000003</v>
      </c>
      <c r="F11">
        <v>153.16000399999999</v>
      </c>
    </row>
    <row r="12" spans="1:6" x14ac:dyDescent="0.25">
      <c r="A12" s="1">
        <v>45308</v>
      </c>
      <c r="B12">
        <v>215.550003</v>
      </c>
      <c r="C12">
        <v>139.320007</v>
      </c>
      <c r="D12">
        <v>389.47000100000002</v>
      </c>
      <c r="E12">
        <v>560.53002900000001</v>
      </c>
      <c r="F12">
        <v>151.71000699999999</v>
      </c>
    </row>
    <row r="13" spans="1:6" x14ac:dyDescent="0.25">
      <c r="A13" s="1">
        <v>45309</v>
      </c>
      <c r="B13">
        <v>211.88000500000001</v>
      </c>
      <c r="C13">
        <v>145.28999300000001</v>
      </c>
      <c r="D13">
        <v>393.86999500000002</v>
      </c>
      <c r="E13">
        <v>571.07000700000003</v>
      </c>
      <c r="F13">
        <v>153.5</v>
      </c>
    </row>
    <row r="14" spans="1:6" x14ac:dyDescent="0.25">
      <c r="A14" s="1">
        <v>45310</v>
      </c>
      <c r="B14">
        <v>212.19000199999999</v>
      </c>
      <c r="C14">
        <v>151.96000699999999</v>
      </c>
      <c r="D14">
        <v>398.67001299999998</v>
      </c>
      <c r="E14">
        <v>594.90997300000004</v>
      </c>
      <c r="F14">
        <v>155.33999600000001</v>
      </c>
    </row>
    <row r="15" spans="1:6" x14ac:dyDescent="0.25">
      <c r="A15" s="1">
        <v>45313</v>
      </c>
      <c r="B15">
        <v>208.800003</v>
      </c>
      <c r="C15">
        <v>152.86999499999999</v>
      </c>
      <c r="D15">
        <v>396.51001000000002</v>
      </c>
      <c r="E15">
        <v>596.53997800000002</v>
      </c>
      <c r="F15">
        <v>154.779999</v>
      </c>
    </row>
    <row r="16" spans="1:6" x14ac:dyDescent="0.25">
      <c r="A16" s="1">
        <v>45314</v>
      </c>
      <c r="B16">
        <v>209.13999899999999</v>
      </c>
      <c r="C16">
        <v>153.5</v>
      </c>
      <c r="D16">
        <v>398.89999399999999</v>
      </c>
      <c r="E16">
        <v>598.72997999999995</v>
      </c>
      <c r="F16">
        <v>156.020004</v>
      </c>
    </row>
    <row r="17" spans="1:6" x14ac:dyDescent="0.25">
      <c r="A17" s="1">
        <v>45315</v>
      </c>
      <c r="B17">
        <v>207.83000200000001</v>
      </c>
      <c r="C17">
        <v>154.36999499999999</v>
      </c>
      <c r="D17">
        <v>402.55999800000001</v>
      </c>
      <c r="E17">
        <v>613.61999500000002</v>
      </c>
      <c r="F17">
        <v>156.86999499999999</v>
      </c>
    </row>
    <row r="18" spans="1:6" x14ac:dyDescent="0.25">
      <c r="A18" s="1">
        <v>45316</v>
      </c>
      <c r="B18">
        <v>182.63000500000001</v>
      </c>
      <c r="C18">
        <v>154.470001</v>
      </c>
      <c r="D18">
        <v>404.86999500000002</v>
      </c>
      <c r="E18">
        <v>616.169983</v>
      </c>
      <c r="F18">
        <v>157.75</v>
      </c>
    </row>
    <row r="19" spans="1:6" x14ac:dyDescent="0.25">
      <c r="A19" s="1">
        <v>45317</v>
      </c>
      <c r="B19">
        <v>183.25</v>
      </c>
      <c r="C19">
        <v>150.720001</v>
      </c>
      <c r="D19">
        <v>403.92999300000002</v>
      </c>
      <c r="E19">
        <v>610.30999799999995</v>
      </c>
      <c r="F19">
        <v>159.11999499999999</v>
      </c>
    </row>
    <row r="20" spans="1:6" x14ac:dyDescent="0.25">
      <c r="A20" s="1">
        <v>45320</v>
      </c>
      <c r="B20">
        <v>190.929993</v>
      </c>
      <c r="C20">
        <v>149.63999899999999</v>
      </c>
      <c r="D20">
        <v>409.72000100000002</v>
      </c>
      <c r="E20">
        <v>624.65002400000003</v>
      </c>
      <c r="F20">
        <v>161.259995</v>
      </c>
    </row>
    <row r="21" spans="1:6" x14ac:dyDescent="0.25">
      <c r="A21" s="1">
        <v>45321</v>
      </c>
      <c r="B21">
        <v>191.58999600000001</v>
      </c>
      <c r="C21">
        <v>145.979996</v>
      </c>
      <c r="D21">
        <v>408.58999599999999</v>
      </c>
      <c r="E21">
        <v>627.73999000000003</v>
      </c>
      <c r="F21">
        <v>159</v>
      </c>
    </row>
    <row r="22" spans="1:6" x14ac:dyDescent="0.25">
      <c r="A22" s="1">
        <v>45322</v>
      </c>
      <c r="B22">
        <v>187.28999300000001</v>
      </c>
      <c r="C22">
        <v>148.509995</v>
      </c>
      <c r="D22">
        <v>397.57998700000002</v>
      </c>
      <c r="E22">
        <v>615.27002000000005</v>
      </c>
      <c r="F22">
        <v>155.199997</v>
      </c>
    </row>
    <row r="23" spans="1:6" x14ac:dyDescent="0.25">
      <c r="A23" s="1">
        <v>45323</v>
      </c>
      <c r="B23">
        <v>188.86000100000001</v>
      </c>
      <c r="C23">
        <v>141.11000100000001</v>
      </c>
      <c r="D23">
        <v>403.77999899999998</v>
      </c>
      <c r="E23">
        <v>630.27002000000005</v>
      </c>
      <c r="F23">
        <v>159.279999</v>
      </c>
    </row>
    <row r="24" spans="1:6" x14ac:dyDescent="0.25">
      <c r="A24" s="1">
        <v>45324</v>
      </c>
      <c r="B24">
        <v>187.91000399999999</v>
      </c>
      <c r="C24">
        <v>141.69000199999999</v>
      </c>
      <c r="D24">
        <v>411.22000100000002</v>
      </c>
      <c r="E24">
        <v>661.59997599999997</v>
      </c>
      <c r="F24">
        <v>171.80999800000001</v>
      </c>
    </row>
    <row r="25" spans="1:6" x14ac:dyDescent="0.25">
      <c r="A25" s="1">
        <v>45327</v>
      </c>
      <c r="B25">
        <v>181.05999800000001</v>
      </c>
      <c r="C25">
        <v>144.029999</v>
      </c>
      <c r="D25">
        <v>405.64999399999999</v>
      </c>
      <c r="E25">
        <v>693.32000700000003</v>
      </c>
      <c r="F25">
        <v>170.30999800000001</v>
      </c>
    </row>
    <row r="26" spans="1:6" x14ac:dyDescent="0.25">
      <c r="A26" s="1">
        <v>45328</v>
      </c>
      <c r="B26">
        <v>185.10000600000001</v>
      </c>
      <c r="C26">
        <v>144.10000600000001</v>
      </c>
      <c r="D26">
        <v>405.48998999999998</v>
      </c>
      <c r="E26">
        <v>682.22997999999995</v>
      </c>
      <c r="F26">
        <v>169.14999399999999</v>
      </c>
    </row>
    <row r="27" spans="1:6" x14ac:dyDescent="0.25">
      <c r="A27" s="1">
        <v>45329</v>
      </c>
      <c r="B27">
        <v>187.58000200000001</v>
      </c>
      <c r="C27">
        <v>145.88999899999999</v>
      </c>
      <c r="D27">
        <v>414.04998799999998</v>
      </c>
      <c r="E27">
        <v>700.98999000000003</v>
      </c>
      <c r="F27">
        <v>170.529999</v>
      </c>
    </row>
    <row r="28" spans="1:6" x14ac:dyDescent="0.25">
      <c r="A28" s="1">
        <v>45330</v>
      </c>
      <c r="B28">
        <v>189.55999800000001</v>
      </c>
      <c r="C28">
        <v>148.179993</v>
      </c>
      <c r="D28">
        <v>414.10998499999999</v>
      </c>
      <c r="E28">
        <v>696.40997300000004</v>
      </c>
      <c r="F28">
        <v>169.83999600000001</v>
      </c>
    </row>
    <row r="29" spans="1:6" x14ac:dyDescent="0.25">
      <c r="A29" s="1">
        <v>45331</v>
      </c>
      <c r="B29">
        <v>193.570007</v>
      </c>
      <c r="C29">
        <v>151</v>
      </c>
      <c r="D29">
        <v>420.54998799999998</v>
      </c>
      <c r="E29">
        <v>721.330017</v>
      </c>
      <c r="F29">
        <v>174.449997</v>
      </c>
    </row>
    <row r="30" spans="1:6" x14ac:dyDescent="0.25">
      <c r="A30" s="1">
        <v>45334</v>
      </c>
      <c r="B30">
        <v>188.13000500000001</v>
      </c>
      <c r="C30">
        <v>153.10000600000001</v>
      </c>
      <c r="D30">
        <v>415.26001000000002</v>
      </c>
      <c r="E30">
        <v>722.47997999999995</v>
      </c>
      <c r="F30">
        <v>172.33999600000001</v>
      </c>
    </row>
    <row r="31" spans="1:6" x14ac:dyDescent="0.25">
      <c r="A31" s="1">
        <v>45335</v>
      </c>
      <c r="B31">
        <v>184.020004</v>
      </c>
      <c r="C31">
        <v>150.03999300000001</v>
      </c>
      <c r="D31">
        <v>406.32000699999998</v>
      </c>
      <c r="E31">
        <v>721.28002900000001</v>
      </c>
      <c r="F31">
        <v>168.63999899999999</v>
      </c>
    </row>
    <row r="32" spans="1:6" x14ac:dyDescent="0.25">
      <c r="A32" s="1">
        <v>45336</v>
      </c>
      <c r="B32">
        <v>188.71000699999999</v>
      </c>
      <c r="C32">
        <v>153.94000199999999</v>
      </c>
      <c r="D32">
        <v>409.48998999999998</v>
      </c>
      <c r="E32">
        <v>739</v>
      </c>
      <c r="F32">
        <v>170.979996</v>
      </c>
    </row>
    <row r="33" spans="1:6" x14ac:dyDescent="0.25">
      <c r="A33" s="1">
        <v>45337</v>
      </c>
      <c r="B33">
        <v>200.449997</v>
      </c>
      <c r="C33">
        <v>155.979996</v>
      </c>
      <c r="D33">
        <v>406.55999800000001</v>
      </c>
      <c r="E33">
        <v>726.580017</v>
      </c>
      <c r="F33">
        <v>169.800003</v>
      </c>
    </row>
    <row r="34" spans="1:6" x14ac:dyDescent="0.25">
      <c r="A34" s="1">
        <v>45338</v>
      </c>
      <c r="B34">
        <v>199.949997</v>
      </c>
      <c r="C34">
        <v>152.69000199999999</v>
      </c>
      <c r="D34">
        <v>404.05999800000001</v>
      </c>
      <c r="E34">
        <v>726.13000499999998</v>
      </c>
      <c r="F34">
        <v>169.509995</v>
      </c>
    </row>
    <row r="35" spans="1:6" x14ac:dyDescent="0.25">
      <c r="A35" s="1">
        <v>45342</v>
      </c>
      <c r="B35">
        <v>193.759995</v>
      </c>
      <c r="C35">
        <v>151.96000699999999</v>
      </c>
      <c r="D35">
        <v>402.790009</v>
      </c>
      <c r="E35">
        <v>694.52002000000005</v>
      </c>
      <c r="F35">
        <v>167.08000200000001</v>
      </c>
    </row>
    <row r="36" spans="1:6" x14ac:dyDescent="0.25">
      <c r="A36" s="1">
        <v>45343</v>
      </c>
      <c r="B36">
        <v>194.770004</v>
      </c>
      <c r="C36">
        <v>152.009995</v>
      </c>
      <c r="D36">
        <v>402.17999300000002</v>
      </c>
      <c r="E36">
        <v>674.71997099999999</v>
      </c>
      <c r="F36">
        <v>168.58999600000001</v>
      </c>
    </row>
    <row r="37" spans="1:6" x14ac:dyDescent="0.25">
      <c r="A37" s="1">
        <v>45344</v>
      </c>
      <c r="B37">
        <v>197.41000399999999</v>
      </c>
      <c r="C37">
        <v>154.75</v>
      </c>
      <c r="D37">
        <v>411.64999399999999</v>
      </c>
      <c r="E37">
        <v>785.38000499999998</v>
      </c>
      <c r="F37">
        <v>174.58000200000001</v>
      </c>
    </row>
    <row r="38" spans="1:6" x14ac:dyDescent="0.25">
      <c r="A38" s="1">
        <v>45345</v>
      </c>
      <c r="B38">
        <v>191.970001</v>
      </c>
      <c r="C38">
        <v>154.91000399999999</v>
      </c>
      <c r="D38">
        <v>410.33999599999999</v>
      </c>
      <c r="E38">
        <v>788.169983</v>
      </c>
      <c r="F38">
        <v>174.990005</v>
      </c>
    </row>
    <row r="39" spans="1:6" x14ac:dyDescent="0.25">
      <c r="A39" s="1">
        <v>45348</v>
      </c>
      <c r="B39">
        <v>199.39999399999999</v>
      </c>
      <c r="C39">
        <v>157.029999</v>
      </c>
      <c r="D39">
        <v>407.540009</v>
      </c>
      <c r="E39">
        <v>790.919983</v>
      </c>
      <c r="F39">
        <v>174.729996</v>
      </c>
    </row>
    <row r="40" spans="1:6" x14ac:dyDescent="0.25">
      <c r="A40" s="1">
        <v>45349</v>
      </c>
      <c r="B40">
        <v>199.729996</v>
      </c>
      <c r="C40">
        <v>158.300003</v>
      </c>
      <c r="D40">
        <v>407.48001099999999</v>
      </c>
      <c r="E40">
        <v>787.01000999999997</v>
      </c>
      <c r="F40">
        <v>173.53999300000001</v>
      </c>
    </row>
    <row r="41" spans="1:6" x14ac:dyDescent="0.25">
      <c r="A41" s="1">
        <v>45350</v>
      </c>
      <c r="B41">
        <v>202.03999300000001</v>
      </c>
      <c r="C41">
        <v>155.85000600000001</v>
      </c>
      <c r="D41">
        <v>407.72000100000002</v>
      </c>
      <c r="E41">
        <v>776.63000499999998</v>
      </c>
      <c r="F41">
        <v>173.16000399999999</v>
      </c>
    </row>
    <row r="42" spans="1:6" x14ac:dyDescent="0.25">
      <c r="A42" s="1">
        <v>45351</v>
      </c>
      <c r="B42">
        <v>201.88000500000001</v>
      </c>
      <c r="C42">
        <v>157.78999300000001</v>
      </c>
      <c r="D42">
        <v>413.64001500000001</v>
      </c>
      <c r="E42">
        <v>791.11999500000002</v>
      </c>
      <c r="F42">
        <v>176.759995</v>
      </c>
    </row>
    <row r="43" spans="1:6" x14ac:dyDescent="0.25">
      <c r="A43" s="1">
        <v>45352</v>
      </c>
      <c r="B43">
        <v>202.63999899999999</v>
      </c>
      <c r="C43">
        <v>163.08999600000001</v>
      </c>
      <c r="D43">
        <v>415.5</v>
      </c>
      <c r="E43">
        <v>822.78997800000002</v>
      </c>
      <c r="F43">
        <v>178.220001</v>
      </c>
    </row>
    <row r="44" spans="1:6" x14ac:dyDescent="0.25">
      <c r="A44" s="1">
        <v>45355</v>
      </c>
      <c r="B44">
        <v>188.13999899999999</v>
      </c>
      <c r="C44">
        <v>166.55999800000001</v>
      </c>
      <c r="D44">
        <v>414.92001299999998</v>
      </c>
      <c r="E44">
        <v>852.36999500000002</v>
      </c>
      <c r="F44">
        <v>177.58000200000001</v>
      </c>
    </row>
    <row r="45" spans="1:6" x14ac:dyDescent="0.25">
      <c r="A45" s="1">
        <v>45356</v>
      </c>
      <c r="B45">
        <v>180.740005</v>
      </c>
      <c r="C45">
        <v>161.449997</v>
      </c>
      <c r="D45">
        <v>402.64999399999999</v>
      </c>
      <c r="E45">
        <v>859.64001499999995</v>
      </c>
      <c r="F45">
        <v>174.11999499999999</v>
      </c>
    </row>
    <row r="46" spans="1:6" x14ac:dyDescent="0.25">
      <c r="A46" s="1">
        <v>45357</v>
      </c>
      <c r="B46">
        <v>176.53999300000001</v>
      </c>
      <c r="C46">
        <v>167.88999899999999</v>
      </c>
      <c r="D46">
        <v>402.08999599999999</v>
      </c>
      <c r="E46">
        <v>887</v>
      </c>
      <c r="F46">
        <v>173.509995</v>
      </c>
    </row>
    <row r="47" spans="1:6" x14ac:dyDescent="0.25">
      <c r="A47" s="1">
        <v>45358</v>
      </c>
      <c r="B47">
        <v>178.64999399999999</v>
      </c>
      <c r="C47">
        <v>175.720001</v>
      </c>
      <c r="D47">
        <v>409.14001500000001</v>
      </c>
      <c r="E47">
        <v>926.69000200000005</v>
      </c>
      <c r="F47">
        <v>176.820007</v>
      </c>
    </row>
    <row r="48" spans="1:6" x14ac:dyDescent="0.25">
      <c r="A48" s="1">
        <v>45359</v>
      </c>
      <c r="B48">
        <v>175.33999600000001</v>
      </c>
      <c r="C48">
        <v>170.570007</v>
      </c>
      <c r="D48">
        <v>406.22000100000002</v>
      </c>
      <c r="E48">
        <v>875.28002900000001</v>
      </c>
      <c r="F48">
        <v>175.35000600000001</v>
      </c>
    </row>
    <row r="49" spans="1:6" x14ac:dyDescent="0.25">
      <c r="A49" s="1">
        <v>45362</v>
      </c>
      <c r="B49">
        <v>177.770004</v>
      </c>
      <c r="C49">
        <v>171.11999499999999</v>
      </c>
      <c r="D49">
        <v>404.51998900000001</v>
      </c>
      <c r="E49">
        <v>857.73999000000003</v>
      </c>
      <c r="F49">
        <v>171.96000699999999</v>
      </c>
    </row>
    <row r="50" spans="1:6" x14ac:dyDescent="0.25">
      <c r="A50" s="1">
        <v>45363</v>
      </c>
      <c r="B50">
        <v>177.53999300000001</v>
      </c>
      <c r="C50">
        <v>173.08000200000001</v>
      </c>
      <c r="D50">
        <v>415.27999899999998</v>
      </c>
      <c r="E50">
        <v>919.13000499999998</v>
      </c>
      <c r="F50">
        <v>175.38999899999999</v>
      </c>
    </row>
    <row r="51" spans="1:6" x14ac:dyDescent="0.25">
      <c r="A51" s="1">
        <v>45364</v>
      </c>
      <c r="B51">
        <v>169.479996</v>
      </c>
      <c r="C51">
        <v>169.25</v>
      </c>
      <c r="D51">
        <v>415.10000600000001</v>
      </c>
      <c r="E51">
        <v>908.88000499999998</v>
      </c>
      <c r="F51">
        <v>176.55999800000001</v>
      </c>
    </row>
    <row r="52" spans="1:6" x14ac:dyDescent="0.25">
      <c r="A52" s="1">
        <v>45365</v>
      </c>
      <c r="B52">
        <v>162.5</v>
      </c>
      <c r="C52">
        <v>168.449997</v>
      </c>
      <c r="D52">
        <v>425.22000100000002</v>
      </c>
      <c r="E52">
        <v>879.44000200000005</v>
      </c>
      <c r="F52">
        <v>178.75</v>
      </c>
    </row>
    <row r="53" spans="1:6" x14ac:dyDescent="0.25">
      <c r="A53" s="1">
        <v>45366</v>
      </c>
      <c r="B53">
        <v>163.570007</v>
      </c>
      <c r="C53">
        <v>167.199997</v>
      </c>
      <c r="D53">
        <v>416.42001299999998</v>
      </c>
      <c r="E53">
        <v>878.36999500000002</v>
      </c>
      <c r="F53">
        <v>174.41999799999999</v>
      </c>
    </row>
    <row r="54" spans="1:6" x14ac:dyDescent="0.25">
      <c r="A54" s="1">
        <v>45369</v>
      </c>
      <c r="B54">
        <v>173.800003</v>
      </c>
      <c r="C54">
        <v>166.91999799999999</v>
      </c>
      <c r="D54">
        <v>417.32000699999998</v>
      </c>
      <c r="E54">
        <v>884.54998799999998</v>
      </c>
      <c r="F54">
        <v>174.479996</v>
      </c>
    </row>
    <row r="55" spans="1:6" x14ac:dyDescent="0.25">
      <c r="A55" s="1">
        <v>45370</v>
      </c>
      <c r="B55">
        <v>171.320007</v>
      </c>
      <c r="C55">
        <v>164.10000600000001</v>
      </c>
      <c r="D55">
        <v>421.41000400000001</v>
      </c>
      <c r="E55">
        <v>893.97997999999995</v>
      </c>
      <c r="F55">
        <v>175.89999399999999</v>
      </c>
    </row>
    <row r="56" spans="1:6" x14ac:dyDescent="0.25">
      <c r="A56" s="1">
        <v>45371</v>
      </c>
      <c r="B56">
        <v>175.66000399999999</v>
      </c>
      <c r="C56">
        <v>167.66999799999999</v>
      </c>
      <c r="D56">
        <v>425.23001099999999</v>
      </c>
      <c r="E56">
        <v>903.71997099999999</v>
      </c>
      <c r="F56">
        <v>178.14999399999999</v>
      </c>
    </row>
    <row r="57" spans="1:6" x14ac:dyDescent="0.25">
      <c r="A57" s="1">
        <v>45372</v>
      </c>
      <c r="B57">
        <v>172.820007</v>
      </c>
      <c r="C57">
        <v>170.85000600000001</v>
      </c>
      <c r="D57">
        <v>429.36999500000002</v>
      </c>
      <c r="E57">
        <v>914.34997599999997</v>
      </c>
      <c r="F57">
        <v>178.14999399999999</v>
      </c>
    </row>
    <row r="58" spans="1:6" x14ac:dyDescent="0.25">
      <c r="A58" s="1">
        <v>45373</v>
      </c>
      <c r="B58">
        <v>170.83000200000001</v>
      </c>
      <c r="C58">
        <v>170.10000600000001</v>
      </c>
      <c r="D58">
        <v>428.73998999999998</v>
      </c>
      <c r="E58">
        <v>942.89001499999995</v>
      </c>
      <c r="F58">
        <v>178.86999499999999</v>
      </c>
    </row>
    <row r="59" spans="1:6" x14ac:dyDescent="0.25">
      <c r="A59" s="1">
        <v>45376</v>
      </c>
      <c r="B59">
        <v>172.63000500000001</v>
      </c>
      <c r="C59">
        <v>167.520004</v>
      </c>
      <c r="D59">
        <v>422.85998499999999</v>
      </c>
      <c r="E59">
        <v>950.02002000000005</v>
      </c>
      <c r="F59">
        <v>179.71000699999999</v>
      </c>
    </row>
    <row r="60" spans="1:6" x14ac:dyDescent="0.25">
      <c r="A60" s="1">
        <v>45377</v>
      </c>
      <c r="B60">
        <v>177.66999799999999</v>
      </c>
      <c r="C60">
        <v>167.070007</v>
      </c>
      <c r="D60">
        <v>421.64999399999999</v>
      </c>
      <c r="E60">
        <v>925.60998500000005</v>
      </c>
      <c r="F60">
        <v>178.300003</v>
      </c>
    </row>
    <row r="61" spans="1:6" x14ac:dyDescent="0.25">
      <c r="A61" s="1">
        <v>45378</v>
      </c>
      <c r="B61">
        <v>179.83000200000001</v>
      </c>
      <c r="C61">
        <v>169.13000500000001</v>
      </c>
      <c r="D61">
        <v>421.42999300000002</v>
      </c>
      <c r="E61">
        <v>902.5</v>
      </c>
      <c r="F61">
        <v>179.83000200000001</v>
      </c>
    </row>
    <row r="62" spans="1:6" x14ac:dyDescent="0.25">
      <c r="A62" s="1">
        <v>45379</v>
      </c>
      <c r="B62">
        <v>175.78999300000001</v>
      </c>
      <c r="C62">
        <v>169.300003</v>
      </c>
      <c r="D62">
        <v>420.72000100000002</v>
      </c>
      <c r="E62">
        <v>903.55999799999995</v>
      </c>
      <c r="F62">
        <v>180.38000500000001</v>
      </c>
    </row>
    <row r="63" spans="1:6" x14ac:dyDescent="0.25">
      <c r="A63" s="1"/>
    </row>
    <row r="64" spans="1:6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9EA1-89AB-4CD5-A800-5B038BC1EB61}">
  <dimension ref="A1:N99"/>
  <sheetViews>
    <sheetView topLeftCell="A33" zoomScale="90" zoomScaleNormal="100" workbookViewId="0">
      <selection activeCell="C49" sqref="C49"/>
    </sheetView>
  </sheetViews>
  <sheetFormatPr defaultRowHeight="15" x14ac:dyDescent="0.25"/>
  <cols>
    <col min="1" max="1" width="5.28515625" bestFit="1" customWidth="1"/>
    <col min="2" max="2" width="50" bestFit="1" customWidth="1"/>
    <col min="3" max="3" width="18.5703125" bestFit="1" customWidth="1"/>
    <col min="4" max="4" width="16.140625" bestFit="1" customWidth="1"/>
    <col min="5" max="7" width="15" bestFit="1" customWidth="1"/>
    <col min="8" max="8" width="9.85546875" bestFit="1" customWidth="1"/>
    <col min="9" max="9" width="8.28515625" bestFit="1" customWidth="1"/>
    <col min="10" max="10" width="12.42578125" customWidth="1"/>
    <col min="11" max="11" width="13.7109375" bestFit="1" customWidth="1"/>
    <col min="12" max="12" width="8.28515625" bestFit="1" customWidth="1"/>
    <col min="13" max="13" width="9.85546875" bestFit="1" customWidth="1"/>
    <col min="14" max="14" width="8.7109375" bestFit="1" customWidth="1"/>
  </cols>
  <sheetData>
    <row r="1" spans="1:14" x14ac:dyDescent="0.25">
      <c r="A1" t="s">
        <v>11</v>
      </c>
      <c r="B1" t="s">
        <v>50</v>
      </c>
      <c r="C1">
        <v>161.47999999999999</v>
      </c>
      <c r="F1" t="s">
        <v>51</v>
      </c>
      <c r="H1" t="s">
        <v>52</v>
      </c>
      <c r="K1" t="s">
        <v>53</v>
      </c>
      <c r="M1" t="s">
        <v>52</v>
      </c>
    </row>
    <row r="2" spans="1:14" x14ac:dyDescent="0.25">
      <c r="B2" t="s">
        <v>54</v>
      </c>
      <c r="C2">
        <v>0</v>
      </c>
      <c r="E2" t="s">
        <v>55</v>
      </c>
      <c r="F2" s="11">
        <v>130.13450363198626</v>
      </c>
      <c r="G2" s="6">
        <f>(F2-C46)/C46</f>
        <v>-0.19411379965329284</v>
      </c>
      <c r="H2" s="11">
        <v>171.89806451612901</v>
      </c>
      <c r="I2" s="6">
        <f>(H2-C46)/C46</f>
        <v>6.4516129032258007E-2</v>
      </c>
      <c r="K2" s="11">
        <v>245.21212254622202</v>
      </c>
      <c r="L2" s="6">
        <f>(K2-C46)/C46</f>
        <v>0.51852936924834059</v>
      </c>
      <c r="M2" s="11">
        <v>323.90709677419352</v>
      </c>
      <c r="N2" s="6">
        <f>(M2-C46)/C46</f>
        <v>1.0058651026392962</v>
      </c>
    </row>
    <row r="3" spans="1:14" x14ac:dyDescent="0.25">
      <c r="B3" t="s">
        <v>56</v>
      </c>
      <c r="E3" t="s">
        <v>57</v>
      </c>
      <c r="F3" s="11">
        <v>96.435761644639967</v>
      </c>
      <c r="G3" s="6">
        <f>(F3-C46)/C46</f>
        <v>-0.40280058431607646</v>
      </c>
      <c r="H3" s="11">
        <v>128.33161290322579</v>
      </c>
      <c r="I3" s="6">
        <f>(H3-C46)/C46</f>
        <v>-0.20527859237536664</v>
      </c>
      <c r="K3" s="11">
        <v>130.13450363198626</v>
      </c>
      <c r="L3" s="6">
        <f>(K3-C46)/C46</f>
        <v>-0.19411379965329284</v>
      </c>
      <c r="M3" s="11">
        <v>175.68645161290323</v>
      </c>
      <c r="N3" s="6">
        <f>(M3-C46)/C46</f>
        <v>8.797653958944289E-2</v>
      </c>
    </row>
    <row r="4" spans="1:14" x14ac:dyDescent="0.25">
      <c r="E4" t="s">
        <v>58</v>
      </c>
      <c r="F4" s="11">
        <v>40.151692580667948</v>
      </c>
      <c r="G4" s="6">
        <f>(F4-C46)/C46</f>
        <v>-0.75135191614647046</v>
      </c>
      <c r="H4" s="11">
        <v>53.037419354838711</v>
      </c>
      <c r="I4" s="6">
        <f>(H4-C46)/C46</f>
        <v>-0.67155425219941345</v>
      </c>
      <c r="K4" s="11">
        <v>51.265107491388534</v>
      </c>
      <c r="L4" s="6">
        <f>(K4-C46)/C46</f>
        <v>-0.6825296786512971</v>
      </c>
      <c r="M4" s="11">
        <v>68.664516129032251</v>
      </c>
      <c r="N4" s="6">
        <f>(M4-C46)/C46</f>
        <v>-0.57478005865102644</v>
      </c>
    </row>
    <row r="6" spans="1:14" x14ac:dyDescent="0.25">
      <c r="B6" t="s">
        <v>59</v>
      </c>
      <c r="C6" t="s">
        <v>60</v>
      </c>
      <c r="D6" s="1">
        <v>45291</v>
      </c>
      <c r="E6" s="1">
        <v>44926</v>
      </c>
      <c r="F6" s="1">
        <v>44561</v>
      </c>
      <c r="G6" s="1">
        <v>44196</v>
      </c>
    </row>
    <row r="7" spans="1:14" x14ac:dyDescent="0.25">
      <c r="B7" t="s">
        <v>61</v>
      </c>
      <c r="C7" s="2">
        <v>96773000</v>
      </c>
      <c r="D7" s="2">
        <v>96773000</v>
      </c>
      <c r="E7" s="2">
        <v>81462000</v>
      </c>
      <c r="F7" s="2">
        <v>53823000</v>
      </c>
      <c r="G7" s="2">
        <v>31536000</v>
      </c>
    </row>
    <row r="8" spans="1:14" x14ac:dyDescent="0.25">
      <c r="B8" t="s">
        <v>62</v>
      </c>
      <c r="C8" s="2">
        <v>79113000</v>
      </c>
      <c r="D8" s="2">
        <v>79113000</v>
      </c>
      <c r="E8" s="2">
        <v>60609000</v>
      </c>
      <c r="F8" s="2">
        <v>40217000</v>
      </c>
      <c r="G8" s="2">
        <v>24906000</v>
      </c>
    </row>
    <row r="9" spans="1:14" x14ac:dyDescent="0.25">
      <c r="B9" t="s">
        <v>63</v>
      </c>
      <c r="C9" s="2">
        <v>17660000</v>
      </c>
      <c r="D9" s="2">
        <v>17660000</v>
      </c>
      <c r="E9" s="2">
        <v>20853000</v>
      </c>
      <c r="F9" s="2">
        <v>13606000</v>
      </c>
      <c r="G9" s="2">
        <v>6630000</v>
      </c>
    </row>
    <row r="10" spans="1:14" x14ac:dyDescent="0.25">
      <c r="B10" t="s">
        <v>64</v>
      </c>
      <c r="C10" s="2">
        <v>8769000</v>
      </c>
      <c r="D10" s="2">
        <v>8769000</v>
      </c>
      <c r="E10" s="2">
        <v>7021000</v>
      </c>
      <c r="F10" s="2">
        <v>7110000</v>
      </c>
      <c r="G10" s="2">
        <v>4636000</v>
      </c>
    </row>
    <row r="11" spans="1:14" x14ac:dyDescent="0.25">
      <c r="B11" t="s">
        <v>65</v>
      </c>
      <c r="C11" s="2">
        <v>8891000</v>
      </c>
      <c r="D11" s="2">
        <v>8891000</v>
      </c>
      <c r="E11" s="2">
        <v>13832000</v>
      </c>
      <c r="F11" s="2">
        <v>6496000</v>
      </c>
      <c r="G11" s="2">
        <v>1994000</v>
      </c>
    </row>
    <row r="12" spans="1:14" x14ac:dyDescent="0.25">
      <c r="B12" t="s">
        <v>66</v>
      </c>
      <c r="C12" s="2">
        <v>910000</v>
      </c>
      <c r="D12" s="2">
        <v>910000</v>
      </c>
      <c r="E12" s="2">
        <v>106000</v>
      </c>
      <c r="F12" s="2">
        <v>-315000</v>
      </c>
      <c r="G12" s="2">
        <v>-718000</v>
      </c>
    </row>
    <row r="13" spans="1:14" x14ac:dyDescent="0.25">
      <c r="B13" t="s">
        <v>67</v>
      </c>
      <c r="C13" s="2">
        <v>172000</v>
      </c>
      <c r="D13" s="2">
        <v>172000</v>
      </c>
      <c r="E13" s="2">
        <v>-219000</v>
      </c>
      <c r="F13" s="2">
        <v>162000</v>
      </c>
      <c r="G13" s="2">
        <v>-122000</v>
      </c>
    </row>
    <row r="14" spans="1:14" x14ac:dyDescent="0.25">
      <c r="B14" t="s">
        <v>68</v>
      </c>
      <c r="C14" s="2">
        <v>9973000</v>
      </c>
      <c r="D14" s="2">
        <v>9973000</v>
      </c>
      <c r="E14" s="2">
        <v>13719000</v>
      </c>
      <c r="F14" s="2">
        <v>6343000</v>
      </c>
      <c r="G14" s="2">
        <v>1154000</v>
      </c>
    </row>
    <row r="15" spans="1:14" x14ac:dyDescent="0.25">
      <c r="B15" t="s">
        <v>69</v>
      </c>
      <c r="C15" s="2">
        <v>-5001000</v>
      </c>
      <c r="D15" s="2">
        <v>-5001000</v>
      </c>
      <c r="E15" s="2">
        <v>1132000</v>
      </c>
      <c r="F15" s="2">
        <v>699000</v>
      </c>
      <c r="G15" s="2">
        <v>292000</v>
      </c>
    </row>
    <row r="16" spans="1:14" x14ac:dyDescent="0.25">
      <c r="B16" t="s">
        <v>70</v>
      </c>
      <c r="C16" s="2">
        <v>14999000</v>
      </c>
      <c r="D16" s="2">
        <v>14999000</v>
      </c>
      <c r="E16" s="2">
        <v>12583000</v>
      </c>
      <c r="F16" s="2">
        <v>5524000</v>
      </c>
      <c r="G16" s="2">
        <v>721000</v>
      </c>
    </row>
    <row r="17" spans="2:7" x14ac:dyDescent="0.25">
      <c r="B17" t="s">
        <v>71</v>
      </c>
      <c r="C17" s="2">
        <v>14999000</v>
      </c>
      <c r="D17" s="2">
        <v>14999000</v>
      </c>
      <c r="E17" s="2">
        <v>12584000</v>
      </c>
      <c r="F17" s="2">
        <v>5533000</v>
      </c>
      <c r="G17" s="2">
        <v>721000</v>
      </c>
    </row>
    <row r="18" spans="2:7" x14ac:dyDescent="0.25">
      <c r="B18" t="s">
        <v>72</v>
      </c>
      <c r="C18" s="2">
        <v>3.41</v>
      </c>
      <c r="D18" s="2" t="s">
        <v>73</v>
      </c>
      <c r="E18" s="2">
        <v>4.0199999999999996</v>
      </c>
      <c r="F18" s="2">
        <v>1.87</v>
      </c>
      <c r="G18" s="2">
        <v>0.25</v>
      </c>
    </row>
    <row r="19" spans="2:7" x14ac:dyDescent="0.25">
      <c r="B19" t="s">
        <v>74</v>
      </c>
      <c r="C19" s="2">
        <v>3.1</v>
      </c>
      <c r="D19" s="2" t="s">
        <v>73</v>
      </c>
      <c r="E19" s="2">
        <v>3.62</v>
      </c>
      <c r="F19" s="2">
        <v>1.63</v>
      </c>
      <c r="G19" s="2">
        <v>0.21</v>
      </c>
    </row>
    <row r="20" spans="2:7" x14ac:dyDescent="0.25">
      <c r="B20" t="s">
        <v>75</v>
      </c>
      <c r="C20" s="2">
        <v>3168250</v>
      </c>
      <c r="D20" s="2" t="s">
        <v>73</v>
      </c>
      <c r="E20" s="2">
        <v>3130000</v>
      </c>
      <c r="F20" s="2">
        <v>2959000</v>
      </c>
      <c r="G20" s="2">
        <v>2799000</v>
      </c>
    </row>
    <row r="21" spans="2:7" x14ac:dyDescent="0.25">
      <c r="B21" t="s">
        <v>76</v>
      </c>
      <c r="C21" s="2">
        <v>3480250</v>
      </c>
      <c r="D21" s="2" t="s">
        <v>73</v>
      </c>
      <c r="E21" s="2">
        <v>3475000</v>
      </c>
      <c r="F21" s="2">
        <v>3386000</v>
      </c>
      <c r="G21" s="2">
        <v>3249000</v>
      </c>
    </row>
    <row r="22" spans="2:7" x14ac:dyDescent="0.25">
      <c r="B22" t="s">
        <v>77</v>
      </c>
      <c r="C22" s="2">
        <v>87882000</v>
      </c>
      <c r="D22" s="2">
        <v>87882000</v>
      </c>
      <c r="E22" s="2">
        <v>67630000</v>
      </c>
      <c r="F22" s="2">
        <v>47327000</v>
      </c>
      <c r="G22" s="2">
        <v>29542000</v>
      </c>
    </row>
    <row r="23" spans="2:7" x14ac:dyDescent="0.25">
      <c r="B23" t="s">
        <v>78</v>
      </c>
      <c r="C23" s="2">
        <v>14999000</v>
      </c>
      <c r="D23" s="2">
        <v>14999000</v>
      </c>
      <c r="E23" s="2">
        <v>12583000</v>
      </c>
      <c r="F23" s="2">
        <v>5524000</v>
      </c>
      <c r="G23" s="2">
        <v>721000</v>
      </c>
    </row>
    <row r="24" spans="2:7" x14ac:dyDescent="0.25">
      <c r="B24" t="s">
        <v>79</v>
      </c>
      <c r="C24" s="2">
        <v>14999000</v>
      </c>
      <c r="D24" s="2">
        <v>14999000</v>
      </c>
      <c r="E24" s="2">
        <v>12744920</v>
      </c>
      <c r="F24" s="2">
        <v>5499970</v>
      </c>
      <c r="G24" s="2">
        <v>721000</v>
      </c>
    </row>
    <row r="25" spans="2:7" x14ac:dyDescent="0.25">
      <c r="B25" t="s">
        <v>80</v>
      </c>
      <c r="C25" s="2">
        <v>10129000</v>
      </c>
      <c r="D25" s="2">
        <v>10129000</v>
      </c>
      <c r="E25" s="2">
        <v>13910000</v>
      </c>
      <c r="F25" s="2">
        <v>6714000</v>
      </c>
      <c r="G25" s="2">
        <v>1902000</v>
      </c>
    </row>
    <row r="26" spans="2:7" x14ac:dyDescent="0.25">
      <c r="B26" t="s">
        <v>81</v>
      </c>
      <c r="C26" s="2">
        <v>14796000</v>
      </c>
      <c r="D26" s="2">
        <v>14796000</v>
      </c>
      <c r="E26" s="2">
        <v>17657000</v>
      </c>
      <c r="F26" s="2">
        <v>9625000</v>
      </c>
      <c r="G26" s="2">
        <v>4224000</v>
      </c>
    </row>
    <row r="27" spans="2:7" x14ac:dyDescent="0.25">
      <c r="B27" t="s">
        <v>82</v>
      </c>
      <c r="C27" s="2">
        <v>106618000</v>
      </c>
      <c r="D27" s="2">
        <v>106618000</v>
      </c>
      <c r="E27" s="2">
        <v>82338000</v>
      </c>
      <c r="F27" s="2">
        <v>62131000</v>
      </c>
      <c r="G27" s="2">
        <v>52148000</v>
      </c>
    </row>
    <row r="28" spans="2:7" x14ac:dyDescent="0.25">
      <c r="B28" t="s">
        <v>83</v>
      </c>
      <c r="C28" s="2">
        <v>43009000</v>
      </c>
      <c r="D28" s="2">
        <v>43009000</v>
      </c>
      <c r="E28" s="2">
        <v>36440000</v>
      </c>
      <c r="F28" s="2">
        <v>30548000</v>
      </c>
      <c r="G28" s="2">
        <v>28469000</v>
      </c>
    </row>
    <row r="29" spans="2:7" x14ac:dyDescent="0.25">
      <c r="B29" t="s">
        <v>84</v>
      </c>
      <c r="C29" s="2">
        <v>63609000</v>
      </c>
      <c r="D29" s="2">
        <v>63609000</v>
      </c>
      <c r="E29" s="2">
        <v>45898000</v>
      </c>
      <c r="F29" s="2">
        <v>31583000</v>
      </c>
      <c r="G29" s="2">
        <v>23679000</v>
      </c>
    </row>
    <row r="30" spans="2:7" x14ac:dyDescent="0.25">
      <c r="B30" t="s">
        <v>85</v>
      </c>
      <c r="C30" s="2">
        <v>65316000</v>
      </c>
      <c r="D30" s="2">
        <v>65316000</v>
      </c>
      <c r="E30" s="2">
        <v>45733000</v>
      </c>
      <c r="F30" s="2">
        <v>34443000</v>
      </c>
      <c r="G30" s="2">
        <v>30738000</v>
      </c>
    </row>
    <row r="31" spans="2:7" x14ac:dyDescent="0.25">
      <c r="B31" t="s">
        <v>86</v>
      </c>
      <c r="C31" s="2">
        <v>62634000</v>
      </c>
      <c r="D31" s="2">
        <v>62634000</v>
      </c>
      <c r="E31" s="2">
        <v>44704000</v>
      </c>
      <c r="F31" s="2">
        <v>30189000</v>
      </c>
      <c r="G31" s="2">
        <v>22225000</v>
      </c>
    </row>
    <row r="32" spans="2:7" x14ac:dyDescent="0.25">
      <c r="B32" t="s">
        <v>87</v>
      </c>
      <c r="C32" s="2">
        <v>4916000</v>
      </c>
      <c r="D32" s="2">
        <v>4916000</v>
      </c>
      <c r="E32" s="2">
        <v>3703000</v>
      </c>
      <c r="F32" s="2">
        <v>3531000</v>
      </c>
      <c r="G32" s="2">
        <v>3008000</v>
      </c>
    </row>
    <row r="33" spans="2:7" x14ac:dyDescent="0.25">
      <c r="B33" t="s">
        <v>88</v>
      </c>
      <c r="C33" s="2">
        <v>62019000</v>
      </c>
      <c r="D33" s="2">
        <v>62019000</v>
      </c>
      <c r="E33" s="2">
        <v>44111000</v>
      </c>
      <c r="F33" s="2">
        <v>28472000</v>
      </c>
      <c r="G33" s="2">
        <v>21705000</v>
      </c>
    </row>
    <row r="34" spans="2:7" x14ac:dyDescent="0.25">
      <c r="B34" t="s">
        <v>89</v>
      </c>
      <c r="C34" s="2">
        <v>20868000</v>
      </c>
      <c r="D34" s="2">
        <v>20868000</v>
      </c>
      <c r="E34" s="2">
        <v>14208000</v>
      </c>
      <c r="F34" s="2">
        <v>7395000</v>
      </c>
      <c r="G34" s="2">
        <v>12469000</v>
      </c>
    </row>
    <row r="35" spans="2:7" x14ac:dyDescent="0.25">
      <c r="B35" t="s">
        <v>90</v>
      </c>
      <c r="C35" s="2">
        <v>67291000</v>
      </c>
      <c r="D35" s="2">
        <v>67291000</v>
      </c>
      <c r="E35" s="2">
        <v>46749000</v>
      </c>
      <c r="F35" s="2">
        <v>35531000</v>
      </c>
      <c r="G35" s="2">
        <v>32496000</v>
      </c>
    </row>
    <row r="36" spans="2:7" x14ac:dyDescent="0.25">
      <c r="B36" t="s">
        <v>91</v>
      </c>
      <c r="C36" s="2">
        <v>62019000</v>
      </c>
      <c r="D36" s="2">
        <v>62019000</v>
      </c>
      <c r="E36" s="2">
        <v>44111000</v>
      </c>
      <c r="F36" s="2">
        <v>28472000</v>
      </c>
      <c r="G36" s="2">
        <v>21705000</v>
      </c>
    </row>
    <row r="37" spans="2:7" x14ac:dyDescent="0.25">
      <c r="B37" t="s">
        <v>92</v>
      </c>
      <c r="C37" s="2">
        <v>9573000</v>
      </c>
      <c r="D37" s="2">
        <v>9573000</v>
      </c>
      <c r="E37" s="2">
        <v>5748000</v>
      </c>
      <c r="F37" s="2">
        <v>8873000</v>
      </c>
      <c r="G37" s="2">
        <v>13279000</v>
      </c>
    </row>
    <row r="38" spans="2:7" x14ac:dyDescent="0.25">
      <c r="B38" t="s">
        <v>93</v>
      </c>
      <c r="C38" s="2" t="s">
        <v>73</v>
      </c>
      <c r="D38" s="2" t="s">
        <v>73</v>
      </c>
      <c r="E38" s="2" t="s">
        <v>73</v>
      </c>
      <c r="F38" s="2" t="s">
        <v>73</v>
      </c>
      <c r="G38" s="2" t="s">
        <v>73</v>
      </c>
    </row>
    <row r="39" spans="2:7" x14ac:dyDescent="0.25">
      <c r="B39" t="s">
        <v>94</v>
      </c>
      <c r="C39" s="2">
        <v>3185000</v>
      </c>
      <c r="D39" s="2">
        <v>3185000</v>
      </c>
      <c r="E39" s="2">
        <v>3164000</v>
      </c>
      <c r="F39" s="2">
        <v>3099000</v>
      </c>
      <c r="G39" s="2">
        <v>2880000</v>
      </c>
    </row>
    <row r="40" spans="2:7" x14ac:dyDescent="0.25">
      <c r="B40" t="s">
        <v>95</v>
      </c>
      <c r="C40" s="3">
        <v>1119000</v>
      </c>
      <c r="D40" s="3">
        <v>1119000</v>
      </c>
      <c r="E40" s="3">
        <v>1203000</v>
      </c>
      <c r="F40" s="3">
        <v>561000</v>
      </c>
      <c r="G40" s="3">
        <v>115000</v>
      </c>
    </row>
    <row r="41" spans="2:7" x14ac:dyDescent="0.25">
      <c r="B41" t="s">
        <v>96</v>
      </c>
      <c r="C41" s="3">
        <v>126000</v>
      </c>
      <c r="D41" s="3">
        <v>126000</v>
      </c>
      <c r="E41" s="3">
        <v>152000</v>
      </c>
      <c r="F41" s="3">
        <v>266000</v>
      </c>
      <c r="G41" s="3">
        <v>444000</v>
      </c>
    </row>
    <row r="42" spans="2:7" x14ac:dyDescent="0.25">
      <c r="B42" t="s">
        <v>97</v>
      </c>
      <c r="C42" s="3">
        <v>-8899000</v>
      </c>
      <c r="D42" s="3">
        <v>-8899000</v>
      </c>
      <c r="E42" s="3">
        <v>-7172000</v>
      </c>
      <c r="F42" s="3">
        <v>-8014000</v>
      </c>
      <c r="G42" s="3">
        <v>-3242000</v>
      </c>
    </row>
    <row r="43" spans="2:7" x14ac:dyDescent="0.25">
      <c r="B43" t="s">
        <v>98</v>
      </c>
      <c r="C43" s="3">
        <v>4357000</v>
      </c>
      <c r="D43" s="3">
        <v>4357000</v>
      </c>
      <c r="E43" s="3">
        <v>7552000</v>
      </c>
      <c r="F43" s="3">
        <v>3483000</v>
      </c>
      <c r="G43" s="3">
        <v>2701000</v>
      </c>
    </row>
    <row r="44" spans="2:7" x14ac:dyDescent="0.25">
      <c r="B44" t="s">
        <v>99</v>
      </c>
      <c r="C44" t="s">
        <v>73</v>
      </c>
      <c r="D44" t="s">
        <v>73</v>
      </c>
      <c r="E44" t="s">
        <v>73</v>
      </c>
      <c r="F44" t="s">
        <v>73</v>
      </c>
      <c r="G44" t="s">
        <v>73</v>
      </c>
    </row>
    <row r="46" spans="2:7" x14ac:dyDescent="0.25">
      <c r="B46" t="s">
        <v>100</v>
      </c>
      <c r="C46" s="18">
        <v>161.47999999999999</v>
      </c>
      <c r="D46">
        <v>203.93</v>
      </c>
      <c r="E46">
        <v>252.75</v>
      </c>
      <c r="F46">
        <v>208.41</v>
      </c>
      <c r="G46">
        <v>55.67</v>
      </c>
    </row>
    <row r="48" spans="2:7" x14ac:dyDescent="0.25">
      <c r="B48" t="s">
        <v>101</v>
      </c>
      <c r="C48" s="19">
        <f>C16/C29</f>
        <v>0.23579996541369933</v>
      </c>
      <c r="D48" s="19">
        <f>D16/D29</f>
        <v>0.23579996541369933</v>
      </c>
      <c r="E48" s="19">
        <f>E16/E29</f>
        <v>0.27415137914506077</v>
      </c>
      <c r="F48" s="19">
        <f>F16/F29</f>
        <v>0.17490422062501979</v>
      </c>
      <c r="G48" s="19">
        <f>G16/G29</f>
        <v>3.0448920984838888E-2</v>
      </c>
    </row>
    <row r="49" spans="2:11" x14ac:dyDescent="0.25">
      <c r="B49" t="s">
        <v>102</v>
      </c>
      <c r="C49" s="5">
        <f>C16/C14</f>
        <v>1.5039606938734584</v>
      </c>
      <c r="D49" s="5">
        <f>D16/D14</f>
        <v>1.5039606938734584</v>
      </c>
      <c r="E49" s="5">
        <f>E16/E14</f>
        <v>0.91719513084044024</v>
      </c>
      <c r="F49" s="5">
        <f>F16/F14</f>
        <v>0.87088128645751217</v>
      </c>
      <c r="G49" s="5">
        <f>G16/G14</f>
        <v>0.62478336221837083</v>
      </c>
    </row>
    <row r="50" spans="2:11" x14ac:dyDescent="0.25">
      <c r="B50" t="s">
        <v>103</v>
      </c>
      <c r="C50" s="5">
        <f>C14/C25</f>
        <v>0.98459867706585058</v>
      </c>
      <c r="D50" s="5">
        <f>D14/D25</f>
        <v>0.98459867706585058</v>
      </c>
      <c r="E50" s="5">
        <f>E14/E25</f>
        <v>0.98626887131560026</v>
      </c>
      <c r="F50" s="5">
        <f>F14/F25</f>
        <v>0.94474232946082815</v>
      </c>
      <c r="G50" s="5">
        <f>G14/G25</f>
        <v>0.60672975814931651</v>
      </c>
    </row>
    <row r="51" spans="2:11" x14ac:dyDescent="0.25">
      <c r="B51" t="s">
        <v>104</v>
      </c>
      <c r="C51" s="19">
        <f>C25/C7</f>
        <v>0.10466762423403222</v>
      </c>
      <c r="D51" s="19">
        <f>D25/D7</f>
        <v>0.10466762423403222</v>
      </c>
      <c r="E51" s="19">
        <f>E25/E7</f>
        <v>0.17075446220323587</v>
      </c>
      <c r="F51" s="19">
        <f>F25/F7</f>
        <v>0.12474221057912045</v>
      </c>
      <c r="G51" s="19">
        <f>G25/G7</f>
        <v>6.031202435312024E-2</v>
      </c>
    </row>
    <row r="52" spans="2:11" x14ac:dyDescent="0.25">
      <c r="B52" t="s">
        <v>105</v>
      </c>
      <c r="C52" s="5">
        <f>C7/C27</f>
        <v>0.90766099532911892</v>
      </c>
      <c r="D52" s="5">
        <f>D7/D27</f>
        <v>0.90766099532911892</v>
      </c>
      <c r="E52" s="5">
        <f>E7/E27</f>
        <v>0.98936092691102528</v>
      </c>
      <c r="F52" s="5">
        <f>F7/F27</f>
        <v>0.86628253206933736</v>
      </c>
      <c r="G52" s="5">
        <f>G7/G27</f>
        <v>0.60474035437600671</v>
      </c>
    </row>
    <row r="53" spans="2:11" x14ac:dyDescent="0.25">
      <c r="B53" t="s">
        <v>106</v>
      </c>
      <c r="C53" s="5">
        <f>C27/C29</f>
        <v>1.676146457262337</v>
      </c>
      <c r="D53" s="5">
        <f>D27/D29</f>
        <v>1.676146457262337</v>
      </c>
      <c r="E53" s="5">
        <f>E27/E29</f>
        <v>1.7939343762255435</v>
      </c>
      <c r="F53" s="5">
        <f>F27/F29</f>
        <v>1.9672292055852831</v>
      </c>
      <c r="G53" s="5">
        <f>G27/G29</f>
        <v>2.2022889480130075</v>
      </c>
    </row>
    <row r="54" spans="2:11" x14ac:dyDescent="0.25">
      <c r="B54" t="s">
        <v>107</v>
      </c>
      <c r="C54" s="19">
        <f>C49*C50*C51*C53*C52</f>
        <v>0.23579996541369935</v>
      </c>
      <c r="D54" s="19">
        <f>D49*D50*D51*D53*D52</f>
        <v>0.23579996541369935</v>
      </c>
      <c r="E54" s="19">
        <f t="shared" ref="E54:G54" si="0">E49*E50*E51*E53*E52</f>
        <v>0.27415137914506077</v>
      </c>
      <c r="F54" s="19">
        <f t="shared" si="0"/>
        <v>0.17490422062501979</v>
      </c>
      <c r="G54" s="19">
        <f t="shared" si="0"/>
        <v>3.0448920984838888E-2</v>
      </c>
    </row>
    <row r="55" spans="2:11" x14ac:dyDescent="0.25">
      <c r="B55" t="s">
        <v>108</v>
      </c>
      <c r="C55" s="19">
        <f>C25/C27</f>
        <v>9.5002719990995896E-2</v>
      </c>
      <c r="D55" s="19">
        <f>D25/D27</f>
        <v>9.5002719990995896E-2</v>
      </c>
      <c r="E55" s="19">
        <f t="shared" ref="E55:G55" si="1">E25/E27</f>
        <v>0.16893779299958706</v>
      </c>
      <c r="F55" s="19">
        <f t="shared" si="1"/>
        <v>0.10806199803640695</v>
      </c>
      <c r="G55" s="19">
        <f t="shared" si="1"/>
        <v>3.6473114980440285E-2</v>
      </c>
    </row>
    <row r="56" spans="2:11" x14ac:dyDescent="0.25">
      <c r="B56" t="s">
        <v>109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2:11" x14ac:dyDescent="0.25">
      <c r="B57" t="s">
        <v>110</v>
      </c>
      <c r="C57">
        <v>100</v>
      </c>
      <c r="D57">
        <v>100</v>
      </c>
      <c r="E57">
        <v>100</v>
      </c>
      <c r="F57">
        <v>100</v>
      </c>
      <c r="G57">
        <v>100</v>
      </c>
    </row>
    <row r="58" spans="2:11" x14ac:dyDescent="0.25">
      <c r="B58" t="s">
        <v>111</v>
      </c>
      <c r="C58" s="4">
        <f>(D7-E7)/E7</f>
        <v>0.18795266504627925</v>
      </c>
      <c r="D58" s="4"/>
      <c r="E58" s="4"/>
      <c r="F58" s="4"/>
      <c r="G58" s="4"/>
    </row>
    <row r="60" spans="2:11" x14ac:dyDescent="0.25">
      <c r="B60" t="s">
        <v>112</v>
      </c>
      <c r="C60" s="5">
        <f>C46/C18</f>
        <v>47.354838709677416</v>
      </c>
      <c r="D60" s="5" t="e">
        <f>D46/D18</f>
        <v>#VALUE!</v>
      </c>
      <c r="E60" s="5">
        <f>E46/E18</f>
        <v>62.873134328358219</v>
      </c>
      <c r="F60" s="5">
        <f>F46/F18</f>
        <v>111.44919786096256</v>
      </c>
      <c r="G60" s="5">
        <f>G46/G18</f>
        <v>222.68</v>
      </c>
    </row>
    <row r="61" spans="2:11" x14ac:dyDescent="0.25">
      <c r="B61" t="s">
        <v>113</v>
      </c>
      <c r="C61" s="5">
        <f>SUM(C60,E60)/2</f>
        <v>55.113986519017814</v>
      </c>
      <c r="D61" s="5"/>
      <c r="E61" s="5"/>
      <c r="F61" s="5"/>
      <c r="G61" s="5"/>
    </row>
    <row r="62" spans="2:11" x14ac:dyDescent="0.25">
      <c r="C62" s="5"/>
      <c r="D62" s="5"/>
      <c r="E62" s="5"/>
      <c r="F62" s="5"/>
      <c r="G62" s="5"/>
    </row>
    <row r="63" spans="2:11" x14ac:dyDescent="0.25">
      <c r="B63" t="s">
        <v>114</v>
      </c>
      <c r="C63" s="5">
        <f>C29/C20</f>
        <v>20.07701412451669</v>
      </c>
      <c r="D63" s="5" t="e">
        <f t="shared" ref="D63:G63" si="2">D29/D20</f>
        <v>#VALUE!</v>
      </c>
      <c r="E63" s="5">
        <f t="shared" si="2"/>
        <v>14.663897763578275</v>
      </c>
      <c r="F63" s="5">
        <f t="shared" si="2"/>
        <v>10.673538357553227</v>
      </c>
      <c r="G63" s="5">
        <f t="shared" si="2"/>
        <v>8.459807073954984</v>
      </c>
      <c r="K63" t="s">
        <v>115</v>
      </c>
    </row>
    <row r="64" spans="2:11" x14ac:dyDescent="0.25">
      <c r="B64" t="s">
        <v>116</v>
      </c>
      <c r="C64" s="5">
        <f>C46/C63</f>
        <v>8.043028659466426</v>
      </c>
      <c r="D64" s="5" t="e">
        <f t="shared" ref="D64:G64" si="3">D46/D63</f>
        <v>#VALUE!</v>
      </c>
      <c r="E64" s="5">
        <f t="shared" si="3"/>
        <v>17.236208549392131</v>
      </c>
      <c r="F64" s="5">
        <f t="shared" si="3"/>
        <v>19.52585853148846</v>
      </c>
      <c r="G64" s="5">
        <f t="shared" si="3"/>
        <v>6.5805283162295707</v>
      </c>
    </row>
    <row r="66" spans="2:12" x14ac:dyDescent="0.25">
      <c r="B66" t="s">
        <v>117</v>
      </c>
      <c r="C66" s="6">
        <f>C68+C67*(C69-C68)</f>
        <v>0.28928599999999999</v>
      </c>
    </row>
    <row r="67" spans="2:12" x14ac:dyDescent="0.25">
      <c r="B67" t="s">
        <v>118</v>
      </c>
      <c r="C67" s="7">
        <v>2.44</v>
      </c>
    </row>
    <row r="68" spans="2:12" x14ac:dyDescent="0.25">
      <c r="B68" t="s">
        <v>119</v>
      </c>
      <c r="C68" s="8">
        <v>4.5530000000000001E-2</v>
      </c>
    </row>
    <row r="69" spans="2:12" x14ac:dyDescent="0.25">
      <c r="B69" t="s">
        <v>120</v>
      </c>
      <c r="C69" s="8">
        <v>0.14543</v>
      </c>
    </row>
    <row r="71" spans="2:12" x14ac:dyDescent="0.25">
      <c r="D71" t="s">
        <v>121</v>
      </c>
      <c r="E71" t="s">
        <v>122</v>
      </c>
      <c r="F71" t="s">
        <v>123</v>
      </c>
      <c r="G71" t="s">
        <v>124</v>
      </c>
    </row>
    <row r="72" spans="2:12" x14ac:dyDescent="0.25">
      <c r="C72" t="s">
        <v>125</v>
      </c>
      <c r="D72" s="9">
        <v>3.63</v>
      </c>
      <c r="E72" s="10">
        <f>$C$61*D72</f>
        <v>200.06377106403465</v>
      </c>
      <c r="F72" s="11">
        <f>$C$60*D72</f>
        <v>171.89806451612901</v>
      </c>
      <c r="G72" s="11">
        <v>130.13450363198626</v>
      </c>
      <c r="I72" s="37"/>
      <c r="J72" s="15"/>
      <c r="K72" s="15"/>
      <c r="L72" s="15"/>
    </row>
    <row r="73" spans="2:12" x14ac:dyDescent="0.25">
      <c r="C73" t="s">
        <v>126</v>
      </c>
      <c r="D73" s="9">
        <v>2.69</v>
      </c>
      <c r="E73" s="10">
        <f>$C$61*D73</f>
        <v>148.25662373615791</v>
      </c>
      <c r="F73" s="11">
        <f t="shared" ref="F73:F78" si="4">$C$60*D73</f>
        <v>127.38451612903225</v>
      </c>
      <c r="G73" s="11">
        <v>96.435761644639967</v>
      </c>
      <c r="J73" s="15"/>
      <c r="K73" s="15"/>
      <c r="L73" s="15"/>
    </row>
    <row r="74" spans="2:12" x14ac:dyDescent="0.25">
      <c r="C74" t="s">
        <v>127</v>
      </c>
      <c r="D74" s="9">
        <v>1.1200000000000001</v>
      </c>
      <c r="E74" s="10">
        <f>$C$61*D74</f>
        <v>61.72766490129996</v>
      </c>
      <c r="F74" s="11">
        <f t="shared" si="4"/>
        <v>53.037419354838711</v>
      </c>
      <c r="G74" s="11">
        <v>40.151692580667948</v>
      </c>
      <c r="J74" s="15"/>
      <c r="K74" s="15"/>
      <c r="L74" s="15"/>
    </row>
    <row r="75" spans="2:12" x14ac:dyDescent="0.25">
      <c r="D75" s="9"/>
      <c r="E75" s="10"/>
      <c r="F75" s="11"/>
      <c r="G75" s="11"/>
    </row>
    <row r="76" spans="2:12" x14ac:dyDescent="0.25">
      <c r="C76" t="s">
        <v>128</v>
      </c>
      <c r="D76" s="9">
        <v>6.84</v>
      </c>
      <c r="E76" s="10">
        <f>$C$61*D76</f>
        <v>376.97966779008186</v>
      </c>
      <c r="F76" s="11">
        <f t="shared" si="4"/>
        <v>323.90709677419352</v>
      </c>
      <c r="G76" s="11">
        <v>245.21212254622202</v>
      </c>
    </row>
    <row r="77" spans="2:12" x14ac:dyDescent="0.25">
      <c r="C77" t="s">
        <v>129</v>
      </c>
      <c r="D77" s="9">
        <v>3.63</v>
      </c>
      <c r="E77" s="10">
        <f>$C$61*D77</f>
        <v>200.06377106403465</v>
      </c>
      <c r="F77" s="11">
        <f t="shared" si="4"/>
        <v>171.89806451612901</v>
      </c>
      <c r="G77" s="11">
        <v>130.13450363198626</v>
      </c>
    </row>
    <row r="78" spans="2:12" x14ac:dyDescent="0.25">
      <c r="C78" t="s">
        <v>130</v>
      </c>
      <c r="D78" s="9">
        <v>1.43</v>
      </c>
      <c r="E78" s="10">
        <f>$C$61*D78</f>
        <v>78.813000722195468</v>
      </c>
      <c r="F78" s="11">
        <f t="shared" si="4"/>
        <v>67.717419354838697</v>
      </c>
      <c r="G78" s="11">
        <v>51.265107491388534</v>
      </c>
    </row>
    <row r="79" spans="2:12" ht="15.75" thickBot="1" x14ac:dyDescent="0.3"/>
    <row r="80" spans="2:12" x14ac:dyDescent="0.25">
      <c r="B80" t="s">
        <v>131</v>
      </c>
      <c r="C80" s="23" t="s">
        <v>132</v>
      </c>
      <c r="D80" s="52">
        <v>3.63</v>
      </c>
      <c r="E80" s="41"/>
      <c r="F80" s="41"/>
      <c r="G80" s="41"/>
      <c r="H80" s="42"/>
    </row>
    <row r="81" spans="2:10" x14ac:dyDescent="0.25">
      <c r="B81" t="s">
        <v>133</v>
      </c>
      <c r="C81" s="43" t="s">
        <v>134</v>
      </c>
      <c r="D81" s="44">
        <f>C58</f>
        <v>0.18795266504627925</v>
      </c>
      <c r="H81" s="45"/>
    </row>
    <row r="82" spans="2:10" x14ac:dyDescent="0.25">
      <c r="C82" s="43" t="s">
        <v>135</v>
      </c>
      <c r="D82" s="5">
        <v>5</v>
      </c>
      <c r="H82" s="45"/>
    </row>
    <row r="83" spans="2:10" x14ac:dyDescent="0.25">
      <c r="C83" s="43" t="s">
        <v>136</v>
      </c>
      <c r="D83" s="46">
        <v>0.08</v>
      </c>
      <c r="H83" s="45"/>
    </row>
    <row r="84" spans="2:10" x14ac:dyDescent="0.25">
      <c r="C84" s="43" t="s">
        <v>137</v>
      </c>
      <c r="D84" s="6">
        <f>C69</f>
        <v>0.14543</v>
      </c>
      <c r="H84" s="45"/>
    </row>
    <row r="85" spans="2:10" x14ac:dyDescent="0.25">
      <c r="C85" s="43"/>
      <c r="H85" s="45"/>
    </row>
    <row r="86" spans="2:10" x14ac:dyDescent="0.25">
      <c r="C86" s="43" t="s">
        <v>138</v>
      </c>
      <c r="D86">
        <v>1</v>
      </c>
      <c r="E86">
        <v>2</v>
      </c>
      <c r="F86">
        <v>3</v>
      </c>
      <c r="G86">
        <v>4</v>
      </c>
      <c r="H86" s="45">
        <v>5</v>
      </c>
    </row>
    <row r="87" spans="2:10" x14ac:dyDescent="0.25">
      <c r="C87" s="43" t="s">
        <v>139</v>
      </c>
      <c r="D87" s="10">
        <f>$D$80*(1+$D$81)</f>
        <v>4.3122681741179933</v>
      </c>
      <c r="E87" s="10">
        <f t="shared" ref="E87:H87" si="5">$D$80*(1+$D$81)</f>
        <v>4.3122681741179933</v>
      </c>
      <c r="F87" s="10">
        <f t="shared" si="5"/>
        <v>4.3122681741179933</v>
      </c>
      <c r="G87" s="10">
        <f t="shared" si="5"/>
        <v>4.3122681741179933</v>
      </c>
      <c r="H87" s="47">
        <f t="shared" si="5"/>
        <v>4.3122681741179933</v>
      </c>
      <c r="I87" s="10"/>
      <c r="J87" s="10"/>
    </row>
    <row r="88" spans="2:10" x14ac:dyDescent="0.25">
      <c r="C88" s="43" t="s">
        <v>140</v>
      </c>
      <c r="D88" s="10">
        <f>D87*($D$89)^D86</f>
        <v>3.7647592381184305</v>
      </c>
      <c r="E88" s="10">
        <f t="shared" ref="E88:H88" si="6">E87*($D$89)^E86</f>
        <v>3.286765003639184</v>
      </c>
      <c r="F88" s="10">
        <f t="shared" si="6"/>
        <v>2.8694595074680982</v>
      </c>
      <c r="G88" s="10">
        <f t="shared" si="6"/>
        <v>2.5051373785112125</v>
      </c>
      <c r="H88" s="47">
        <f t="shared" si="6"/>
        <v>2.1870715613448337</v>
      </c>
      <c r="I88" s="10"/>
      <c r="J88" s="10"/>
    </row>
    <row r="89" spans="2:10" x14ac:dyDescent="0.25">
      <c r="C89" s="43" t="s">
        <v>141</v>
      </c>
      <c r="D89" s="15">
        <f>1/(1+D84)</f>
        <v>0.8730345808997495</v>
      </c>
      <c r="H89" s="45"/>
    </row>
    <row r="90" spans="2:10" x14ac:dyDescent="0.25">
      <c r="C90" s="43"/>
      <c r="D90" s="15">
        <f>SUM(D88:H88)</f>
        <v>14.613192689081759</v>
      </c>
      <c r="H90" s="45"/>
    </row>
    <row r="91" spans="2:10" ht="15.75" thickBot="1" x14ac:dyDescent="0.3">
      <c r="C91" s="48" t="s">
        <v>142</v>
      </c>
      <c r="D91" s="49">
        <f>(D90+H88*D89)/(1-D89)</f>
        <v>130.13450363198626</v>
      </c>
      <c r="E91" s="50"/>
      <c r="F91" s="50"/>
      <c r="G91" s="50"/>
      <c r="H91" s="51"/>
    </row>
    <row r="93" spans="2:10" x14ac:dyDescent="0.25">
      <c r="B93">
        <v>2024</v>
      </c>
      <c r="C93" t="s">
        <v>143</v>
      </c>
      <c r="D93" s="5">
        <v>130.13450363198626</v>
      </c>
    </row>
    <row r="94" spans="2:10" x14ac:dyDescent="0.25">
      <c r="C94" t="s">
        <v>144</v>
      </c>
      <c r="D94" s="5">
        <v>96.435761644639967</v>
      </c>
    </row>
    <row r="95" spans="2:10" x14ac:dyDescent="0.25">
      <c r="C95" t="s">
        <v>145</v>
      </c>
      <c r="D95" s="5">
        <v>40.151692580667948</v>
      </c>
    </row>
    <row r="96" spans="2:10" x14ac:dyDescent="0.25">
      <c r="D96" s="5"/>
    </row>
    <row r="97" spans="2:4" x14ac:dyDescent="0.25">
      <c r="B97">
        <v>2025</v>
      </c>
      <c r="C97" t="s">
        <v>143</v>
      </c>
      <c r="D97" s="5">
        <v>245.21212254622202</v>
      </c>
    </row>
    <row r="98" spans="2:4" x14ac:dyDescent="0.25">
      <c r="C98" t="s">
        <v>144</v>
      </c>
      <c r="D98" s="5">
        <v>130.13450363198626</v>
      </c>
    </row>
    <row r="99" spans="2:4" x14ac:dyDescent="0.25">
      <c r="C99" t="s">
        <v>145</v>
      </c>
      <c r="D99" s="5">
        <v>51.265107491388534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D489-0897-4C4E-962D-9CD5EBFE806F}">
  <dimension ref="A1:N99"/>
  <sheetViews>
    <sheetView tabSelected="1" zoomScale="88" workbookViewId="0">
      <selection activeCell="D91" sqref="D91"/>
    </sheetView>
  </sheetViews>
  <sheetFormatPr defaultRowHeight="15" x14ac:dyDescent="0.25"/>
  <cols>
    <col min="2" max="2" width="41.42578125" bestFit="1" customWidth="1"/>
    <col min="3" max="7" width="15.28515625" bestFit="1" customWidth="1"/>
    <col min="8" max="9" width="12.7109375" customWidth="1"/>
    <col min="11" max="11" width="14" bestFit="1" customWidth="1"/>
    <col min="13" max="13" width="12.140625" customWidth="1"/>
  </cols>
  <sheetData>
    <row r="1" spans="1:14" x14ac:dyDescent="0.25">
      <c r="A1" t="s">
        <v>12</v>
      </c>
      <c r="B1" t="s">
        <v>50</v>
      </c>
      <c r="C1">
        <v>169.84</v>
      </c>
      <c r="F1" t="s">
        <v>51</v>
      </c>
      <c r="H1" t="s">
        <v>52</v>
      </c>
      <c r="K1" t="s">
        <v>53</v>
      </c>
      <c r="M1" t="s">
        <v>52</v>
      </c>
    </row>
    <row r="2" spans="1:14" x14ac:dyDescent="0.25">
      <c r="B2" t="s">
        <v>54</v>
      </c>
      <c r="E2" t="s">
        <v>55</v>
      </c>
      <c r="F2" s="11">
        <v>279.30411128284391</v>
      </c>
      <c r="G2" s="6">
        <f>(F2-C46)/C46</f>
        <v>0.6445131375579598</v>
      </c>
      <c r="H2" s="11">
        <v>347.8701447518614</v>
      </c>
      <c r="I2" s="6">
        <f>(H2-C46)/C46</f>
        <v>1.04822270814803</v>
      </c>
      <c r="K2" s="11">
        <v>323.40476043276664</v>
      </c>
      <c r="L2" s="6">
        <f>(K2-C46)/C46</f>
        <v>0.90417310664605877</v>
      </c>
      <c r="M2" s="11">
        <v>402.79700971268147</v>
      </c>
      <c r="N2" s="6">
        <f>(M2-C46)/C46</f>
        <v>1.3716262936450863</v>
      </c>
    </row>
    <row r="3" spans="1:14" x14ac:dyDescent="0.25">
      <c r="B3" t="s">
        <v>56</v>
      </c>
      <c r="E3" t="s">
        <v>57</v>
      </c>
      <c r="F3" s="11">
        <v>256.99128284389491</v>
      </c>
      <c r="G3" s="6">
        <f>(F3-C46)/C46</f>
        <v>0.51313755795981453</v>
      </c>
      <c r="H3" s="11">
        <v>320.07976664668445</v>
      </c>
      <c r="I3" s="6">
        <f>(H3-C46)/C46</f>
        <v>0.88459589405725647</v>
      </c>
      <c r="K3" s="11">
        <v>284.29168469860895</v>
      </c>
      <c r="L3" s="6">
        <f>(K3-C46)/C46</f>
        <v>0.67387944358578034</v>
      </c>
      <c r="M3" s="11">
        <v>354.08211162243032</v>
      </c>
      <c r="N3" s="6">
        <f>(M3-C46)/C46</f>
        <v>1.084798113650673</v>
      </c>
    </row>
    <row r="4" spans="1:14" x14ac:dyDescent="0.25">
      <c r="E4" t="s">
        <v>58</v>
      </c>
      <c r="F4" s="11">
        <v>242.55357032457496</v>
      </c>
      <c r="G4" s="6">
        <f>(F4-C46)/C46</f>
        <v>0.42812982998454402</v>
      </c>
      <c r="H4" s="11">
        <v>302.09775728451115</v>
      </c>
      <c r="I4" s="6">
        <f>(H4-C46)/C46</f>
        <v>0.77871972023381497</v>
      </c>
      <c r="K4" s="11">
        <v>258.82880989180836</v>
      </c>
      <c r="L4" s="6">
        <f>(K4-C46)/C46</f>
        <v>0.52395672333848542</v>
      </c>
      <c r="M4" s="11">
        <v>322.3683860200519</v>
      </c>
      <c r="N4" s="6">
        <f>(M4-C46)/C46</f>
        <v>0.89807104345296684</v>
      </c>
    </row>
    <row r="6" spans="1:14" x14ac:dyDescent="0.25">
      <c r="B6" t="s">
        <v>59</v>
      </c>
      <c r="C6" t="s">
        <v>60</v>
      </c>
      <c r="D6" s="1">
        <v>45199</v>
      </c>
      <c r="E6" s="1">
        <v>44834</v>
      </c>
      <c r="F6" s="1">
        <v>44469</v>
      </c>
      <c r="G6" s="1">
        <v>44104</v>
      </c>
    </row>
    <row r="7" spans="1:14" x14ac:dyDescent="0.25">
      <c r="B7" t="s">
        <v>61</v>
      </c>
      <c r="C7" s="2">
        <v>36292000</v>
      </c>
      <c r="D7" s="2">
        <v>35820000</v>
      </c>
      <c r="E7" s="2">
        <v>44200000</v>
      </c>
      <c r="F7" s="2">
        <v>33566000</v>
      </c>
      <c r="G7" s="2">
        <v>23531000</v>
      </c>
    </row>
    <row r="8" spans="1:14" x14ac:dyDescent="0.25">
      <c r="B8" t="s">
        <v>62</v>
      </c>
      <c r="C8" s="2">
        <v>16137000</v>
      </c>
      <c r="D8" s="2">
        <v>15869000</v>
      </c>
      <c r="E8" s="2">
        <v>18635000</v>
      </c>
      <c r="F8" s="2">
        <v>14262000</v>
      </c>
      <c r="G8" s="2">
        <v>9255000</v>
      </c>
    </row>
    <row r="9" spans="1:14" x14ac:dyDescent="0.25">
      <c r="B9" t="s">
        <v>63</v>
      </c>
      <c r="C9" s="2">
        <v>20155000</v>
      </c>
      <c r="D9" s="2">
        <v>19951000</v>
      </c>
      <c r="E9" s="2">
        <v>25565000</v>
      </c>
      <c r="F9" s="2">
        <v>19304000</v>
      </c>
      <c r="G9" s="2">
        <v>14276000</v>
      </c>
    </row>
    <row r="10" spans="1:14" x14ac:dyDescent="0.25">
      <c r="B10" t="s">
        <v>64</v>
      </c>
      <c r="C10" s="2">
        <v>11904000</v>
      </c>
      <c r="D10" s="2">
        <v>12163000</v>
      </c>
      <c r="E10" s="2">
        <v>9705000</v>
      </c>
      <c r="F10" s="2">
        <v>9515000</v>
      </c>
      <c r="G10" s="2">
        <v>8021000</v>
      </c>
    </row>
    <row r="11" spans="1:14" x14ac:dyDescent="0.25">
      <c r="B11" t="s">
        <v>65</v>
      </c>
      <c r="C11" s="2">
        <v>8251000</v>
      </c>
      <c r="D11" s="2">
        <v>7788000</v>
      </c>
      <c r="E11" s="2">
        <v>15860000</v>
      </c>
      <c r="F11" s="2">
        <v>9789000</v>
      </c>
      <c r="G11" s="2">
        <v>6255000</v>
      </c>
    </row>
    <row r="12" spans="1:14" x14ac:dyDescent="0.25">
      <c r="B12" t="s">
        <v>66</v>
      </c>
      <c r="C12" s="2">
        <v>-295000</v>
      </c>
      <c r="D12" s="2">
        <v>-381000</v>
      </c>
      <c r="E12" s="2">
        <v>-399000</v>
      </c>
      <c r="F12" s="2">
        <v>-476000</v>
      </c>
      <c r="G12" s="2">
        <v>-446000</v>
      </c>
    </row>
    <row r="13" spans="1:14" x14ac:dyDescent="0.25">
      <c r="B13" t="s">
        <v>67</v>
      </c>
      <c r="C13" s="2">
        <v>78000</v>
      </c>
      <c r="D13" s="2">
        <v>36000</v>
      </c>
      <c r="E13" s="2">
        <v>-463000</v>
      </c>
      <c r="F13" s="2">
        <v>961000</v>
      </c>
      <c r="G13" s="2">
        <v>-90000</v>
      </c>
    </row>
    <row r="14" spans="1:14" x14ac:dyDescent="0.25">
      <c r="B14" t="s">
        <v>146</v>
      </c>
      <c r="C14" s="2">
        <v>8034000</v>
      </c>
      <c r="D14" s="2">
        <v>7443000</v>
      </c>
      <c r="E14" s="2">
        <v>14998000</v>
      </c>
      <c r="F14" s="2">
        <v>10274000</v>
      </c>
      <c r="G14" s="2">
        <v>5719000</v>
      </c>
    </row>
    <row r="15" spans="1:14" x14ac:dyDescent="0.25">
      <c r="B15" t="s">
        <v>69</v>
      </c>
      <c r="C15" s="2">
        <v>157000</v>
      </c>
      <c r="D15" s="2">
        <v>104000</v>
      </c>
      <c r="E15" s="2">
        <v>2012000</v>
      </c>
      <c r="F15" s="2">
        <v>1231000</v>
      </c>
      <c r="G15" s="2">
        <v>521000</v>
      </c>
    </row>
    <row r="16" spans="1:14" x14ac:dyDescent="0.25">
      <c r="B16" t="s">
        <v>70</v>
      </c>
      <c r="C16" s="2">
        <v>7764000</v>
      </c>
      <c r="D16" s="2">
        <v>7232000</v>
      </c>
      <c r="E16" s="2">
        <v>12936000</v>
      </c>
      <c r="F16" s="2">
        <v>9043000</v>
      </c>
      <c r="G16" s="2">
        <v>5198000</v>
      </c>
    </row>
    <row r="17" spans="2:7" x14ac:dyDescent="0.25">
      <c r="B17" t="s">
        <v>71</v>
      </c>
      <c r="C17" s="2">
        <v>7764000</v>
      </c>
      <c r="D17" s="2">
        <v>7232000</v>
      </c>
      <c r="E17" s="2">
        <v>12936000</v>
      </c>
      <c r="F17" s="2">
        <v>9043000</v>
      </c>
      <c r="G17" s="2">
        <v>5198000</v>
      </c>
    </row>
    <row r="18" spans="2:7" x14ac:dyDescent="0.25">
      <c r="B18" t="s">
        <v>72</v>
      </c>
      <c r="C18" s="2">
        <v>6.47</v>
      </c>
      <c r="D18" s="2">
        <v>6.47</v>
      </c>
      <c r="E18" s="2">
        <v>11.52</v>
      </c>
      <c r="F18" s="2">
        <v>7.99</v>
      </c>
      <c r="G18" s="2">
        <v>4.58</v>
      </c>
    </row>
    <row r="19" spans="2:7" x14ac:dyDescent="0.25">
      <c r="B19" t="s">
        <v>74</v>
      </c>
      <c r="C19" s="2">
        <v>6.42</v>
      </c>
      <c r="D19" s="2">
        <v>6.42</v>
      </c>
      <c r="E19" s="2">
        <v>11.37</v>
      </c>
      <c r="F19" s="2">
        <v>7.87</v>
      </c>
      <c r="G19" s="2">
        <v>4.5199999999999996</v>
      </c>
    </row>
    <row r="20" spans="2:7" x14ac:dyDescent="0.25">
      <c r="B20" t="s">
        <v>75</v>
      </c>
      <c r="C20" s="2">
        <v>1117000</v>
      </c>
      <c r="D20" s="2">
        <v>1117000</v>
      </c>
      <c r="E20" s="2">
        <v>1123000</v>
      </c>
      <c r="F20" s="2">
        <v>1131000</v>
      </c>
      <c r="G20" s="2">
        <v>1135000</v>
      </c>
    </row>
    <row r="21" spans="2:7" x14ac:dyDescent="0.25">
      <c r="B21" t="s">
        <v>76</v>
      </c>
      <c r="C21" s="2">
        <v>1126000</v>
      </c>
      <c r="D21" s="2">
        <v>1126000</v>
      </c>
      <c r="E21" s="2">
        <v>1137000</v>
      </c>
      <c r="F21" s="2">
        <v>1149000</v>
      </c>
      <c r="G21" s="2">
        <v>1149000</v>
      </c>
    </row>
    <row r="22" spans="2:7" x14ac:dyDescent="0.25">
      <c r="B22" t="s">
        <v>77</v>
      </c>
      <c r="C22" s="2">
        <v>28041000</v>
      </c>
      <c r="D22" s="2">
        <v>28032000</v>
      </c>
      <c r="E22" s="2">
        <v>28340000</v>
      </c>
      <c r="F22" s="2">
        <v>23777000</v>
      </c>
      <c r="G22" s="2">
        <v>17276000</v>
      </c>
    </row>
    <row r="23" spans="2:7" x14ac:dyDescent="0.25">
      <c r="B23" t="s">
        <v>78</v>
      </c>
      <c r="C23" s="2">
        <v>7764000</v>
      </c>
      <c r="D23" s="2">
        <v>7232000</v>
      </c>
      <c r="E23" s="2">
        <v>12936000</v>
      </c>
      <c r="F23" s="2">
        <v>9043000</v>
      </c>
      <c r="G23" s="2">
        <v>5198000</v>
      </c>
    </row>
    <row r="24" spans="2:7" x14ac:dyDescent="0.25">
      <c r="B24" t="s">
        <v>79</v>
      </c>
      <c r="C24" s="2">
        <v>7924062</v>
      </c>
      <c r="D24" s="2">
        <v>7388500</v>
      </c>
      <c r="E24" s="2">
        <v>13266140</v>
      </c>
      <c r="F24" s="2">
        <v>8311720</v>
      </c>
      <c r="G24" s="2">
        <v>5303560</v>
      </c>
    </row>
    <row r="25" spans="2:7" x14ac:dyDescent="0.25">
      <c r="B25" t="s">
        <v>80</v>
      </c>
      <c r="C25" s="2">
        <v>8736000</v>
      </c>
      <c r="D25" s="2">
        <v>8137000</v>
      </c>
      <c r="E25" s="2">
        <v>15488000</v>
      </c>
      <c r="F25" s="2">
        <v>10833000</v>
      </c>
      <c r="G25" s="2">
        <v>6321000</v>
      </c>
    </row>
    <row r="26" spans="2:7" x14ac:dyDescent="0.25">
      <c r="B26" t="s">
        <v>81</v>
      </c>
      <c r="C26" s="2">
        <v>10584000</v>
      </c>
      <c r="D26" s="2">
        <v>9946000</v>
      </c>
      <c r="E26" s="2">
        <v>17250000</v>
      </c>
      <c r="F26" s="2">
        <v>12415000</v>
      </c>
      <c r="G26" s="2">
        <v>7714000</v>
      </c>
    </row>
    <row r="27" spans="2:7" x14ac:dyDescent="0.25">
      <c r="B27" t="s">
        <v>82</v>
      </c>
      <c r="C27" s="2">
        <v>52135000</v>
      </c>
      <c r="D27" s="2">
        <v>51040000</v>
      </c>
      <c r="E27" s="2">
        <v>49014000</v>
      </c>
      <c r="F27" s="2">
        <v>41240000</v>
      </c>
      <c r="G27" s="2">
        <v>35594000</v>
      </c>
    </row>
    <row r="28" spans="2:7" x14ac:dyDescent="0.25">
      <c r="B28" t="s">
        <v>83</v>
      </c>
      <c r="C28" s="2">
        <v>29077000</v>
      </c>
      <c r="D28" s="2">
        <v>29459000</v>
      </c>
      <c r="E28" s="2">
        <v>31001000</v>
      </c>
      <c r="F28" s="2">
        <v>31290000</v>
      </c>
      <c r="G28" s="2">
        <v>29517000</v>
      </c>
    </row>
    <row r="29" spans="2:7" x14ac:dyDescent="0.25">
      <c r="B29" t="s">
        <v>84</v>
      </c>
      <c r="C29" s="2">
        <v>23058000</v>
      </c>
      <c r="D29" s="2">
        <v>21581000</v>
      </c>
      <c r="E29" s="2">
        <v>18013000</v>
      </c>
      <c r="F29" s="2">
        <v>9950000</v>
      </c>
      <c r="G29" s="2">
        <v>6077000</v>
      </c>
    </row>
    <row r="30" spans="2:7" x14ac:dyDescent="0.25">
      <c r="B30" t="s">
        <v>85</v>
      </c>
      <c r="C30" s="2">
        <v>37624000</v>
      </c>
      <c r="D30" s="2">
        <v>36065000</v>
      </c>
      <c r="E30" s="2">
        <v>31550000</v>
      </c>
      <c r="F30" s="2">
        <v>23651000</v>
      </c>
      <c r="G30" s="2">
        <v>21303000</v>
      </c>
    </row>
    <row r="31" spans="2:7" x14ac:dyDescent="0.25">
      <c r="B31" t="s">
        <v>86</v>
      </c>
      <c r="C31" s="2">
        <v>23058000</v>
      </c>
      <c r="D31" s="2">
        <v>21581000</v>
      </c>
      <c r="E31" s="2">
        <v>18013000</v>
      </c>
      <c r="F31" s="2">
        <v>9950000</v>
      </c>
      <c r="G31" s="2">
        <v>6077000</v>
      </c>
    </row>
    <row r="32" spans="2:7" x14ac:dyDescent="0.25">
      <c r="B32" t="s">
        <v>87</v>
      </c>
      <c r="C32" s="2"/>
      <c r="D32" s="2"/>
      <c r="E32" s="2"/>
      <c r="F32" s="2"/>
      <c r="G32" s="2"/>
    </row>
    <row r="33" spans="2:7" x14ac:dyDescent="0.25">
      <c r="B33" t="s">
        <v>88</v>
      </c>
      <c r="C33" s="2">
        <v>10949000</v>
      </c>
      <c r="D33" s="2">
        <v>9531000</v>
      </c>
      <c r="E33" s="2">
        <v>5623000</v>
      </c>
      <c r="F33" s="2">
        <v>1246000</v>
      </c>
      <c r="G33" s="2">
        <v>-1899000</v>
      </c>
    </row>
    <row r="34" spans="2:7" x14ac:dyDescent="0.25">
      <c r="B34" t="s">
        <v>89</v>
      </c>
      <c r="C34" s="2">
        <v>14270000</v>
      </c>
      <c r="D34" s="2">
        <v>12836000</v>
      </c>
      <c r="E34" s="2">
        <v>8858000</v>
      </c>
      <c r="F34" s="2">
        <v>8124000</v>
      </c>
      <c r="G34" s="2">
        <v>9847000</v>
      </c>
    </row>
    <row r="35" spans="2:7" x14ac:dyDescent="0.25">
      <c r="B35" t="s">
        <v>90</v>
      </c>
      <c r="C35" s="2">
        <v>38538000</v>
      </c>
      <c r="D35" s="2">
        <v>36979000</v>
      </c>
      <c r="E35" s="2">
        <v>33495000</v>
      </c>
      <c r="F35" s="2">
        <v>25695000</v>
      </c>
      <c r="G35" s="2">
        <v>21803000</v>
      </c>
    </row>
    <row r="36" spans="2:7" x14ac:dyDescent="0.25">
      <c r="B36" t="s">
        <v>91</v>
      </c>
      <c r="C36" s="2">
        <v>10949000</v>
      </c>
      <c r="D36" s="2">
        <v>9531000</v>
      </c>
      <c r="E36" s="2">
        <v>5623000</v>
      </c>
      <c r="F36" s="2">
        <v>1246000</v>
      </c>
      <c r="G36" s="2">
        <v>-1899000</v>
      </c>
    </row>
    <row r="37" spans="2:7" x14ac:dyDescent="0.25">
      <c r="B37" t="s">
        <v>92</v>
      </c>
      <c r="C37" s="2">
        <v>15480000</v>
      </c>
      <c r="D37" s="2">
        <v>15398000</v>
      </c>
      <c r="E37" s="2">
        <v>15482000</v>
      </c>
      <c r="F37" s="2">
        <v>15745000</v>
      </c>
      <c r="G37" s="2">
        <v>15726000</v>
      </c>
    </row>
    <row r="38" spans="2:7" x14ac:dyDescent="0.25">
      <c r="B38" t="s">
        <v>93</v>
      </c>
      <c r="C38" s="2">
        <v>7347000</v>
      </c>
      <c r="D38" s="2">
        <v>6948000</v>
      </c>
      <c r="E38" s="2">
        <v>12709000</v>
      </c>
      <c r="F38" s="2">
        <v>8629000</v>
      </c>
      <c r="G38" s="2">
        <v>9019000</v>
      </c>
    </row>
    <row r="39" spans="2:7" x14ac:dyDescent="0.25">
      <c r="B39" t="s">
        <v>94</v>
      </c>
      <c r="C39" s="2">
        <v>1118000</v>
      </c>
      <c r="D39" s="2">
        <v>1114000</v>
      </c>
      <c r="E39" s="2">
        <v>1121000</v>
      </c>
      <c r="F39" s="2">
        <v>1125000</v>
      </c>
      <c r="G39" s="2">
        <v>1131000</v>
      </c>
    </row>
    <row r="40" spans="2:7" x14ac:dyDescent="0.25">
      <c r="B40" t="s">
        <v>95</v>
      </c>
      <c r="C40" s="2" t="s">
        <v>73</v>
      </c>
      <c r="D40" s="2" t="s">
        <v>73</v>
      </c>
      <c r="E40" s="2" t="s">
        <v>73</v>
      </c>
      <c r="F40" s="2" t="s">
        <v>73</v>
      </c>
      <c r="G40" s="2" t="s">
        <v>73</v>
      </c>
    </row>
    <row r="41" spans="2:7" x14ac:dyDescent="0.25">
      <c r="B41" t="s">
        <v>96</v>
      </c>
      <c r="C41" s="2" t="s">
        <v>73</v>
      </c>
      <c r="D41" s="2" t="s">
        <v>73</v>
      </c>
      <c r="E41" s="2" t="s">
        <v>73</v>
      </c>
      <c r="F41" s="2" t="s">
        <v>73</v>
      </c>
      <c r="G41" s="2" t="s">
        <v>73</v>
      </c>
    </row>
    <row r="42" spans="2:7" x14ac:dyDescent="0.25">
      <c r="B42" t="s">
        <v>97</v>
      </c>
      <c r="C42" s="2">
        <v>-1266000</v>
      </c>
      <c r="D42" s="2">
        <v>-1450000</v>
      </c>
      <c r="E42" s="2">
        <v>-2262000</v>
      </c>
      <c r="F42" s="2">
        <v>-1888000</v>
      </c>
      <c r="G42" s="2">
        <v>-1407000</v>
      </c>
    </row>
    <row r="43" spans="2:7" x14ac:dyDescent="0.25">
      <c r="B43" t="s">
        <v>98</v>
      </c>
      <c r="C43" s="3">
        <v>9887000</v>
      </c>
      <c r="D43" s="3">
        <v>9849000</v>
      </c>
      <c r="E43" s="3">
        <v>6834000</v>
      </c>
      <c r="F43" s="3">
        <v>8648000</v>
      </c>
      <c r="G43" s="3">
        <v>4407000</v>
      </c>
    </row>
    <row r="44" spans="2:7" x14ac:dyDescent="0.25">
      <c r="B44" t="s">
        <v>147</v>
      </c>
      <c r="C44" s="2">
        <f>C20*(0.8*4)</f>
        <v>3574400</v>
      </c>
      <c r="D44" s="2">
        <f>D20*(0.8*2+0.75*2)</f>
        <v>3462700</v>
      </c>
      <c r="E44" s="2">
        <f>E20*(0.68*2+0.75*2)</f>
        <v>3211780.0000000005</v>
      </c>
      <c r="F44" s="2">
        <f>F20*(0.68*2+0.65*2)</f>
        <v>3008460</v>
      </c>
      <c r="G44" s="2">
        <f>G20*(0.62*2+0.65*2)</f>
        <v>2882900</v>
      </c>
    </row>
    <row r="46" spans="2:7" x14ac:dyDescent="0.25">
      <c r="B46" t="s">
        <v>100</v>
      </c>
      <c r="C46">
        <v>169.84</v>
      </c>
      <c r="D46">
        <v>111.06</v>
      </c>
      <c r="E46">
        <v>112.98</v>
      </c>
      <c r="F46">
        <v>128.97999999999999</v>
      </c>
      <c r="G46">
        <v>117.68</v>
      </c>
    </row>
    <row r="48" spans="2:7" x14ac:dyDescent="0.25">
      <c r="B48" t="s">
        <v>101</v>
      </c>
      <c r="C48" s="19">
        <f>C16/C29</f>
        <v>0.33671610720791051</v>
      </c>
      <c r="D48" s="19">
        <f>D16/D29</f>
        <v>0.33510958713683331</v>
      </c>
      <c r="E48" s="19">
        <f>E16/E29</f>
        <v>0.71814800421917502</v>
      </c>
      <c r="F48" s="19">
        <f>F16/F29</f>
        <v>0.90884422110552765</v>
      </c>
      <c r="G48" s="19">
        <f>G16/G29</f>
        <v>0.8553562613131479</v>
      </c>
    </row>
    <row r="49" spans="2:7" x14ac:dyDescent="0.25">
      <c r="B49" t="s">
        <v>102</v>
      </c>
      <c r="C49" s="5">
        <f>C16/C14</f>
        <v>0.9663928304705004</v>
      </c>
      <c r="D49" s="5">
        <f>D16/D14</f>
        <v>0.9716512159075642</v>
      </c>
      <c r="E49" s="5">
        <f>E16/E14</f>
        <v>0.86251500200026665</v>
      </c>
      <c r="F49" s="5">
        <f>F16/F14</f>
        <v>0.8801829861787035</v>
      </c>
      <c r="G49" s="5">
        <f>G16/G14</f>
        <v>0.9089001573701696</v>
      </c>
    </row>
    <row r="50" spans="2:7" x14ac:dyDescent="0.25">
      <c r="B50" t="s">
        <v>103</v>
      </c>
      <c r="C50" s="5">
        <f>C14/C25</f>
        <v>0.9196428571428571</v>
      </c>
      <c r="D50" s="5">
        <f>D14/D25</f>
        <v>0.91471058129531768</v>
      </c>
      <c r="E50" s="5">
        <f>E14/E25</f>
        <v>0.96836260330578516</v>
      </c>
      <c r="F50" s="5">
        <f>F14/F25</f>
        <v>0.9483984122588387</v>
      </c>
      <c r="G50" s="5">
        <f>G14/G25</f>
        <v>0.90476190476190477</v>
      </c>
    </row>
    <row r="51" spans="2:7" x14ac:dyDescent="0.25">
      <c r="B51" t="s">
        <v>104</v>
      </c>
      <c r="C51" s="19">
        <f>C25/C7</f>
        <v>0.24071420698776591</v>
      </c>
      <c r="D51" s="19">
        <f>D25/D7</f>
        <v>0.22716359575656059</v>
      </c>
      <c r="E51" s="19">
        <f>E25/E7</f>
        <v>0.35040723981900451</v>
      </c>
      <c r="F51" s="19">
        <f>F25/F7</f>
        <v>0.3227372936900435</v>
      </c>
      <c r="G51" s="19">
        <f>G25/G7</f>
        <v>0.2686243678551698</v>
      </c>
    </row>
    <row r="52" spans="2:7" x14ac:dyDescent="0.25">
      <c r="B52" t="s">
        <v>105</v>
      </c>
      <c r="C52" s="5">
        <f>C7/C27</f>
        <v>0.69611585307375079</v>
      </c>
      <c r="D52" s="5">
        <f>D7/D27</f>
        <v>0.70180250783699061</v>
      </c>
      <c r="E52" s="5">
        <f>E7/E27</f>
        <v>0.90178316399396086</v>
      </c>
      <c r="F52" s="5">
        <f>F7/F27</f>
        <v>0.81391852570320078</v>
      </c>
      <c r="G52" s="5">
        <f>G7/G27</f>
        <v>0.66109456649997189</v>
      </c>
    </row>
    <row r="53" spans="2:7" x14ac:dyDescent="0.25">
      <c r="B53" t="s">
        <v>106</v>
      </c>
      <c r="C53" s="5">
        <f>C27/C29</f>
        <v>2.2610373839882039</v>
      </c>
      <c r="D53" s="5">
        <f>D27/D29</f>
        <v>2.3650433251471203</v>
      </c>
      <c r="E53" s="5">
        <f>E27/E29</f>
        <v>2.7210348081940818</v>
      </c>
      <c r="F53" s="5">
        <f>F27/F29</f>
        <v>4.1447236180904525</v>
      </c>
      <c r="G53" s="5">
        <f>G27/G29</f>
        <v>5.8571663649827217</v>
      </c>
    </row>
    <row r="54" spans="2:7" x14ac:dyDescent="0.25">
      <c r="B54" t="s">
        <v>107</v>
      </c>
      <c r="C54" s="19">
        <f>C49*C50*C51*C53*C52</f>
        <v>0.33671610720791051</v>
      </c>
      <c r="D54" s="19">
        <f>D49*D50*D51*D53*D52</f>
        <v>0.33510958713683336</v>
      </c>
      <c r="E54" s="19">
        <f t="shared" ref="E54:G54" si="0">E49*E50*E51*E53*E52</f>
        <v>0.71814800421917491</v>
      </c>
      <c r="F54" s="19">
        <f t="shared" si="0"/>
        <v>0.90884422110552754</v>
      </c>
      <c r="G54" s="19">
        <f t="shared" si="0"/>
        <v>0.85535626131314801</v>
      </c>
    </row>
    <row r="55" spans="2:7" x14ac:dyDescent="0.25">
      <c r="B55" t="s">
        <v>108</v>
      </c>
      <c r="C55" s="19">
        <f>C25/C27</f>
        <v>0.16756497554426009</v>
      </c>
      <c r="D55" s="19">
        <f>D25/D27</f>
        <v>0.15942398119122256</v>
      </c>
      <c r="E55" s="19">
        <f t="shared" ref="E55:G55" si="1">E25/E27</f>
        <v>0.31599134941037255</v>
      </c>
      <c r="F55" s="19">
        <f t="shared" si="1"/>
        <v>0.26268186226964113</v>
      </c>
      <c r="G55" s="19">
        <f t="shared" si="1"/>
        <v>0.17758611001854246</v>
      </c>
    </row>
    <row r="56" spans="2:7" x14ac:dyDescent="0.25">
      <c r="B56" t="s">
        <v>109</v>
      </c>
      <c r="C56" s="39">
        <f>C44/C20</f>
        <v>3.2</v>
      </c>
      <c r="D56" s="39">
        <f t="shared" ref="D56:G56" si="2">D44/D20</f>
        <v>3.1</v>
      </c>
      <c r="E56" s="39">
        <f t="shared" si="2"/>
        <v>2.8600000000000003</v>
      </c>
      <c r="F56" s="39">
        <f t="shared" si="2"/>
        <v>2.66</v>
      </c>
      <c r="G56" s="39">
        <f t="shared" si="2"/>
        <v>2.54</v>
      </c>
    </row>
    <row r="57" spans="2:7" x14ac:dyDescent="0.25">
      <c r="B57" t="s">
        <v>110</v>
      </c>
      <c r="C57" s="19">
        <f>(C16-C44)/C16</f>
        <v>0.53961875321998964</v>
      </c>
      <c r="D57" s="19">
        <f t="shared" ref="D57:G57" si="3">(D16-D44)/D16</f>
        <v>0.52119745575221244</v>
      </c>
      <c r="E57" s="19">
        <f t="shared" si="3"/>
        <v>0.75171768707482989</v>
      </c>
      <c r="F57" s="19">
        <f t="shared" si="3"/>
        <v>0.66731615614287298</v>
      </c>
      <c r="G57" s="19">
        <f t="shared" si="3"/>
        <v>0.44538283955367447</v>
      </c>
    </row>
    <row r="58" spans="2:7" x14ac:dyDescent="0.25">
      <c r="B58" t="s">
        <v>111</v>
      </c>
      <c r="C58" s="4">
        <f>C57*C48</f>
        <v>0.18169832596062105</v>
      </c>
      <c r="D58" s="4">
        <f t="shared" ref="D58:G58" si="4">D57*D48</f>
        <v>0.17465826421389186</v>
      </c>
      <c r="E58" s="4">
        <f t="shared" si="4"/>
        <v>0.53984455670904341</v>
      </c>
      <c r="F58" s="4">
        <f t="shared" si="4"/>
        <v>0.60648643216080411</v>
      </c>
      <c r="G58" s="4">
        <f t="shared" si="4"/>
        <v>0.3809610004936646</v>
      </c>
    </row>
    <row r="60" spans="2:7" x14ac:dyDescent="0.25">
      <c r="B60" t="s">
        <v>112</v>
      </c>
      <c r="C60" s="5">
        <f>C46/C18</f>
        <v>26.250386398763524</v>
      </c>
      <c r="D60" s="5">
        <f>D46/D18</f>
        <v>17.165378670788254</v>
      </c>
      <c r="E60" s="5">
        <f>E46/E18</f>
        <v>9.8072916666666679</v>
      </c>
      <c r="F60" s="5">
        <f>F46/F18</f>
        <v>16.142678347934918</v>
      </c>
      <c r="G60" s="5">
        <f>G46/G18</f>
        <v>25.694323144104803</v>
      </c>
    </row>
    <row r="61" spans="2:7" x14ac:dyDescent="0.25">
      <c r="B61" t="s">
        <v>113</v>
      </c>
      <c r="C61" s="5">
        <f>SUM(C60:E60)/3</f>
        <v>17.741018912072818</v>
      </c>
      <c r="D61" s="5"/>
      <c r="E61" s="5"/>
      <c r="F61" s="5"/>
      <c r="G61" s="5"/>
    </row>
    <row r="62" spans="2:7" x14ac:dyDescent="0.25">
      <c r="C62" s="5"/>
      <c r="D62" s="5"/>
      <c r="E62" s="5"/>
      <c r="F62" s="5"/>
      <c r="G62" s="5"/>
    </row>
    <row r="63" spans="2:7" x14ac:dyDescent="0.25">
      <c r="B63" t="s">
        <v>114</v>
      </c>
      <c r="C63" s="5">
        <f>C29/C20</f>
        <v>20.642793196060879</v>
      </c>
      <c r="D63" s="5">
        <f t="shared" ref="D63:G63" si="5">D29/D20</f>
        <v>19.320501342882721</v>
      </c>
      <c r="E63" s="5">
        <f t="shared" si="5"/>
        <v>16.04007123775601</v>
      </c>
      <c r="F63" s="5">
        <f t="shared" si="5"/>
        <v>8.7975243147656936</v>
      </c>
      <c r="G63" s="5">
        <f t="shared" si="5"/>
        <v>5.3541850220264315</v>
      </c>
    </row>
    <row r="64" spans="2:7" x14ac:dyDescent="0.25">
      <c r="B64" t="s">
        <v>116</v>
      </c>
      <c r="C64" s="5">
        <f>C46/C63</f>
        <v>8.2275687396998869</v>
      </c>
      <c r="D64" s="5">
        <f t="shared" ref="D64:G64" si="6">D46/D63</f>
        <v>5.7482980399425418</v>
      </c>
      <c r="E64" s="5">
        <f t="shared" si="6"/>
        <v>7.0436096152778553</v>
      </c>
      <c r="F64" s="5">
        <f t="shared" si="6"/>
        <v>14.660942713567838</v>
      </c>
      <c r="G64" s="5">
        <f t="shared" si="6"/>
        <v>21.979068619384567</v>
      </c>
    </row>
    <row r="66" spans="2:8" x14ac:dyDescent="0.25">
      <c r="B66" t="s">
        <v>117</v>
      </c>
      <c r="C66" s="6">
        <f>C68+C67*(C69-C68)</f>
        <v>0.179396</v>
      </c>
    </row>
    <row r="67" spans="2:8" x14ac:dyDescent="0.25">
      <c r="B67" t="s">
        <v>118</v>
      </c>
      <c r="C67" s="7">
        <v>1.34</v>
      </c>
    </row>
    <row r="68" spans="2:8" x14ac:dyDescent="0.25">
      <c r="B68" t="s">
        <v>119</v>
      </c>
      <c r="C68" s="8">
        <v>4.5530000000000001E-2</v>
      </c>
    </row>
    <row r="69" spans="2:8" x14ac:dyDescent="0.25">
      <c r="B69" t="s">
        <v>120</v>
      </c>
      <c r="C69" s="8">
        <v>0.14543</v>
      </c>
    </row>
    <row r="71" spans="2:8" x14ac:dyDescent="0.25">
      <c r="D71" t="s">
        <v>121</v>
      </c>
      <c r="E71" t="s">
        <v>122</v>
      </c>
      <c r="F71" t="s">
        <v>123</v>
      </c>
      <c r="G71" t="s">
        <v>124</v>
      </c>
    </row>
    <row r="72" spans="2:8" x14ac:dyDescent="0.25">
      <c r="C72" t="s">
        <v>125</v>
      </c>
      <c r="D72" s="9">
        <v>10.64</v>
      </c>
      <c r="E72" s="10">
        <f>$C$61*D72</f>
        <v>188.7644412244548</v>
      </c>
      <c r="F72" s="11">
        <f>$C$60*D72</f>
        <v>279.30411128284391</v>
      </c>
      <c r="G72" s="11">
        <v>347.8701447518614</v>
      </c>
    </row>
    <row r="73" spans="2:8" x14ac:dyDescent="0.25">
      <c r="C73" t="s">
        <v>126</v>
      </c>
      <c r="D73" s="9">
        <v>9.7899999999999991</v>
      </c>
      <c r="E73" s="10">
        <f>$C$61*D73</f>
        <v>173.68457514919288</v>
      </c>
      <c r="F73" s="11">
        <f t="shared" ref="F73:F78" si="7">$C$60*D73</f>
        <v>256.99128284389491</v>
      </c>
      <c r="G73" s="11">
        <v>320.07976664668445</v>
      </c>
    </row>
    <row r="74" spans="2:8" x14ac:dyDescent="0.25">
      <c r="C74" t="s">
        <v>127</v>
      </c>
      <c r="D74" s="9">
        <v>9.24</v>
      </c>
      <c r="E74" s="10">
        <f>$C$61*D74</f>
        <v>163.92701474755285</v>
      </c>
      <c r="F74" s="11">
        <f t="shared" si="7"/>
        <v>242.55357032457496</v>
      </c>
      <c r="G74" s="11">
        <v>302.09775728451115</v>
      </c>
    </row>
    <row r="75" spans="2:8" x14ac:dyDescent="0.25">
      <c r="D75" s="9"/>
      <c r="E75" s="10"/>
      <c r="F75" s="11"/>
      <c r="G75" s="11"/>
    </row>
    <row r="76" spans="2:8" x14ac:dyDescent="0.25">
      <c r="C76" t="s">
        <v>128</v>
      </c>
      <c r="D76" s="9">
        <v>12.32</v>
      </c>
      <c r="E76" s="10">
        <f>$C$61*D76</f>
        <v>218.56935299673711</v>
      </c>
      <c r="F76" s="11">
        <f t="shared" si="7"/>
        <v>323.40476043276664</v>
      </c>
      <c r="G76" s="11">
        <v>402.79700971268147</v>
      </c>
    </row>
    <row r="77" spans="2:8" x14ac:dyDescent="0.25">
      <c r="C77" t="s">
        <v>129</v>
      </c>
      <c r="D77" s="9">
        <v>10.83</v>
      </c>
      <c r="E77" s="10">
        <f>$C$61*D77</f>
        <v>192.13523481774862</v>
      </c>
      <c r="F77" s="11">
        <f t="shared" si="7"/>
        <v>284.29168469860895</v>
      </c>
      <c r="G77" s="11">
        <v>354.08211162243032</v>
      </c>
    </row>
    <row r="78" spans="2:8" x14ac:dyDescent="0.25">
      <c r="C78" t="s">
        <v>130</v>
      </c>
      <c r="D78" s="9">
        <v>9.86</v>
      </c>
      <c r="E78" s="10">
        <f>$C$61*D78</f>
        <v>174.92644647303797</v>
      </c>
      <c r="F78" s="11">
        <f t="shared" si="7"/>
        <v>258.82880989180836</v>
      </c>
      <c r="G78" s="11">
        <v>322.3683860200519</v>
      </c>
    </row>
    <row r="79" spans="2:8" ht="15.75" thickBot="1" x14ac:dyDescent="0.3"/>
    <row r="80" spans="2:8" x14ac:dyDescent="0.25">
      <c r="B80" t="s">
        <v>131</v>
      </c>
      <c r="C80" s="23" t="s">
        <v>132</v>
      </c>
      <c r="D80" s="52">
        <v>9.86</v>
      </c>
      <c r="E80" s="41"/>
      <c r="F80" s="41"/>
      <c r="G80" s="41"/>
      <c r="H80" s="42"/>
    </row>
    <row r="81" spans="2:8" x14ac:dyDescent="0.25">
      <c r="B81" t="s">
        <v>133</v>
      </c>
      <c r="C81" s="43" t="s">
        <v>134</v>
      </c>
      <c r="D81" s="44">
        <v>8.3400000000000002E-2</v>
      </c>
      <c r="E81" t="s">
        <v>148</v>
      </c>
      <c r="H81" s="45"/>
    </row>
    <row r="82" spans="2:8" x14ac:dyDescent="0.25">
      <c r="C82" s="43" t="s">
        <v>135</v>
      </c>
      <c r="D82" s="5">
        <v>5</v>
      </c>
      <c r="H82" s="45"/>
    </row>
    <row r="83" spans="2:8" x14ac:dyDescent="0.25">
      <c r="C83" s="43" t="s">
        <v>136</v>
      </c>
      <c r="D83" s="46">
        <v>0.08</v>
      </c>
      <c r="H83" s="45"/>
    </row>
    <row r="84" spans="2:8" x14ac:dyDescent="0.25">
      <c r="C84" s="43" t="s">
        <v>137</v>
      </c>
      <c r="D84" s="6">
        <f>C69</f>
        <v>0.14543</v>
      </c>
      <c r="H84" s="45"/>
    </row>
    <row r="85" spans="2:8" x14ac:dyDescent="0.25">
      <c r="C85" s="43"/>
      <c r="H85" s="45"/>
    </row>
    <row r="86" spans="2:8" x14ac:dyDescent="0.25">
      <c r="C86" s="43" t="s">
        <v>138</v>
      </c>
      <c r="D86">
        <v>1</v>
      </c>
      <c r="E86">
        <v>2</v>
      </c>
      <c r="F86">
        <v>3</v>
      </c>
      <c r="G86">
        <v>4</v>
      </c>
      <c r="H86" s="45">
        <v>5</v>
      </c>
    </row>
    <row r="87" spans="2:8" x14ac:dyDescent="0.25">
      <c r="C87" s="43" t="s">
        <v>139</v>
      </c>
      <c r="D87" s="10">
        <f>$D$80*(1+$D$81)</f>
        <v>10.682323999999998</v>
      </c>
      <c r="E87" s="10">
        <f t="shared" ref="E87:H87" si="8">$D$80*(1+$D$81)</f>
        <v>10.682323999999998</v>
      </c>
      <c r="F87" s="10">
        <f t="shared" si="8"/>
        <v>10.682323999999998</v>
      </c>
      <c r="G87" s="10">
        <f t="shared" si="8"/>
        <v>10.682323999999998</v>
      </c>
      <c r="H87" s="47">
        <f t="shared" si="8"/>
        <v>10.682323999999998</v>
      </c>
    </row>
    <row r="88" spans="2:8" x14ac:dyDescent="0.25">
      <c r="C88" s="43" t="s">
        <v>140</v>
      </c>
      <c r="D88" s="10">
        <f>D87*($D$89)^D86</f>
        <v>9.3260382563753339</v>
      </c>
      <c r="E88" s="10">
        <f t="shared" ref="E88:H88" si="9">E87*($D$89)^E86</f>
        <v>8.1419539006096695</v>
      </c>
      <c r="F88" s="10">
        <f t="shared" si="9"/>
        <v>7.1082073113238433</v>
      </c>
      <c r="G88" s="10">
        <f t="shared" si="9"/>
        <v>6.2057107909901461</v>
      </c>
      <c r="H88" s="47">
        <f t="shared" si="9"/>
        <v>5.4178001195971346</v>
      </c>
    </row>
    <row r="89" spans="2:8" x14ac:dyDescent="0.25">
      <c r="C89" s="43" t="s">
        <v>141</v>
      </c>
      <c r="D89" s="15">
        <f>1/(1+D84)</f>
        <v>0.8730345808997495</v>
      </c>
      <c r="H89" s="45"/>
    </row>
    <row r="90" spans="2:8" x14ac:dyDescent="0.25">
      <c r="C90" s="43"/>
      <c r="D90" s="15">
        <f>SUM(D88:H88)</f>
        <v>36.199710378896128</v>
      </c>
      <c r="H90" s="45"/>
    </row>
    <row r="91" spans="2:8" ht="15.75" thickBot="1" x14ac:dyDescent="0.3">
      <c r="C91" s="48" t="s">
        <v>142</v>
      </c>
      <c r="D91" s="49">
        <f>(D90+H88*D89)/(1-D89)</f>
        <v>322.3683860200519</v>
      </c>
      <c r="E91" s="50"/>
      <c r="F91" s="50"/>
      <c r="G91" s="50"/>
      <c r="H91" s="51"/>
    </row>
    <row r="93" spans="2:8" x14ac:dyDescent="0.25">
      <c r="B93">
        <v>2024</v>
      </c>
      <c r="C93" t="s">
        <v>143</v>
      </c>
      <c r="D93" s="5">
        <v>347.8701447518614</v>
      </c>
    </row>
    <row r="94" spans="2:8" x14ac:dyDescent="0.25">
      <c r="C94" t="s">
        <v>144</v>
      </c>
      <c r="D94" s="5">
        <v>320.07976664668445</v>
      </c>
    </row>
    <row r="95" spans="2:8" x14ac:dyDescent="0.25">
      <c r="C95" t="s">
        <v>145</v>
      </c>
      <c r="D95" s="5">
        <v>302.09775728451115</v>
      </c>
    </row>
    <row r="96" spans="2:8" x14ac:dyDescent="0.25">
      <c r="D96" s="5"/>
    </row>
    <row r="97" spans="2:4" x14ac:dyDescent="0.25">
      <c r="B97">
        <v>2025</v>
      </c>
      <c r="C97" t="s">
        <v>143</v>
      </c>
      <c r="D97" s="5">
        <v>402.79700971268147</v>
      </c>
    </row>
    <row r="98" spans="2:4" x14ac:dyDescent="0.25">
      <c r="C98" t="s">
        <v>144</v>
      </c>
      <c r="D98" s="5">
        <v>354.08211162243032</v>
      </c>
    </row>
    <row r="99" spans="2:4" x14ac:dyDescent="0.25">
      <c r="C99" t="s">
        <v>145</v>
      </c>
      <c r="D99" s="5">
        <v>322.3683860200519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AF2-774B-4A2B-90B6-2B8B485BEFB4}">
  <dimension ref="A1:N99"/>
  <sheetViews>
    <sheetView topLeftCell="A67" workbookViewId="0">
      <selection activeCell="M8" sqref="M8"/>
    </sheetView>
  </sheetViews>
  <sheetFormatPr defaultRowHeight="15" x14ac:dyDescent="0.25"/>
  <cols>
    <col min="1" max="1" width="5.5703125" bestFit="1" customWidth="1"/>
    <col min="2" max="2" width="50" bestFit="1" customWidth="1"/>
    <col min="3" max="3" width="18.5703125" style="15" bestFit="1" customWidth="1"/>
    <col min="4" max="7" width="15.28515625" bestFit="1" customWidth="1"/>
    <col min="8" max="8" width="9.85546875" bestFit="1" customWidth="1"/>
    <col min="9" max="9" width="7.140625" bestFit="1" customWidth="1"/>
    <col min="11" max="11" width="13.7109375" bestFit="1" customWidth="1"/>
    <col min="12" max="12" width="7.140625" bestFit="1" customWidth="1"/>
    <col min="13" max="13" width="9.85546875" bestFit="1" customWidth="1"/>
    <col min="14" max="14" width="7.140625" bestFit="1" customWidth="1"/>
  </cols>
  <sheetData>
    <row r="1" spans="1:14" x14ac:dyDescent="0.25">
      <c r="A1" t="s">
        <v>13</v>
      </c>
      <c r="B1" t="s">
        <v>50</v>
      </c>
      <c r="C1" s="14">
        <v>413.64</v>
      </c>
      <c r="F1" t="s">
        <v>51</v>
      </c>
      <c r="H1" t="s">
        <v>52</v>
      </c>
      <c r="K1" t="s">
        <v>53</v>
      </c>
      <c r="M1" t="s">
        <v>52</v>
      </c>
    </row>
    <row r="2" spans="1:14" x14ac:dyDescent="0.25">
      <c r="B2" t="s">
        <v>54</v>
      </c>
      <c r="C2" s="15">
        <f>C1*0.0068</f>
        <v>2.8127519999999997</v>
      </c>
      <c r="E2" t="s">
        <v>55</v>
      </c>
      <c r="F2" s="11">
        <v>459.8</v>
      </c>
      <c r="G2" s="6">
        <f>(F2-C46)/C46</f>
        <v>0.11159462334397066</v>
      </c>
      <c r="H2" s="11">
        <v>483.44424300867882</v>
      </c>
      <c r="I2" s="6">
        <f>(H2-C46)/C46</f>
        <v>0.16875602700096423</v>
      </c>
      <c r="K2" s="11">
        <v>544.78</v>
      </c>
      <c r="L2" s="6">
        <f>(K2-C46)/C46</f>
        <v>0.31703897108596846</v>
      </c>
      <c r="M2" s="11">
        <v>572.7936740597878</v>
      </c>
      <c r="N2" s="6">
        <f>(M2-C46)/C46</f>
        <v>0.38476374156219861</v>
      </c>
    </row>
    <row r="3" spans="1:14" x14ac:dyDescent="0.25">
      <c r="B3" t="s">
        <v>56</v>
      </c>
      <c r="E3" t="s">
        <v>57</v>
      </c>
      <c r="F3" s="11">
        <v>441.59</v>
      </c>
      <c r="G3" s="6">
        <f>(F3-C46)/C46</f>
        <v>6.7570834542113892E-2</v>
      </c>
      <c r="H3" s="11">
        <v>464.29793635486982</v>
      </c>
      <c r="I3" s="6">
        <f>(H3-C46)/C46</f>
        <v>0.12246865959498558</v>
      </c>
      <c r="K3" s="11">
        <v>507.22</v>
      </c>
      <c r="L3" s="6">
        <f>(K3-C46)/C46</f>
        <v>0.22623537375495612</v>
      </c>
      <c r="M3" s="11">
        <v>533.30441658630662</v>
      </c>
      <c r="N3" s="6">
        <f>(M3-C46)/C46</f>
        <v>0.28929604628736738</v>
      </c>
    </row>
    <row r="4" spans="1:14" x14ac:dyDescent="0.25">
      <c r="E4" t="s">
        <v>58</v>
      </c>
      <c r="F4" s="11">
        <v>432.49</v>
      </c>
      <c r="G4" s="6">
        <f>(F4-C46)/C46</f>
        <v>4.5571027947007119E-2</v>
      </c>
      <c r="H4" s="11">
        <v>454.72478302796526</v>
      </c>
      <c r="I4" s="6">
        <f>(H4-C46)/C46</f>
        <v>9.9324975891996112E-2</v>
      </c>
      <c r="K4" s="11">
        <v>475.73</v>
      </c>
      <c r="L4" s="6">
        <f>(K4-C46)/C46</f>
        <v>0.15010637269122917</v>
      </c>
      <c r="M4" s="11">
        <v>500.19726133076176</v>
      </c>
      <c r="N4" s="6">
        <f>(M4-C46)/C46</f>
        <v>0.20925747348119567</v>
      </c>
    </row>
    <row r="6" spans="1:14" x14ac:dyDescent="0.25">
      <c r="B6" t="s">
        <v>59</v>
      </c>
      <c r="C6" s="15" t="s">
        <v>60</v>
      </c>
      <c r="D6" s="1">
        <v>45107</v>
      </c>
      <c r="E6" s="1">
        <v>44742</v>
      </c>
      <c r="F6" s="1">
        <v>44377</v>
      </c>
      <c r="G6" s="1">
        <v>44012</v>
      </c>
    </row>
    <row r="7" spans="1:14" x14ac:dyDescent="0.25">
      <c r="B7" t="s">
        <v>61</v>
      </c>
      <c r="C7" s="16">
        <v>227583000</v>
      </c>
      <c r="D7" s="16">
        <v>211915000</v>
      </c>
      <c r="E7" s="16">
        <v>198270000</v>
      </c>
      <c r="F7" s="16">
        <v>168088000</v>
      </c>
      <c r="G7" s="16">
        <v>143015000</v>
      </c>
    </row>
    <row r="8" spans="1:14" x14ac:dyDescent="0.25">
      <c r="B8" t="s">
        <v>62</v>
      </c>
      <c r="C8" s="16">
        <v>68848000</v>
      </c>
      <c r="D8" s="16">
        <v>65863000</v>
      </c>
      <c r="E8" s="16">
        <v>62650000</v>
      </c>
      <c r="F8" s="16">
        <v>52232000</v>
      </c>
      <c r="G8" s="16">
        <v>46078000</v>
      </c>
    </row>
    <row r="9" spans="1:14" x14ac:dyDescent="0.25">
      <c r="B9" t="s">
        <v>63</v>
      </c>
      <c r="C9" s="16">
        <v>158735000</v>
      </c>
      <c r="D9" s="16">
        <v>146052000</v>
      </c>
      <c r="E9" s="16">
        <v>135620000</v>
      </c>
      <c r="F9" s="16">
        <v>115856000</v>
      </c>
      <c r="G9" s="16">
        <v>96937000</v>
      </c>
    </row>
    <row r="10" spans="1:14" x14ac:dyDescent="0.25">
      <c r="B10" t="s">
        <v>64</v>
      </c>
      <c r="C10" s="16">
        <v>58202000</v>
      </c>
      <c r="D10" s="16">
        <v>57529000</v>
      </c>
      <c r="E10" s="16">
        <v>52237000</v>
      </c>
      <c r="F10" s="16">
        <v>45940000</v>
      </c>
      <c r="G10" s="16">
        <v>43978000</v>
      </c>
    </row>
    <row r="11" spans="1:14" x14ac:dyDescent="0.25">
      <c r="B11" t="s">
        <v>65</v>
      </c>
      <c r="C11" s="16">
        <v>100533000</v>
      </c>
      <c r="D11" s="16">
        <v>88523000</v>
      </c>
      <c r="E11" s="16">
        <v>83383000</v>
      </c>
      <c r="F11" s="16">
        <v>69916000</v>
      </c>
      <c r="G11" s="16">
        <v>52959000</v>
      </c>
    </row>
    <row r="12" spans="1:14" x14ac:dyDescent="0.25">
      <c r="B12" t="s">
        <v>66</v>
      </c>
      <c r="C12" s="16">
        <v>1141000</v>
      </c>
      <c r="D12" s="16">
        <v>1026000</v>
      </c>
      <c r="E12" s="16">
        <v>31000</v>
      </c>
      <c r="F12" s="16">
        <v>-215000</v>
      </c>
      <c r="G12" s="16">
        <v>89000</v>
      </c>
    </row>
    <row r="13" spans="1:14" x14ac:dyDescent="0.25">
      <c r="B13" t="s">
        <v>67</v>
      </c>
      <c r="C13" s="16">
        <v>-464000</v>
      </c>
      <c r="D13" s="16">
        <v>-238000</v>
      </c>
      <c r="E13" s="16">
        <v>302000</v>
      </c>
      <c r="F13" s="16">
        <v>1401000</v>
      </c>
      <c r="G13" s="16">
        <v>-12000</v>
      </c>
    </row>
    <row r="14" spans="1:14" x14ac:dyDescent="0.25">
      <c r="B14" t="s">
        <v>68</v>
      </c>
      <c r="C14" s="16">
        <v>101210000</v>
      </c>
      <c r="D14" s="16">
        <v>89311000</v>
      </c>
      <c r="E14" s="16">
        <v>83716000</v>
      </c>
      <c r="F14" s="16">
        <v>71102000</v>
      </c>
      <c r="G14" s="16">
        <v>53036000</v>
      </c>
    </row>
    <row r="15" spans="1:14" x14ac:dyDescent="0.25">
      <c r="B15" t="s">
        <v>69</v>
      </c>
      <c r="C15" s="16">
        <v>18669000</v>
      </c>
      <c r="D15" s="16">
        <v>16950000</v>
      </c>
      <c r="E15" s="16">
        <v>10978000</v>
      </c>
      <c r="F15" s="16">
        <v>9831000</v>
      </c>
      <c r="G15" s="16">
        <v>8755000</v>
      </c>
    </row>
    <row r="16" spans="1:14" x14ac:dyDescent="0.25">
      <c r="B16" t="s">
        <v>70</v>
      </c>
      <c r="C16" s="16">
        <v>82541000</v>
      </c>
      <c r="D16" s="16">
        <v>72361000</v>
      </c>
      <c r="E16" s="16">
        <v>72738000</v>
      </c>
      <c r="F16" s="16">
        <v>61271000</v>
      </c>
      <c r="G16" s="16">
        <v>44281000</v>
      </c>
    </row>
    <row r="17" spans="2:9" x14ac:dyDescent="0.25">
      <c r="B17" t="s">
        <v>71</v>
      </c>
      <c r="C17" s="16">
        <v>82541000</v>
      </c>
      <c r="D17" s="16">
        <v>72361000</v>
      </c>
      <c r="E17" s="16">
        <v>72738000</v>
      </c>
      <c r="F17" s="16">
        <v>61271000</v>
      </c>
      <c r="G17" s="16">
        <v>44281000</v>
      </c>
    </row>
    <row r="18" spans="2:9" x14ac:dyDescent="0.25">
      <c r="B18" t="s">
        <v>72</v>
      </c>
      <c r="C18" s="16">
        <v>10.37</v>
      </c>
      <c r="D18" s="16">
        <v>9.7200000000000006</v>
      </c>
      <c r="E18" s="16">
        <v>9.6999999999999993</v>
      </c>
      <c r="F18" s="16">
        <v>8.1199999999999992</v>
      </c>
      <c r="G18" s="16">
        <v>5.82</v>
      </c>
    </row>
    <row r="19" spans="2:9" x14ac:dyDescent="0.25">
      <c r="B19" t="s">
        <v>74</v>
      </c>
      <c r="C19" s="16">
        <v>10.32</v>
      </c>
      <c r="D19" s="16">
        <v>9.68</v>
      </c>
      <c r="E19" s="16">
        <v>9.65</v>
      </c>
      <c r="F19" s="16">
        <v>8.0500000000000007</v>
      </c>
      <c r="G19" s="16">
        <v>5.76</v>
      </c>
      <c r="H19" s="15"/>
      <c r="I19" s="15"/>
    </row>
    <row r="20" spans="2:9" x14ac:dyDescent="0.25">
      <c r="B20" t="s">
        <v>75</v>
      </c>
      <c r="C20" s="16">
        <v>7439000</v>
      </c>
      <c r="D20" s="16">
        <v>7446000</v>
      </c>
      <c r="E20" s="16">
        <v>7496000</v>
      </c>
      <c r="F20" s="16">
        <v>7547000</v>
      </c>
      <c r="G20" s="16">
        <v>7610000</v>
      </c>
    </row>
    <row r="21" spans="2:9" x14ac:dyDescent="0.25">
      <c r="B21" t="s">
        <v>76</v>
      </c>
      <c r="C21" s="16">
        <v>7466250</v>
      </c>
      <c r="D21" s="16">
        <v>7472000</v>
      </c>
      <c r="E21" s="16">
        <v>7540000</v>
      </c>
      <c r="F21" s="16">
        <v>7608000</v>
      </c>
      <c r="G21" s="16">
        <v>7683000</v>
      </c>
    </row>
    <row r="22" spans="2:9" x14ac:dyDescent="0.25">
      <c r="B22" t="s">
        <v>77</v>
      </c>
      <c r="C22" s="16">
        <v>127050000</v>
      </c>
      <c r="D22" s="16">
        <v>123392000</v>
      </c>
      <c r="E22" s="16">
        <v>114887000</v>
      </c>
      <c r="F22" s="16">
        <v>98172000</v>
      </c>
      <c r="G22" s="16">
        <v>90056000</v>
      </c>
    </row>
    <row r="23" spans="2:9" x14ac:dyDescent="0.25">
      <c r="B23" t="s">
        <v>78</v>
      </c>
      <c r="C23" s="16">
        <v>82541000</v>
      </c>
      <c r="D23" s="16">
        <v>72361000</v>
      </c>
      <c r="E23" s="16">
        <v>72738000</v>
      </c>
      <c r="F23" s="16">
        <v>61271000</v>
      </c>
      <c r="G23" s="16">
        <v>44281000</v>
      </c>
    </row>
    <row r="24" spans="2:9" x14ac:dyDescent="0.25">
      <c r="B24" t="s">
        <v>79</v>
      </c>
      <c r="C24" s="16">
        <v>82544262</v>
      </c>
      <c r="D24" s="16">
        <v>72373150</v>
      </c>
      <c r="E24" s="16">
        <v>72447420</v>
      </c>
      <c r="F24" s="16">
        <v>60148161</v>
      </c>
      <c r="G24" s="16">
        <v>44257760</v>
      </c>
    </row>
    <row r="25" spans="2:9" x14ac:dyDescent="0.25">
      <c r="B25" t="s">
        <v>80</v>
      </c>
      <c r="C25" s="16">
        <v>103622000</v>
      </c>
      <c r="D25" s="16">
        <v>91279000</v>
      </c>
      <c r="E25" s="16">
        <v>85779000</v>
      </c>
      <c r="F25" s="16">
        <v>73448000</v>
      </c>
      <c r="G25" s="16">
        <v>55627000</v>
      </c>
    </row>
    <row r="26" spans="2:9" x14ac:dyDescent="0.25">
      <c r="B26" t="s">
        <v>81</v>
      </c>
      <c r="C26" s="16">
        <v>120925000</v>
      </c>
      <c r="D26" s="16">
        <v>105140000</v>
      </c>
      <c r="E26" s="16">
        <v>100239000</v>
      </c>
      <c r="F26" s="16">
        <v>85134000</v>
      </c>
      <c r="G26" s="16">
        <v>68423000</v>
      </c>
    </row>
    <row r="27" spans="2:9" x14ac:dyDescent="0.25">
      <c r="B27" t="s">
        <v>82</v>
      </c>
      <c r="C27" s="16">
        <v>470558000</v>
      </c>
      <c r="D27" s="16">
        <v>411976000</v>
      </c>
      <c r="E27" s="16">
        <v>364840000</v>
      </c>
      <c r="F27" s="16">
        <v>333779000</v>
      </c>
      <c r="G27" s="16">
        <v>301311000</v>
      </c>
      <c r="H27" s="15"/>
      <c r="I27" s="15"/>
    </row>
    <row r="28" spans="2:9" x14ac:dyDescent="0.25">
      <c r="B28" t="s">
        <v>83</v>
      </c>
      <c r="C28" s="16">
        <v>232290000</v>
      </c>
      <c r="D28" s="16">
        <v>205753000</v>
      </c>
      <c r="E28" s="16">
        <v>198298000</v>
      </c>
      <c r="F28" s="16">
        <v>191791000</v>
      </c>
      <c r="G28" s="16">
        <v>183007000</v>
      </c>
    </row>
    <row r="29" spans="2:9" x14ac:dyDescent="0.25">
      <c r="B29" t="s">
        <v>84</v>
      </c>
      <c r="C29" s="16">
        <v>238268000</v>
      </c>
      <c r="D29" s="16">
        <v>206223000</v>
      </c>
      <c r="E29" s="16">
        <v>166542000</v>
      </c>
      <c r="F29" s="16">
        <v>141988000</v>
      </c>
      <c r="G29" s="16">
        <v>118304000</v>
      </c>
    </row>
    <row r="30" spans="2:9" x14ac:dyDescent="0.25">
      <c r="B30" t="s">
        <v>85</v>
      </c>
      <c r="C30" s="16">
        <v>283196000</v>
      </c>
      <c r="D30" s="16">
        <v>248213000</v>
      </c>
      <c r="E30" s="16">
        <v>213574000</v>
      </c>
      <c r="F30" s="16">
        <v>192062000</v>
      </c>
      <c r="G30" s="16">
        <v>177882000</v>
      </c>
    </row>
    <row r="31" spans="2:9" x14ac:dyDescent="0.25">
      <c r="B31" t="s">
        <v>86</v>
      </c>
      <c r="C31" s="16">
        <v>238268000</v>
      </c>
      <c r="D31" s="16">
        <v>206223000</v>
      </c>
      <c r="E31" s="16">
        <v>166542000</v>
      </c>
      <c r="F31" s="16">
        <v>141988000</v>
      </c>
      <c r="G31" s="16">
        <v>118304000</v>
      </c>
    </row>
    <row r="32" spans="2:9" x14ac:dyDescent="0.25">
      <c r="B32" t="s">
        <v>87</v>
      </c>
      <c r="C32" s="16">
        <v>13155000</v>
      </c>
      <c r="D32" s="16">
        <v>12728000</v>
      </c>
      <c r="E32" s="16">
        <v>11489000</v>
      </c>
      <c r="F32" s="16">
        <v>9629000</v>
      </c>
      <c r="G32" s="16">
        <v>7671000</v>
      </c>
    </row>
    <row r="33" spans="2:7" x14ac:dyDescent="0.25">
      <c r="B33" t="s">
        <v>88</v>
      </c>
      <c r="C33" s="16">
        <v>89441000</v>
      </c>
      <c r="D33" s="16">
        <v>128971000</v>
      </c>
      <c r="E33" s="16">
        <v>87720000</v>
      </c>
      <c r="F33" s="16">
        <v>84477000</v>
      </c>
      <c r="G33" s="16">
        <v>67915000</v>
      </c>
    </row>
    <row r="34" spans="2:7" x14ac:dyDescent="0.25">
      <c r="B34" t="s">
        <v>89</v>
      </c>
      <c r="C34" s="16">
        <v>26377000</v>
      </c>
      <c r="D34" s="16">
        <v>80108000</v>
      </c>
      <c r="E34" s="16">
        <v>74602000</v>
      </c>
      <c r="F34" s="16">
        <v>95749000</v>
      </c>
      <c r="G34" s="16">
        <v>109605000</v>
      </c>
    </row>
    <row r="35" spans="2:7" x14ac:dyDescent="0.25">
      <c r="B35" t="s">
        <v>90</v>
      </c>
      <c r="C35" s="16">
        <v>312487000</v>
      </c>
      <c r="D35" s="16">
        <v>253460000</v>
      </c>
      <c r="E35" s="16">
        <v>216323000</v>
      </c>
      <c r="F35" s="16">
        <v>200134000</v>
      </c>
      <c r="G35" s="16">
        <v>181631000</v>
      </c>
    </row>
    <row r="36" spans="2:7" x14ac:dyDescent="0.25">
      <c r="B36" t="s">
        <v>91</v>
      </c>
      <c r="C36" s="16">
        <v>89441000</v>
      </c>
      <c r="D36" s="16">
        <v>128971000</v>
      </c>
      <c r="E36" s="16">
        <v>87720000</v>
      </c>
      <c r="F36" s="16">
        <v>84477000</v>
      </c>
      <c r="G36" s="16">
        <v>67915000</v>
      </c>
    </row>
    <row r="37" spans="2:7" x14ac:dyDescent="0.25">
      <c r="B37" t="s">
        <v>92</v>
      </c>
      <c r="C37" s="16">
        <v>88374000</v>
      </c>
      <c r="D37" s="16">
        <v>59965000</v>
      </c>
      <c r="E37" s="16">
        <v>61270000</v>
      </c>
      <c r="F37" s="16">
        <v>67775000</v>
      </c>
      <c r="G37" s="16">
        <v>70998000</v>
      </c>
    </row>
    <row r="38" spans="2:7" x14ac:dyDescent="0.25">
      <c r="B38" t="s">
        <v>93</v>
      </c>
      <c r="C38" s="16">
        <v>56914000</v>
      </c>
      <c r="D38" s="16">
        <v>12533000</v>
      </c>
      <c r="E38" s="16">
        <v>35850000</v>
      </c>
      <c r="F38" s="16">
        <v>43922000</v>
      </c>
      <c r="G38" s="16">
        <v>49751000</v>
      </c>
    </row>
    <row r="39" spans="2:7" x14ac:dyDescent="0.25">
      <c r="B39" t="s">
        <v>94</v>
      </c>
      <c r="C39" s="16">
        <v>7432262</v>
      </c>
      <c r="D39" s="16">
        <v>7432000</v>
      </c>
      <c r="E39" s="16">
        <v>7464000</v>
      </c>
      <c r="F39" s="16">
        <v>7519000</v>
      </c>
      <c r="G39" s="16">
        <v>7571000</v>
      </c>
    </row>
    <row r="40" spans="2:7" x14ac:dyDescent="0.25">
      <c r="B40" t="s">
        <v>97</v>
      </c>
      <c r="C40" s="16">
        <v>-35202000</v>
      </c>
      <c r="D40" s="16">
        <v>-28107000</v>
      </c>
      <c r="E40" s="16">
        <v>-23886000</v>
      </c>
      <c r="F40" s="16">
        <v>-20622000</v>
      </c>
      <c r="G40" s="16">
        <v>-15441000</v>
      </c>
    </row>
    <row r="41" spans="2:7" x14ac:dyDescent="0.25">
      <c r="B41" t="s">
        <v>95</v>
      </c>
      <c r="C41" s="2"/>
      <c r="D41" s="7"/>
      <c r="E41" s="7"/>
      <c r="F41" s="7"/>
      <c r="G41" s="7"/>
    </row>
    <row r="42" spans="2:7" x14ac:dyDescent="0.25">
      <c r="B42" t="s">
        <v>149</v>
      </c>
      <c r="C42" s="2"/>
      <c r="D42" s="7"/>
      <c r="E42" s="7"/>
      <c r="F42" s="7"/>
      <c r="G42" s="7"/>
    </row>
    <row r="43" spans="2:7" x14ac:dyDescent="0.25">
      <c r="B43" t="s">
        <v>98</v>
      </c>
      <c r="C43" s="16">
        <v>67445000</v>
      </c>
      <c r="D43" s="16">
        <v>59475000</v>
      </c>
      <c r="E43" s="16">
        <v>65149000</v>
      </c>
      <c r="F43" s="16">
        <v>56118000</v>
      </c>
      <c r="G43" s="16">
        <v>45234000</v>
      </c>
    </row>
    <row r="44" spans="2:7" x14ac:dyDescent="0.25">
      <c r="B44" t="s">
        <v>150</v>
      </c>
      <c r="C44" s="16">
        <f>C20*(0.75*2+0.68*2)</f>
        <v>21275540.000000004</v>
      </c>
      <c r="D44" s="16">
        <f>D20*(0.62*1+0.68*3)</f>
        <v>19806360</v>
      </c>
      <c r="E44" s="16">
        <f>E20*(0.56*1+0.62*3)</f>
        <v>18140320</v>
      </c>
      <c r="F44" s="16">
        <f>F20*(0.51*1+0.56*3)</f>
        <v>16527930.000000004</v>
      </c>
      <c r="G44" s="16">
        <f>G20*(0.46*1+0.51*3)</f>
        <v>15143900</v>
      </c>
    </row>
    <row r="46" spans="2:7" x14ac:dyDescent="0.25">
      <c r="B46" t="s">
        <v>100</v>
      </c>
      <c r="C46" s="14">
        <v>413.64</v>
      </c>
      <c r="D46" s="11">
        <v>340.54</v>
      </c>
      <c r="E46" s="11">
        <v>256.83</v>
      </c>
      <c r="F46" s="11">
        <v>270.89999999999998</v>
      </c>
      <c r="G46" s="11">
        <v>203.51</v>
      </c>
    </row>
    <row r="48" spans="2:7" x14ac:dyDescent="0.25">
      <c r="B48" t="s">
        <v>101</v>
      </c>
      <c r="C48" s="19">
        <f>C16/C29</f>
        <v>0.3464208370406433</v>
      </c>
      <c r="D48" s="19">
        <f>D16/D29</f>
        <v>0.35088714643856406</v>
      </c>
      <c r="E48" s="19">
        <f>E16/E29</f>
        <v>0.43675469250999749</v>
      </c>
      <c r="F48" s="19">
        <f>F16/F29</f>
        <v>0.43152238217314137</v>
      </c>
      <c r="G48" s="19">
        <f>G16/G29</f>
        <v>0.37429841763592103</v>
      </c>
    </row>
    <row r="49" spans="2:7" x14ac:dyDescent="0.25">
      <c r="B49" t="s">
        <v>102</v>
      </c>
      <c r="C49" s="5">
        <f>C16/C14</f>
        <v>0.81554194249580081</v>
      </c>
      <c r="D49" s="5">
        <f>D16/D14</f>
        <v>0.81021374746671737</v>
      </c>
      <c r="E49" s="5">
        <f>E16/E14</f>
        <v>0.86886616656314208</v>
      </c>
      <c r="F49" s="5">
        <f>F16/F14</f>
        <v>0.86173384714916601</v>
      </c>
      <c r="G49" s="5">
        <f>G16/G14</f>
        <v>0.8349234482238479</v>
      </c>
    </row>
    <row r="50" spans="2:7" x14ac:dyDescent="0.25">
      <c r="B50" t="s">
        <v>103</v>
      </c>
      <c r="C50" s="5">
        <f>C14/C25</f>
        <v>0.97672308969137833</v>
      </c>
      <c r="D50" s="5">
        <f>D14/D25</f>
        <v>0.97843972874374174</v>
      </c>
      <c r="E50" s="5">
        <f>E14/E25</f>
        <v>0.97594982454913204</v>
      </c>
      <c r="F50" s="5">
        <f>F14/F25</f>
        <v>0.96805903496351164</v>
      </c>
      <c r="G50" s="5">
        <f>G14/G25</f>
        <v>0.95342189943732358</v>
      </c>
    </row>
    <row r="51" spans="2:7" x14ac:dyDescent="0.25">
      <c r="B51" t="s">
        <v>104</v>
      </c>
      <c r="C51" s="19">
        <f>C25/C7</f>
        <v>0.45531520368393069</v>
      </c>
      <c r="D51" s="19">
        <f>D25/D7</f>
        <v>0.43073402071585304</v>
      </c>
      <c r="E51" s="19">
        <f>E25/E7</f>
        <v>0.43263731275533363</v>
      </c>
      <c r="F51" s="19">
        <f>F25/F7</f>
        <v>0.43696159154728476</v>
      </c>
      <c r="G51" s="19">
        <f>G25/G7</f>
        <v>0.38895920008390727</v>
      </c>
    </row>
    <row r="52" spans="2:7" x14ac:dyDescent="0.25">
      <c r="B52" t="s">
        <v>105</v>
      </c>
      <c r="C52" s="5">
        <f>C7/C27</f>
        <v>0.48364494918798534</v>
      </c>
      <c r="D52" s="5">
        <f>D7/D27</f>
        <v>0.51438676039380937</v>
      </c>
      <c r="E52" s="5">
        <f>E7/E27</f>
        <v>0.54344370134853637</v>
      </c>
      <c r="F52" s="5">
        <f>F7/F27</f>
        <v>0.50359069923512267</v>
      </c>
      <c r="G52" s="5">
        <f>G7/G27</f>
        <v>0.47464247903329121</v>
      </c>
    </row>
    <row r="53" spans="2:7" x14ac:dyDescent="0.25">
      <c r="B53" t="s">
        <v>106</v>
      </c>
      <c r="C53" s="5">
        <f>C27/C29</f>
        <v>1.9749106048651099</v>
      </c>
      <c r="D53" s="5">
        <f>D27/D29</f>
        <v>1.9977209137681053</v>
      </c>
      <c r="E53" s="5">
        <f>E27/E29</f>
        <v>2.1906786276134547</v>
      </c>
      <c r="F53" s="5">
        <f>F27/F29</f>
        <v>2.3507549933797223</v>
      </c>
      <c r="G53" s="5">
        <f>G27/G29</f>
        <v>2.5469214903976196</v>
      </c>
    </row>
    <row r="54" spans="2:7" x14ac:dyDescent="0.25">
      <c r="B54" t="s">
        <v>151</v>
      </c>
      <c r="C54" s="19">
        <f>C49*C50*C51*C53*C52</f>
        <v>0.3464208370406433</v>
      </c>
      <c r="D54" s="19">
        <f>D49*D50*D51*D53*D52</f>
        <v>0.35088714643856406</v>
      </c>
      <c r="E54" s="19">
        <f t="shared" ref="E54:G54" si="0">E49*E50*E51*E53*E52</f>
        <v>0.43675469250999749</v>
      </c>
      <c r="F54" s="19">
        <f t="shared" si="0"/>
        <v>0.43152238217314148</v>
      </c>
      <c r="G54" s="19">
        <f t="shared" si="0"/>
        <v>0.37429841763592098</v>
      </c>
    </row>
    <row r="55" spans="2:7" x14ac:dyDescent="0.25">
      <c r="B55" t="s">
        <v>108</v>
      </c>
      <c r="C55" s="19">
        <f>C25/C27</f>
        <v>0.22021089855023185</v>
      </c>
      <c r="D55" s="19">
        <f>D25/D27</f>
        <v>0.22156387750742762</v>
      </c>
      <c r="E55" s="19">
        <f t="shared" ref="E55:G55" si="1">E25/E27</f>
        <v>0.23511402258524286</v>
      </c>
      <c r="F55" s="19">
        <f t="shared" si="1"/>
        <v>0.22004979342618919</v>
      </c>
      <c r="G55" s="19">
        <f t="shared" si="1"/>
        <v>0.18461655897063167</v>
      </c>
    </row>
    <row r="56" spans="2:7" x14ac:dyDescent="0.25">
      <c r="B56" t="s">
        <v>109</v>
      </c>
      <c r="C56" s="39">
        <f>C44/C20</f>
        <v>2.8600000000000003</v>
      </c>
      <c r="D56" s="39">
        <f t="shared" ref="D56:G56" si="2">D44/D20</f>
        <v>2.66</v>
      </c>
      <c r="E56" s="39">
        <f t="shared" si="2"/>
        <v>2.42</v>
      </c>
      <c r="F56" s="39">
        <f t="shared" si="2"/>
        <v>2.1900000000000004</v>
      </c>
      <c r="G56" s="39">
        <f t="shared" si="2"/>
        <v>1.99</v>
      </c>
    </row>
    <row r="57" spans="2:7" x14ac:dyDescent="0.25">
      <c r="B57" t="s">
        <v>110</v>
      </c>
      <c r="C57" s="19">
        <f>(C16-C44)/C16</f>
        <v>0.74224276420203295</v>
      </c>
      <c r="D57" s="19">
        <f t="shared" ref="D57:G57" si="3">(D16-D44)/D16</f>
        <v>0.72628404803692592</v>
      </c>
      <c r="E57" s="19">
        <f t="shared" si="3"/>
        <v>0.75060738541065197</v>
      </c>
      <c r="F57" s="19">
        <f t="shared" si="3"/>
        <v>0.73024873104731436</v>
      </c>
      <c r="G57" s="19">
        <f t="shared" si="3"/>
        <v>0.65800456177593103</v>
      </c>
    </row>
    <row r="58" spans="2:7" x14ac:dyDescent="0.25">
      <c r="B58" t="s">
        <v>111</v>
      </c>
      <c r="C58" s="4">
        <f>C57*C48</f>
        <v>0.25712835966222908</v>
      </c>
      <c r="D58" s="4">
        <f t="shared" ref="D58:G58" si="4">D57*D48</f>
        <v>0.2548437371195259</v>
      </c>
      <c r="E58" s="4">
        <f t="shared" si="4"/>
        <v>0.32783129781076248</v>
      </c>
      <c r="F58" s="4">
        <f t="shared" si="4"/>
        <v>0.31511867200045074</v>
      </c>
      <c r="G58" s="4">
        <f t="shared" si="4"/>
        <v>0.24629006626994862</v>
      </c>
    </row>
    <row r="60" spans="2:7" x14ac:dyDescent="0.25">
      <c r="B60" t="s">
        <v>112</v>
      </c>
      <c r="C60" s="15">
        <f>C46/C18</f>
        <v>39.888138862102217</v>
      </c>
      <c r="D60" s="5">
        <f>D46/D18</f>
        <v>35.034979423868315</v>
      </c>
      <c r="E60" s="5">
        <f>E46/E18</f>
        <v>26.477319587628866</v>
      </c>
      <c r="F60" s="5">
        <f>F46/F18</f>
        <v>33.362068965517238</v>
      </c>
      <c r="G60" s="5">
        <f>G46/G18</f>
        <v>34.967353951890033</v>
      </c>
    </row>
    <row r="61" spans="2:7" x14ac:dyDescent="0.25">
      <c r="B61" t="s">
        <v>113</v>
      </c>
      <c r="C61" s="15">
        <f>SUM(C60:E60)/3</f>
        <v>33.800145957866469</v>
      </c>
      <c r="D61" s="5"/>
      <c r="E61" s="5"/>
      <c r="F61" s="5"/>
      <c r="G61" s="5"/>
    </row>
    <row r="63" spans="2:7" x14ac:dyDescent="0.25">
      <c r="B63" t="s">
        <v>114</v>
      </c>
      <c r="C63" s="5">
        <f>C29/C20</f>
        <v>32.029573867455305</v>
      </c>
      <c r="D63" s="5">
        <f t="shared" ref="D63:G63" si="5">D29/D20</f>
        <v>27.695809830781627</v>
      </c>
      <c r="E63" s="5">
        <f t="shared" si="5"/>
        <v>22.217449306296693</v>
      </c>
      <c r="F63" s="5">
        <f t="shared" si="5"/>
        <v>18.813833311249503</v>
      </c>
      <c r="G63" s="5">
        <f t="shared" si="5"/>
        <v>15.545860709592642</v>
      </c>
    </row>
    <row r="64" spans="2:7" x14ac:dyDescent="0.25">
      <c r="B64" t="s">
        <v>116</v>
      </c>
      <c r="C64" s="5">
        <f>C46/C63</f>
        <v>12.914314805177362</v>
      </c>
      <c r="D64" s="5">
        <f t="shared" ref="D64:G64" si="6">D46/D63</f>
        <v>12.295722785528289</v>
      </c>
      <c r="E64" s="5">
        <f t="shared" si="6"/>
        <v>11.559832834960549</v>
      </c>
      <c r="F64" s="5">
        <f t="shared" si="6"/>
        <v>14.398979491224608</v>
      </c>
      <c r="G64" s="5">
        <f t="shared" si="6"/>
        <v>13.09094451582364</v>
      </c>
    </row>
    <row r="66" spans="2:8" x14ac:dyDescent="0.25">
      <c r="B66" t="s">
        <v>117</v>
      </c>
      <c r="C66" s="15">
        <f>C68+C67*(C69-C68)</f>
        <v>0.13344200000000001</v>
      </c>
    </row>
    <row r="67" spans="2:8" x14ac:dyDescent="0.25">
      <c r="B67" t="s">
        <v>118</v>
      </c>
      <c r="C67" s="2">
        <v>0.88</v>
      </c>
    </row>
    <row r="68" spans="2:8" x14ac:dyDescent="0.25">
      <c r="B68" t="s">
        <v>119</v>
      </c>
      <c r="C68" s="2">
        <v>4.5530000000000001E-2</v>
      </c>
    </row>
    <row r="69" spans="2:8" x14ac:dyDescent="0.25">
      <c r="B69" t="s">
        <v>120</v>
      </c>
      <c r="C69" s="17">
        <v>0.14543</v>
      </c>
    </row>
    <row r="71" spans="2:8" x14ac:dyDescent="0.25">
      <c r="D71" t="s">
        <v>121</v>
      </c>
      <c r="E71" t="s">
        <v>122</v>
      </c>
      <c r="F71" t="s">
        <v>123</v>
      </c>
      <c r="G71" t="s">
        <v>124</v>
      </c>
    </row>
    <row r="72" spans="2:8" x14ac:dyDescent="0.25">
      <c r="C72" s="15" t="s">
        <v>125</v>
      </c>
      <c r="D72" s="9">
        <v>12.12</v>
      </c>
      <c r="E72" s="10">
        <f>$C$61*D72</f>
        <v>409.65776900934156</v>
      </c>
      <c r="F72" s="11">
        <f>$C$60*D72</f>
        <v>483.44424300867882</v>
      </c>
      <c r="G72" s="11">
        <v>459.8</v>
      </c>
    </row>
    <row r="73" spans="2:8" x14ac:dyDescent="0.25">
      <c r="C73" s="15" t="s">
        <v>126</v>
      </c>
      <c r="D73" s="9">
        <v>11.64</v>
      </c>
      <c r="E73" s="10">
        <f>$C$61*D73</f>
        <v>393.43369894956572</v>
      </c>
      <c r="F73" s="11">
        <f t="shared" ref="F73:F78" si="7">$C$60*D73</f>
        <v>464.29793635486982</v>
      </c>
      <c r="G73" s="11">
        <v>441.59</v>
      </c>
    </row>
    <row r="74" spans="2:8" x14ac:dyDescent="0.25">
      <c r="C74" s="15" t="s">
        <v>127</v>
      </c>
      <c r="D74" s="9">
        <v>11.4</v>
      </c>
      <c r="E74" s="10">
        <f>$C$61*D74</f>
        <v>385.32166391967775</v>
      </c>
      <c r="F74" s="11">
        <f t="shared" si="7"/>
        <v>454.72478302796526</v>
      </c>
      <c r="G74" s="11">
        <v>432.49</v>
      </c>
    </row>
    <row r="75" spans="2:8" x14ac:dyDescent="0.25">
      <c r="D75" s="9"/>
      <c r="E75" s="10"/>
      <c r="F75" s="11"/>
      <c r="G75" s="11"/>
    </row>
    <row r="76" spans="2:8" x14ac:dyDescent="0.25">
      <c r="C76" s="15" t="s">
        <v>128</v>
      </c>
      <c r="D76" s="9">
        <v>14.36</v>
      </c>
      <c r="E76" s="10">
        <f>$C$61*D76</f>
        <v>485.37009595496249</v>
      </c>
      <c r="F76" s="11">
        <f t="shared" si="7"/>
        <v>572.7936740597878</v>
      </c>
      <c r="G76" s="11">
        <v>544.78</v>
      </c>
    </row>
    <row r="77" spans="2:8" x14ac:dyDescent="0.25">
      <c r="C77" s="15" t="s">
        <v>129</v>
      </c>
      <c r="D77" s="9">
        <v>13.37</v>
      </c>
      <c r="E77" s="10">
        <f>$C$61*D77</f>
        <v>451.90795145667465</v>
      </c>
      <c r="F77" s="11">
        <f t="shared" si="7"/>
        <v>533.30441658630662</v>
      </c>
      <c r="G77" s="11">
        <v>507.22</v>
      </c>
    </row>
    <row r="78" spans="2:8" x14ac:dyDescent="0.25">
      <c r="C78" s="15" t="s">
        <v>130</v>
      </c>
      <c r="D78" s="9">
        <v>12.54</v>
      </c>
      <c r="E78" s="10">
        <f>$C$61*D78</f>
        <v>423.85383031164548</v>
      </c>
      <c r="F78" s="11">
        <f t="shared" si="7"/>
        <v>500.19726133076176</v>
      </c>
      <c r="G78" s="11">
        <v>475.73</v>
      </c>
    </row>
    <row r="79" spans="2:8" ht="15.75" thickBot="1" x14ac:dyDescent="0.3"/>
    <row r="80" spans="2:8" x14ac:dyDescent="0.25">
      <c r="B80" t="s">
        <v>131</v>
      </c>
      <c r="C80" s="23" t="s">
        <v>132</v>
      </c>
      <c r="D80" s="52">
        <v>12.54</v>
      </c>
      <c r="E80" s="41"/>
      <c r="F80" s="41"/>
      <c r="G80" s="41"/>
      <c r="H80" s="42"/>
    </row>
    <row r="81" spans="2:8" x14ac:dyDescent="0.25">
      <c r="B81" t="s">
        <v>133</v>
      </c>
      <c r="C81" s="43" t="s">
        <v>134</v>
      </c>
      <c r="D81" s="44">
        <f>C58</f>
        <v>0.25712835966222908</v>
      </c>
      <c r="H81" s="45"/>
    </row>
    <row r="82" spans="2:8" x14ac:dyDescent="0.25">
      <c r="C82" s="43" t="s">
        <v>135</v>
      </c>
      <c r="D82" s="5">
        <v>5</v>
      </c>
      <c r="H82" s="45"/>
    </row>
    <row r="83" spans="2:8" x14ac:dyDescent="0.25">
      <c r="C83" s="43" t="s">
        <v>136</v>
      </c>
      <c r="D83" s="46">
        <v>0.08</v>
      </c>
      <c r="H83" s="45"/>
    </row>
    <row r="84" spans="2:8" x14ac:dyDescent="0.25">
      <c r="C84" s="43" t="s">
        <v>137</v>
      </c>
      <c r="D84" s="6">
        <f>C69</f>
        <v>0.14543</v>
      </c>
      <c r="H84" s="45"/>
    </row>
    <row r="85" spans="2:8" x14ac:dyDescent="0.25">
      <c r="C85" s="43"/>
      <c r="H85" s="45"/>
    </row>
    <row r="86" spans="2:8" x14ac:dyDescent="0.25">
      <c r="C86" s="43" t="s">
        <v>138</v>
      </c>
      <c r="D86">
        <v>1</v>
      </c>
      <c r="E86">
        <v>2</v>
      </c>
      <c r="F86">
        <v>3</v>
      </c>
      <c r="G86">
        <v>4</v>
      </c>
      <c r="H86" s="45">
        <v>5</v>
      </c>
    </row>
    <row r="87" spans="2:8" x14ac:dyDescent="0.25">
      <c r="C87" s="43" t="s">
        <v>139</v>
      </c>
      <c r="D87" s="10">
        <f>$D$80*(1+$D$81)</f>
        <v>15.764389630164352</v>
      </c>
      <c r="E87" s="10">
        <f t="shared" ref="E87:H87" si="8">$D$80*(1+$D$81)</f>
        <v>15.764389630164352</v>
      </c>
      <c r="F87" s="10">
        <f t="shared" si="8"/>
        <v>15.764389630164352</v>
      </c>
      <c r="G87" s="10">
        <f t="shared" si="8"/>
        <v>15.764389630164352</v>
      </c>
      <c r="H87" s="47">
        <f t="shared" si="8"/>
        <v>15.764389630164352</v>
      </c>
    </row>
    <row r="88" spans="2:8" x14ac:dyDescent="0.25">
      <c r="C88" s="43" t="s">
        <v>140</v>
      </c>
      <c r="D88" s="10">
        <f>D87*($D$89)^D86</f>
        <v>13.762857293910892</v>
      </c>
      <c r="E88" s="10">
        <f t="shared" ref="E88:H88" si="9">E87*($D$89)^E86</f>
        <v>12.015450349572555</v>
      </c>
      <c r="F88" s="10">
        <f t="shared" si="9"/>
        <v>10.489903660260824</v>
      </c>
      <c r="G88" s="10">
        <f t="shared" si="9"/>
        <v>9.1580486457145565</v>
      </c>
      <c r="H88" s="47">
        <f t="shared" si="9"/>
        <v>7.9952931612709257</v>
      </c>
    </row>
    <row r="89" spans="2:8" x14ac:dyDescent="0.25">
      <c r="C89" s="43" t="s">
        <v>141</v>
      </c>
      <c r="D89" s="15">
        <f>1/(1+D84)</f>
        <v>0.8730345808997495</v>
      </c>
      <c r="H89" s="45"/>
    </row>
    <row r="90" spans="2:8" x14ac:dyDescent="0.25">
      <c r="C90" s="43"/>
      <c r="D90" s="15">
        <f>SUM(D88:H88)</f>
        <v>53.421553110729761</v>
      </c>
      <c r="H90" s="45"/>
    </row>
    <row r="91" spans="2:8" ht="15.75" thickBot="1" x14ac:dyDescent="0.3">
      <c r="C91" s="48" t="s">
        <v>142</v>
      </c>
      <c r="D91" s="49">
        <f>(D90+H88*D89)/(1-D89)</f>
        <v>475.7336363947889</v>
      </c>
      <c r="E91" s="50"/>
      <c r="F91" s="50"/>
      <c r="G91" s="50"/>
      <c r="H91" s="51"/>
    </row>
    <row r="92" spans="2:8" x14ac:dyDescent="0.25">
      <c r="C92"/>
    </row>
    <row r="93" spans="2:8" x14ac:dyDescent="0.25">
      <c r="B93">
        <v>2024</v>
      </c>
      <c r="C93" t="s">
        <v>143</v>
      </c>
      <c r="D93">
        <v>459.8</v>
      </c>
    </row>
    <row r="94" spans="2:8" x14ac:dyDescent="0.25">
      <c r="C94" t="s">
        <v>144</v>
      </c>
      <c r="D94">
        <v>441.59</v>
      </c>
    </row>
    <row r="95" spans="2:8" x14ac:dyDescent="0.25">
      <c r="C95" t="s">
        <v>145</v>
      </c>
      <c r="D95">
        <v>432.49</v>
      </c>
    </row>
    <row r="96" spans="2:8" x14ac:dyDescent="0.25">
      <c r="C96"/>
    </row>
    <row r="97" spans="2:4" x14ac:dyDescent="0.25">
      <c r="B97">
        <v>2025</v>
      </c>
      <c r="C97" t="s">
        <v>143</v>
      </c>
      <c r="D97">
        <v>544.78</v>
      </c>
    </row>
    <row r="98" spans="2:4" x14ac:dyDescent="0.25">
      <c r="C98" t="s">
        <v>144</v>
      </c>
      <c r="D98">
        <v>507.22</v>
      </c>
    </row>
    <row r="99" spans="2:4" x14ac:dyDescent="0.25">
      <c r="C99" t="s">
        <v>145</v>
      </c>
      <c r="D99">
        <v>475.73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A6E9-ECD4-48C8-805D-9590C88CCC35}">
  <dimension ref="A1:N99"/>
  <sheetViews>
    <sheetView topLeftCell="B1" workbookViewId="0">
      <selection activeCell="I11" sqref="I11"/>
    </sheetView>
  </sheetViews>
  <sheetFormatPr defaultRowHeight="15" x14ac:dyDescent="0.25"/>
  <cols>
    <col min="2" max="2" width="50" bestFit="1" customWidth="1"/>
    <col min="3" max="3" width="18.5703125" bestFit="1" customWidth="1"/>
    <col min="4" max="6" width="14.28515625" bestFit="1" customWidth="1"/>
    <col min="7" max="7" width="12.5703125" bestFit="1" customWidth="1"/>
    <col min="8" max="9" width="12.5703125" customWidth="1"/>
    <col min="11" max="11" width="11.5703125" customWidth="1"/>
    <col min="13" max="13" width="10.5703125" bestFit="1" customWidth="1"/>
  </cols>
  <sheetData>
    <row r="1" spans="1:14" x14ac:dyDescent="0.25">
      <c r="A1" t="s">
        <v>14</v>
      </c>
      <c r="B1" t="s">
        <v>50</v>
      </c>
      <c r="C1">
        <v>860.01</v>
      </c>
      <c r="F1" t="s">
        <v>51</v>
      </c>
      <c r="H1" t="s">
        <v>52</v>
      </c>
      <c r="K1" t="s">
        <v>53</v>
      </c>
      <c r="M1" t="s">
        <v>52</v>
      </c>
    </row>
    <row r="2" spans="1:14" x14ac:dyDescent="0.25">
      <c r="B2" t="s">
        <v>54</v>
      </c>
      <c r="E2" t="s">
        <v>55</v>
      </c>
      <c r="F2" s="11">
        <v>1523.9079922095743</v>
      </c>
      <c r="G2" s="6">
        <f>(F2-C46)/C46</f>
        <v>0.77196543320377009</v>
      </c>
      <c r="H2" s="11">
        <v>3372.5882352941171</v>
      </c>
      <c r="I2" s="6">
        <f>(H2-C46)/C46</f>
        <v>2.9215686274509793</v>
      </c>
      <c r="K2" s="11">
        <v>2355.4537866252649</v>
      </c>
      <c r="L2" s="6">
        <f>(K2-C46)/C46</f>
        <v>1.7388679045886268</v>
      </c>
      <c r="M2" s="11">
        <v>4543.1899999999996</v>
      </c>
      <c r="N2" s="6">
        <f>(M2-C46)/C46</f>
        <v>4.2827176428181062</v>
      </c>
    </row>
    <row r="3" spans="1:14" x14ac:dyDescent="0.25">
      <c r="B3" t="s">
        <v>56</v>
      </c>
      <c r="E3" t="s">
        <v>57</v>
      </c>
      <c r="F3" s="11">
        <v>1243.5089216430126</v>
      </c>
      <c r="G3" s="6">
        <f>(F3-C46)/C46</f>
        <v>0.44592379349427641</v>
      </c>
      <c r="H3" s="11">
        <v>2752.0319999999997</v>
      </c>
      <c r="I3" s="6">
        <f>(H3-C46)/C46</f>
        <v>2.1999999999999997</v>
      </c>
      <c r="K3" s="11">
        <v>1555.9100600459753</v>
      </c>
      <c r="L3" s="6">
        <f>(K3-C46)/C46</f>
        <v>0.80917670730104929</v>
      </c>
      <c r="M3" s="11">
        <v>3001.43</v>
      </c>
      <c r="N3" s="6">
        <f>(M3-C46)/C46</f>
        <v>2.4899943023918327</v>
      </c>
    </row>
    <row r="4" spans="1:14" x14ac:dyDescent="0.25">
      <c r="E4" t="s">
        <v>58</v>
      </c>
      <c r="F4" s="11">
        <v>986.9844096210677</v>
      </c>
      <c r="G4" s="6">
        <f>(F4-C46)/C46</f>
        <v>0.14764294557164184</v>
      </c>
      <c r="H4" s="11">
        <v>2184.3129803921565</v>
      </c>
      <c r="I4" s="6">
        <f>(H4-C46)/C46</f>
        <v>1.5398692810457513</v>
      </c>
      <c r="K4" s="11">
        <v>1194.2358965615699</v>
      </c>
      <c r="L4" s="6">
        <f>(K4-C46)/C46</f>
        <v>0.38863024448735473</v>
      </c>
      <c r="M4" s="11">
        <v>2303.44</v>
      </c>
      <c r="N4" s="6">
        <f>(M4-C46)/C46</f>
        <v>1.6783874606109233</v>
      </c>
    </row>
    <row r="6" spans="1:14" x14ac:dyDescent="0.25">
      <c r="B6" t="s">
        <v>59</v>
      </c>
      <c r="C6" t="s">
        <v>60</v>
      </c>
      <c r="D6" s="1">
        <v>44957</v>
      </c>
      <c r="E6" s="1">
        <v>44592</v>
      </c>
      <c r="F6" s="1">
        <v>44227</v>
      </c>
    </row>
    <row r="7" spans="1:14" x14ac:dyDescent="0.25">
      <c r="B7" t="s">
        <v>61</v>
      </c>
      <c r="C7" s="2">
        <v>60922000</v>
      </c>
      <c r="D7" s="2">
        <v>26974000</v>
      </c>
      <c r="E7" s="2">
        <v>26914000</v>
      </c>
      <c r="F7" s="2">
        <v>16675000</v>
      </c>
    </row>
    <row r="8" spans="1:14" x14ac:dyDescent="0.25">
      <c r="B8" t="s">
        <v>62</v>
      </c>
      <c r="C8" s="2">
        <v>16621000</v>
      </c>
      <c r="D8" s="2">
        <v>11618000</v>
      </c>
      <c r="E8" s="2">
        <v>9439000</v>
      </c>
      <c r="F8" s="2">
        <v>6279000</v>
      </c>
    </row>
    <row r="9" spans="1:14" x14ac:dyDescent="0.25">
      <c r="B9" t="s">
        <v>63</v>
      </c>
      <c r="C9" s="2">
        <v>44301000</v>
      </c>
      <c r="D9" s="2">
        <v>15356000</v>
      </c>
      <c r="E9" s="2">
        <v>17475000</v>
      </c>
      <c r="F9" s="2">
        <v>10396000</v>
      </c>
    </row>
    <row r="10" spans="1:14" x14ac:dyDescent="0.25">
      <c r="B10" t="s">
        <v>64</v>
      </c>
      <c r="C10" s="2">
        <v>11329000</v>
      </c>
      <c r="D10" s="2">
        <v>9779000</v>
      </c>
      <c r="E10" s="2">
        <v>7434000</v>
      </c>
      <c r="F10" s="2">
        <v>5864000</v>
      </c>
    </row>
    <row r="11" spans="1:14" x14ac:dyDescent="0.25">
      <c r="B11" t="s">
        <v>65</v>
      </c>
      <c r="C11" s="2">
        <v>32972000</v>
      </c>
      <c r="D11" s="2">
        <v>5577000</v>
      </c>
      <c r="E11" s="2">
        <v>10041000</v>
      </c>
      <c r="F11" s="2">
        <v>4532000</v>
      </c>
    </row>
    <row r="12" spans="1:14" x14ac:dyDescent="0.25">
      <c r="B12" t="s">
        <v>66</v>
      </c>
      <c r="C12" s="2">
        <v>609000</v>
      </c>
      <c r="D12" s="2">
        <v>5000</v>
      </c>
      <c r="E12" s="2">
        <v>-207000</v>
      </c>
      <c r="F12" s="2">
        <v>-127000</v>
      </c>
    </row>
    <row r="13" spans="1:14" x14ac:dyDescent="0.25">
      <c r="B13" t="s">
        <v>67</v>
      </c>
      <c r="C13" s="2">
        <v>237000</v>
      </c>
      <c r="D13" s="2">
        <v>-1401000</v>
      </c>
      <c r="E13" s="2">
        <v>107000</v>
      </c>
      <c r="F13" s="2">
        <v>4000</v>
      </c>
    </row>
    <row r="14" spans="1:14" x14ac:dyDescent="0.25">
      <c r="B14" t="s">
        <v>68</v>
      </c>
      <c r="C14" s="2">
        <v>33818000</v>
      </c>
      <c r="D14" s="2">
        <v>4181000</v>
      </c>
      <c r="E14" s="2">
        <v>9941000</v>
      </c>
      <c r="F14" s="2">
        <v>4409000</v>
      </c>
    </row>
    <row r="15" spans="1:14" x14ac:dyDescent="0.25">
      <c r="B15" t="s">
        <v>69</v>
      </c>
      <c r="C15" s="2">
        <v>4058000</v>
      </c>
      <c r="D15" s="2">
        <v>-187000</v>
      </c>
      <c r="E15" s="2">
        <v>189000</v>
      </c>
      <c r="F15" s="2">
        <v>77000</v>
      </c>
    </row>
    <row r="16" spans="1:14" x14ac:dyDescent="0.25">
      <c r="B16" t="s">
        <v>70</v>
      </c>
      <c r="C16" s="2">
        <v>29760000</v>
      </c>
      <c r="D16" s="2">
        <v>4368000</v>
      </c>
      <c r="E16" s="2">
        <v>9752000</v>
      </c>
      <c r="F16" s="2">
        <v>4332000</v>
      </c>
    </row>
    <row r="17" spans="2:6" x14ac:dyDescent="0.25">
      <c r="B17" t="s">
        <v>71</v>
      </c>
      <c r="C17" s="2">
        <v>29760000</v>
      </c>
      <c r="D17" s="2">
        <v>4368000</v>
      </c>
      <c r="E17" s="2">
        <v>9752000</v>
      </c>
      <c r="F17" s="2">
        <v>4332000</v>
      </c>
    </row>
    <row r="18" spans="2:6" x14ac:dyDescent="0.25">
      <c r="B18" t="s">
        <v>72</v>
      </c>
      <c r="C18" s="2">
        <v>7.65</v>
      </c>
      <c r="D18" s="2">
        <v>1.76</v>
      </c>
      <c r="E18" s="2">
        <v>3.91</v>
      </c>
      <c r="F18" s="2">
        <v>1.75</v>
      </c>
    </row>
    <row r="19" spans="2:6" x14ac:dyDescent="0.25">
      <c r="B19" t="s">
        <v>74</v>
      </c>
      <c r="C19" s="2">
        <v>7.58</v>
      </c>
      <c r="D19" s="2">
        <v>1.74</v>
      </c>
      <c r="E19" s="2">
        <v>3.85</v>
      </c>
      <c r="F19" s="2">
        <v>1.73</v>
      </c>
    </row>
    <row r="20" spans="2:6" x14ac:dyDescent="0.25">
      <c r="B20" t="s">
        <v>75</v>
      </c>
      <c r="C20" s="2">
        <v>2468250</v>
      </c>
      <c r="D20" s="2">
        <v>2487000</v>
      </c>
      <c r="E20" s="2">
        <v>2496000</v>
      </c>
      <c r="F20" s="2">
        <v>2468000</v>
      </c>
    </row>
    <row r="21" spans="2:6" x14ac:dyDescent="0.25">
      <c r="B21" t="s">
        <v>76</v>
      </c>
      <c r="C21" s="2">
        <v>2489750</v>
      </c>
      <c r="D21" s="2">
        <v>2507000</v>
      </c>
      <c r="E21" s="2">
        <v>2535000</v>
      </c>
      <c r="F21" s="2">
        <v>2512000</v>
      </c>
    </row>
    <row r="22" spans="2:6" x14ac:dyDescent="0.25">
      <c r="B22" t="s">
        <v>77</v>
      </c>
      <c r="C22" s="2">
        <v>27950000</v>
      </c>
      <c r="D22" s="2">
        <v>21397000</v>
      </c>
      <c r="E22" s="2">
        <v>16873000</v>
      </c>
      <c r="F22" s="2">
        <v>12143000</v>
      </c>
    </row>
    <row r="23" spans="2:6" x14ac:dyDescent="0.25">
      <c r="B23" t="s">
        <v>78</v>
      </c>
      <c r="C23" s="2">
        <v>29760000</v>
      </c>
      <c r="D23" s="2">
        <v>4368000</v>
      </c>
      <c r="E23" s="2">
        <v>9752000</v>
      </c>
      <c r="F23" s="2">
        <v>4332000</v>
      </c>
    </row>
    <row r="24" spans="2:6" x14ac:dyDescent="0.25">
      <c r="B24" t="s">
        <v>79</v>
      </c>
      <c r="C24" s="2">
        <v>29760000</v>
      </c>
      <c r="D24" s="2">
        <v>5436870</v>
      </c>
      <c r="E24" s="2">
        <v>9752000</v>
      </c>
      <c r="F24" s="2">
        <v>4332000</v>
      </c>
    </row>
    <row r="25" spans="2:6" x14ac:dyDescent="0.25">
      <c r="B25" t="s">
        <v>80</v>
      </c>
      <c r="C25" s="2">
        <v>34075000</v>
      </c>
      <c r="D25" s="2">
        <v>4443000</v>
      </c>
      <c r="E25" s="2">
        <v>10177000</v>
      </c>
      <c r="F25" s="2">
        <v>4593000</v>
      </c>
    </row>
    <row r="26" spans="2:6" x14ac:dyDescent="0.25">
      <c r="B26" t="s">
        <v>81</v>
      </c>
      <c r="C26" s="2">
        <v>35583000</v>
      </c>
      <c r="D26" s="2">
        <v>5987000</v>
      </c>
      <c r="E26" s="2">
        <v>11351000</v>
      </c>
      <c r="F26" s="2">
        <v>5691000</v>
      </c>
    </row>
    <row r="27" spans="2:6" x14ac:dyDescent="0.25">
      <c r="B27" t="s">
        <v>82</v>
      </c>
      <c r="C27" s="2">
        <v>65728000</v>
      </c>
      <c r="D27" s="2">
        <v>41182000</v>
      </c>
      <c r="E27" s="2">
        <v>44187000</v>
      </c>
      <c r="F27" s="2">
        <v>28791000</v>
      </c>
    </row>
    <row r="28" spans="2:6" x14ac:dyDescent="0.25">
      <c r="B28" t="s">
        <v>83</v>
      </c>
      <c r="C28" s="2">
        <v>22750000</v>
      </c>
      <c r="D28" s="2">
        <v>19081000</v>
      </c>
      <c r="E28" s="2">
        <v>17575000</v>
      </c>
      <c r="F28" s="2">
        <v>11898000</v>
      </c>
    </row>
    <row r="29" spans="2:6" x14ac:dyDescent="0.25">
      <c r="B29" t="s">
        <v>84</v>
      </c>
      <c r="C29" s="2">
        <v>42978000</v>
      </c>
      <c r="D29" s="2">
        <v>22101000</v>
      </c>
      <c r="E29" s="2">
        <v>26612000</v>
      </c>
      <c r="F29" s="2">
        <v>16893000</v>
      </c>
    </row>
    <row r="30" spans="2:6" x14ac:dyDescent="0.25">
      <c r="B30" t="s">
        <v>85</v>
      </c>
      <c r="C30" s="2">
        <v>51437000</v>
      </c>
      <c r="D30" s="2">
        <v>31804000</v>
      </c>
      <c r="E30" s="2">
        <v>37558000</v>
      </c>
      <c r="F30" s="2">
        <v>22857000</v>
      </c>
    </row>
    <row r="31" spans="2:6" x14ac:dyDescent="0.25">
      <c r="B31" t="s">
        <v>86</v>
      </c>
      <c r="C31" s="2">
        <v>42978000</v>
      </c>
      <c r="D31" s="2">
        <v>22101000</v>
      </c>
      <c r="E31" s="2">
        <v>26612000</v>
      </c>
      <c r="F31" s="2">
        <v>16893000</v>
      </c>
    </row>
    <row r="32" spans="2:6" x14ac:dyDescent="0.25">
      <c r="B32" t="s">
        <v>87</v>
      </c>
      <c r="C32" s="2">
        <v>1347000</v>
      </c>
      <c r="D32" s="2">
        <v>1078000</v>
      </c>
      <c r="E32" s="2">
        <v>885000</v>
      </c>
      <c r="F32" s="2">
        <v>634000</v>
      </c>
    </row>
    <row r="33" spans="2:7" x14ac:dyDescent="0.25">
      <c r="B33" t="s">
        <v>88</v>
      </c>
      <c r="C33" s="2">
        <v>37436000</v>
      </c>
      <c r="D33" s="2">
        <v>16053000</v>
      </c>
      <c r="E33" s="2">
        <v>19924000</v>
      </c>
      <c r="F33" s="2">
        <v>9963000</v>
      </c>
    </row>
    <row r="34" spans="2:7" x14ac:dyDescent="0.25">
      <c r="B34" t="s">
        <v>89</v>
      </c>
      <c r="C34" s="2">
        <v>33714000</v>
      </c>
      <c r="D34" s="2">
        <v>16510000</v>
      </c>
      <c r="E34" s="2">
        <v>24494000</v>
      </c>
      <c r="F34" s="2">
        <v>12130000</v>
      </c>
    </row>
    <row r="35" spans="2:7" x14ac:dyDescent="0.25">
      <c r="B35" t="s">
        <v>90</v>
      </c>
      <c r="C35" s="2">
        <v>52687000</v>
      </c>
      <c r="D35" s="2">
        <v>33054000</v>
      </c>
      <c r="E35" s="2">
        <v>37558000</v>
      </c>
      <c r="F35" s="2">
        <v>23856000</v>
      </c>
    </row>
    <row r="36" spans="2:7" x14ac:dyDescent="0.25">
      <c r="B36" t="s">
        <v>91</v>
      </c>
      <c r="C36" s="2">
        <v>37436000</v>
      </c>
      <c r="D36" s="2">
        <v>16053000</v>
      </c>
      <c r="E36" s="2">
        <v>19924000</v>
      </c>
      <c r="F36" s="2">
        <v>9963000</v>
      </c>
    </row>
    <row r="37" spans="2:7" x14ac:dyDescent="0.25">
      <c r="B37" t="s">
        <v>92</v>
      </c>
      <c r="C37" s="2">
        <v>11056000</v>
      </c>
      <c r="D37" s="2">
        <v>12031000</v>
      </c>
      <c r="E37" s="2">
        <v>11831000</v>
      </c>
      <c r="F37" s="2">
        <v>7597000</v>
      </c>
    </row>
    <row r="38" spans="2:7" x14ac:dyDescent="0.25">
      <c r="B38" t="s">
        <v>93</v>
      </c>
      <c r="C38" s="2">
        <v>2429000</v>
      </c>
      <c r="D38" s="2">
        <v>7564000</v>
      </c>
      <c r="E38" s="2">
        <v>8956000</v>
      </c>
      <c r="F38" s="2">
        <v>6116000</v>
      </c>
    </row>
    <row r="39" spans="2:7" x14ac:dyDescent="0.25">
      <c r="B39" t="s">
        <v>94</v>
      </c>
      <c r="C39" s="2">
        <v>2464000</v>
      </c>
      <c r="D39" s="2">
        <v>2466137</v>
      </c>
      <c r="E39" s="2">
        <v>2506000</v>
      </c>
      <c r="F39" s="2">
        <v>3860000</v>
      </c>
    </row>
    <row r="40" spans="2:7" x14ac:dyDescent="0.25">
      <c r="B40" t="s">
        <v>95</v>
      </c>
      <c r="C40" s="2">
        <v>6549000</v>
      </c>
      <c r="D40" s="2">
        <v>1404000</v>
      </c>
      <c r="E40" s="2">
        <v>396000</v>
      </c>
      <c r="F40" s="2">
        <v>249000</v>
      </c>
    </row>
    <row r="41" spans="2:7" x14ac:dyDescent="0.25">
      <c r="B41" t="s">
        <v>96</v>
      </c>
      <c r="C41" s="2">
        <v>252000</v>
      </c>
      <c r="D41" s="2">
        <v>254000</v>
      </c>
      <c r="E41" s="2">
        <v>246000</v>
      </c>
      <c r="F41" s="2">
        <v>138000</v>
      </c>
    </row>
    <row r="42" spans="2:7" x14ac:dyDescent="0.25">
      <c r="B42" t="s">
        <v>97</v>
      </c>
      <c r="C42" s="2">
        <v>-1069000</v>
      </c>
      <c r="D42" s="2">
        <v>-1833000</v>
      </c>
      <c r="E42" s="2">
        <v>-976000</v>
      </c>
      <c r="F42" s="2">
        <v>-1128000</v>
      </c>
    </row>
    <row r="43" spans="2:7" x14ac:dyDescent="0.25">
      <c r="B43" s="13" t="s">
        <v>98</v>
      </c>
      <c r="C43" s="3">
        <v>27021000</v>
      </c>
      <c r="D43" s="3">
        <v>3808000</v>
      </c>
      <c r="E43" s="3">
        <v>8132000</v>
      </c>
      <c r="F43" s="3">
        <v>4694000</v>
      </c>
    </row>
    <row r="44" spans="2:7" x14ac:dyDescent="0.25">
      <c r="B44" t="s">
        <v>150</v>
      </c>
      <c r="C44" s="2">
        <f>C20*0.04*4</f>
        <v>394920</v>
      </c>
      <c r="D44" s="2">
        <f>D20*0.04*4</f>
        <v>397920</v>
      </c>
      <c r="E44" s="2">
        <f t="shared" ref="E44:F44" si="0">E20*0.04*4</f>
        <v>399360</v>
      </c>
      <c r="F44" s="2">
        <f t="shared" si="0"/>
        <v>394880</v>
      </c>
    </row>
    <row r="46" spans="2:7" x14ac:dyDescent="0.25">
      <c r="B46" t="s">
        <v>100</v>
      </c>
      <c r="C46">
        <v>860.01</v>
      </c>
      <c r="D46">
        <v>195.37</v>
      </c>
      <c r="E46">
        <v>244.86</v>
      </c>
      <c r="F46">
        <v>129.9</v>
      </c>
    </row>
    <row r="48" spans="2:7" x14ac:dyDescent="0.25">
      <c r="B48" t="s">
        <v>101</v>
      </c>
      <c r="C48" s="19">
        <f>C16/C29</f>
        <v>0.69244729861789756</v>
      </c>
      <c r="D48" s="19">
        <f>D16/D29</f>
        <v>0.19763811592235644</v>
      </c>
      <c r="E48" s="19">
        <f>E16/E29</f>
        <v>0.36645122501127309</v>
      </c>
      <c r="F48" s="19">
        <f>F16/F29</f>
        <v>0.25643757769490322</v>
      </c>
      <c r="G48" s="19"/>
    </row>
    <row r="49" spans="2:7" x14ac:dyDescent="0.25">
      <c r="B49" t="s">
        <v>102</v>
      </c>
      <c r="C49" s="5">
        <f>C16/C14</f>
        <v>0.8800047312082323</v>
      </c>
      <c r="D49" s="5">
        <f>D16/D14</f>
        <v>1.0447261420712748</v>
      </c>
      <c r="E49" s="5">
        <f>E16/E14</f>
        <v>0.98098782818629915</v>
      </c>
      <c r="F49" s="5">
        <f>F16/F14</f>
        <v>0.9825357223860286</v>
      </c>
      <c r="G49" s="5"/>
    </row>
    <row r="50" spans="2:7" x14ac:dyDescent="0.25">
      <c r="B50" t="s">
        <v>103</v>
      </c>
      <c r="C50" s="5">
        <f>C14/C25</f>
        <v>0.99245781364636831</v>
      </c>
      <c r="D50" s="5">
        <f>D14/D25</f>
        <v>0.94103083502138196</v>
      </c>
      <c r="E50" s="5">
        <f>E14/E25</f>
        <v>0.97681045494743046</v>
      </c>
      <c r="F50" s="5">
        <f>F14/F25</f>
        <v>0.95993903766601352</v>
      </c>
      <c r="G50" s="5"/>
    </row>
    <row r="51" spans="2:7" x14ac:dyDescent="0.25">
      <c r="B51" t="s">
        <v>104</v>
      </c>
      <c r="C51" s="19">
        <f>C25/C7</f>
        <v>0.55932175568760056</v>
      </c>
      <c r="D51" s="19">
        <f>D25/D7</f>
        <v>0.16471416919997034</v>
      </c>
      <c r="E51" s="19">
        <f>E25/E7</f>
        <v>0.3781303410864234</v>
      </c>
      <c r="F51" s="19">
        <f>F25/F7</f>
        <v>0.27544227886056971</v>
      </c>
      <c r="G51" s="19"/>
    </row>
    <row r="52" spans="2:7" x14ac:dyDescent="0.25">
      <c r="B52" t="s">
        <v>105</v>
      </c>
      <c r="C52" s="5">
        <f>C7/C27</f>
        <v>0.92688047711781885</v>
      </c>
      <c r="D52" s="5">
        <f>D7/D27</f>
        <v>0.65499490068476518</v>
      </c>
      <c r="E52" s="5">
        <f>E7/E27</f>
        <v>0.60909317219996828</v>
      </c>
      <c r="F52" s="5">
        <f>F7/F27</f>
        <v>0.57917404744538226</v>
      </c>
      <c r="G52" s="5"/>
    </row>
    <row r="53" spans="2:7" x14ac:dyDescent="0.25">
      <c r="B53" t="s">
        <v>106</v>
      </c>
      <c r="C53" s="5">
        <f>C27/C29</f>
        <v>1.5293405928614641</v>
      </c>
      <c r="D53" s="5">
        <f>D27/D29</f>
        <v>1.8633545993393965</v>
      </c>
      <c r="E53" s="5">
        <f>E27/E29</f>
        <v>1.6604163535247256</v>
      </c>
      <c r="F53" s="5">
        <f>F27/F29</f>
        <v>1.7043153969099627</v>
      </c>
      <c r="G53" s="5"/>
    </row>
    <row r="54" spans="2:7" x14ac:dyDescent="0.25">
      <c r="B54" t="s">
        <v>107</v>
      </c>
      <c r="C54" s="19">
        <f>C49*C50*C51*C53*C52</f>
        <v>0.69244729861789767</v>
      </c>
      <c r="D54" s="19">
        <f>D49*D50*D51*D53*D52</f>
        <v>0.19763811592235644</v>
      </c>
      <c r="E54" s="19">
        <f t="shared" ref="E54:F54" si="1">E49*E50*E51*E53*E52</f>
        <v>0.36645122501127309</v>
      </c>
      <c r="F54" s="19">
        <f t="shared" si="1"/>
        <v>0.25643757769490322</v>
      </c>
      <c r="G54" s="19"/>
    </row>
    <row r="55" spans="2:7" x14ac:dyDescent="0.25">
      <c r="B55" t="s">
        <v>108</v>
      </c>
      <c r="C55" s="19">
        <f>C25/C27</f>
        <v>0.51842441577409937</v>
      </c>
      <c r="D55" s="19">
        <f>D25/D27</f>
        <v>0.10788694089650819</v>
      </c>
      <c r="E55" s="19">
        <f t="shared" ref="E55:F55" si="2">E25/E27</f>
        <v>0.23031660895738565</v>
      </c>
      <c r="F55" s="19">
        <f t="shared" si="2"/>
        <v>0.1595290194852558</v>
      </c>
      <c r="G55" s="19"/>
    </row>
    <row r="56" spans="2:7" x14ac:dyDescent="0.25">
      <c r="B56" t="s">
        <v>109</v>
      </c>
      <c r="C56" s="39">
        <f>C44/C20</f>
        <v>0.16</v>
      </c>
      <c r="D56" s="39">
        <f t="shared" ref="D56:F56" si="3">D44/D20</f>
        <v>0.16</v>
      </c>
      <c r="E56" s="39">
        <f t="shared" si="3"/>
        <v>0.16</v>
      </c>
      <c r="F56" s="39">
        <f t="shared" si="3"/>
        <v>0.16</v>
      </c>
      <c r="G56" s="39"/>
    </row>
    <row r="57" spans="2:7" x14ac:dyDescent="0.25">
      <c r="B57" t="s">
        <v>110</v>
      </c>
      <c r="C57" s="19">
        <f>(C16-C44)/C16</f>
        <v>0.98672983870967745</v>
      </c>
      <c r="D57" s="19">
        <f t="shared" ref="D57:F57" si="4">(D16-D44)/D16</f>
        <v>0.90890109890109894</v>
      </c>
      <c r="E57" s="19">
        <f t="shared" si="4"/>
        <v>0.95904840032813787</v>
      </c>
      <c r="F57" s="19">
        <f t="shared" si="4"/>
        <v>0.90884579870729454</v>
      </c>
      <c r="G57" s="19"/>
    </row>
    <row r="58" spans="2:7" x14ac:dyDescent="0.25">
      <c r="B58" t="s">
        <v>111</v>
      </c>
      <c r="C58" s="19">
        <f>C57*C48</f>
        <v>0.68325841128018994</v>
      </c>
      <c r="D58" s="19">
        <f t="shared" ref="D58:F58" si="5">D57*D48</f>
        <v>0.17963350074657256</v>
      </c>
      <c r="E58" s="19">
        <f t="shared" si="5"/>
        <v>0.35144446114534794</v>
      </c>
      <c r="F58" s="19">
        <f t="shared" si="5"/>
        <v>0.23306221511868822</v>
      </c>
      <c r="G58" s="19"/>
    </row>
    <row r="60" spans="2:7" x14ac:dyDescent="0.25">
      <c r="B60" t="s">
        <v>112</v>
      </c>
      <c r="C60" s="5">
        <f>C46/C18</f>
        <v>112.41960784313724</v>
      </c>
      <c r="D60" s="5">
        <f>D46/D18</f>
        <v>111.00568181818183</v>
      </c>
      <c r="E60" s="5">
        <f>E46/E18</f>
        <v>62.624040920716112</v>
      </c>
      <c r="F60" s="5">
        <f>F46/F18</f>
        <v>74.228571428571428</v>
      </c>
    </row>
    <row r="61" spans="2:7" x14ac:dyDescent="0.25">
      <c r="B61" t="s">
        <v>113</v>
      </c>
      <c r="C61" s="5">
        <f>SUM(D60:F60)/3</f>
        <v>82.61943138915646</v>
      </c>
      <c r="D61" s="5"/>
      <c r="E61" s="5"/>
      <c r="F61" s="5"/>
    </row>
    <row r="63" spans="2:7" x14ac:dyDescent="0.25">
      <c r="B63" t="s">
        <v>114</v>
      </c>
      <c r="C63" s="5">
        <f>C29/C20</f>
        <v>17.412336675782438</v>
      </c>
      <c r="D63" s="5">
        <f t="shared" ref="D63:F63" si="6">D29/D20</f>
        <v>8.8866103739445119</v>
      </c>
      <c r="E63" s="5">
        <f t="shared" si="6"/>
        <v>10.661858974358974</v>
      </c>
      <c r="F63" s="5">
        <f t="shared" si="6"/>
        <v>6.8448136142625611</v>
      </c>
    </row>
    <row r="64" spans="2:7" x14ac:dyDescent="0.25">
      <c r="B64" t="s">
        <v>116</v>
      </c>
      <c r="C64" s="5">
        <f>C46/C63</f>
        <v>49.390843745637298</v>
      </c>
      <c r="D64" s="5">
        <f t="shared" ref="D64:F64" si="7">D46/D63</f>
        <v>21.984760418080629</v>
      </c>
      <c r="E64" s="5">
        <f t="shared" si="7"/>
        <v>22.965976251315197</v>
      </c>
      <c r="F64" s="5">
        <f t="shared" si="7"/>
        <v>18.977872491564554</v>
      </c>
      <c r="G64" s="5"/>
    </row>
    <row r="66" spans="2:8" x14ac:dyDescent="0.25">
      <c r="B66" t="s">
        <v>117</v>
      </c>
      <c r="C66" s="6">
        <f>C68+C67*(C69-C68)</f>
        <v>0.219356</v>
      </c>
    </row>
    <row r="67" spans="2:8" x14ac:dyDescent="0.25">
      <c r="B67" t="s">
        <v>118</v>
      </c>
      <c r="C67" s="7">
        <v>1.74</v>
      </c>
    </row>
    <row r="68" spans="2:8" x14ac:dyDescent="0.25">
      <c r="B68" t="s">
        <v>119</v>
      </c>
      <c r="C68" s="8">
        <v>4.5530000000000001E-2</v>
      </c>
    </row>
    <row r="69" spans="2:8" x14ac:dyDescent="0.25">
      <c r="B69" t="s">
        <v>120</v>
      </c>
      <c r="C69" s="8">
        <v>0.14543</v>
      </c>
    </row>
    <row r="71" spans="2:8" x14ac:dyDescent="0.25">
      <c r="D71" t="s">
        <v>121</v>
      </c>
      <c r="E71" t="s">
        <v>122</v>
      </c>
      <c r="F71" t="s">
        <v>123</v>
      </c>
      <c r="G71" t="s">
        <v>124</v>
      </c>
    </row>
    <row r="72" spans="2:8" x14ac:dyDescent="0.25">
      <c r="C72" t="s">
        <v>125</v>
      </c>
      <c r="D72" s="9">
        <v>30</v>
      </c>
      <c r="E72" s="10">
        <f>$C$61*D72</f>
        <v>2478.5829416746938</v>
      </c>
      <c r="F72" s="11">
        <f>$C$60*D72</f>
        <v>3372.5882352941171</v>
      </c>
      <c r="G72" s="11">
        <v>1523.9079922095743</v>
      </c>
    </row>
    <row r="73" spans="2:8" x14ac:dyDescent="0.25">
      <c r="C73" t="s">
        <v>126</v>
      </c>
      <c r="D73" s="9">
        <v>24.48</v>
      </c>
      <c r="E73" s="10">
        <f>$C$61*D73</f>
        <v>2022.5236804065503</v>
      </c>
      <c r="F73" s="11">
        <f t="shared" ref="F73:F78" si="8">$C$60*D73</f>
        <v>2752.0319999999997</v>
      </c>
      <c r="G73" s="11">
        <v>1243.5089216430126</v>
      </c>
    </row>
    <row r="74" spans="2:8" x14ac:dyDescent="0.25">
      <c r="C74" t="s">
        <v>127</v>
      </c>
      <c r="D74" s="9">
        <v>19.43</v>
      </c>
      <c r="E74" s="10">
        <f>$C$61*D74</f>
        <v>1605.29555189131</v>
      </c>
      <c r="F74" s="11">
        <f t="shared" si="8"/>
        <v>2184.3129803921565</v>
      </c>
      <c r="G74" s="11">
        <v>986.9844096210677</v>
      </c>
    </row>
    <row r="75" spans="2:8" x14ac:dyDescent="0.25">
      <c r="D75" s="9"/>
      <c r="E75" s="10"/>
      <c r="F75" s="11"/>
      <c r="G75" s="11"/>
    </row>
    <row r="76" spans="2:8" x14ac:dyDescent="0.25">
      <c r="C76" t="s">
        <v>128</v>
      </c>
      <c r="D76" s="9">
        <v>46.37</v>
      </c>
      <c r="E76" s="10">
        <f>$C$61*D76</f>
        <v>3831.063033515185</v>
      </c>
      <c r="F76" s="11">
        <f t="shared" si="8"/>
        <v>5212.8972156862737</v>
      </c>
      <c r="G76" s="11">
        <v>2355.4537866252649</v>
      </c>
    </row>
    <row r="77" spans="2:8" x14ac:dyDescent="0.25">
      <c r="C77" t="s">
        <v>129</v>
      </c>
      <c r="D77" s="9">
        <v>30.63</v>
      </c>
      <c r="E77" s="10">
        <f>$C$61*D77</f>
        <v>2530.6331834498624</v>
      </c>
      <c r="F77" s="11">
        <f t="shared" si="8"/>
        <v>3443.4125882352937</v>
      </c>
      <c r="G77" s="11">
        <v>1555.9100600459753</v>
      </c>
    </row>
    <row r="78" spans="2:8" x14ac:dyDescent="0.25">
      <c r="C78" t="s">
        <v>130</v>
      </c>
      <c r="D78" s="9">
        <v>23.51</v>
      </c>
      <c r="E78" s="10">
        <f>$C$61*D78</f>
        <v>1942.3828319590684</v>
      </c>
      <c r="F78" s="11">
        <f t="shared" si="8"/>
        <v>2642.9849803921566</v>
      </c>
      <c r="G78" s="11">
        <v>1194.2358965615699</v>
      </c>
    </row>
    <row r="79" spans="2:8" ht="15.75" thickBot="1" x14ac:dyDescent="0.3"/>
    <row r="80" spans="2:8" x14ac:dyDescent="0.25">
      <c r="B80" t="s">
        <v>131</v>
      </c>
      <c r="C80" s="23" t="s">
        <v>132</v>
      </c>
      <c r="D80" s="52">
        <v>23.51</v>
      </c>
      <c r="E80" s="41"/>
      <c r="F80" s="41"/>
      <c r="G80" s="41"/>
      <c r="H80" s="42"/>
    </row>
    <row r="81" spans="2:8" x14ac:dyDescent="0.25">
      <c r="B81" t="s">
        <v>133</v>
      </c>
      <c r="C81" s="43" t="s">
        <v>134</v>
      </c>
      <c r="D81" s="44">
        <f>C58</f>
        <v>0.68325841128018994</v>
      </c>
      <c r="H81" s="45"/>
    </row>
    <row r="82" spans="2:8" x14ac:dyDescent="0.25">
      <c r="C82" s="43" t="s">
        <v>135</v>
      </c>
      <c r="D82" s="5">
        <v>5</v>
      </c>
      <c r="H82" s="45"/>
    </row>
    <row r="83" spans="2:8" x14ac:dyDescent="0.25">
      <c r="C83" s="43" t="s">
        <v>136</v>
      </c>
      <c r="D83" s="46">
        <v>0.08</v>
      </c>
      <c r="H83" s="45"/>
    </row>
    <row r="84" spans="2:8" x14ac:dyDescent="0.25">
      <c r="C84" s="43" t="s">
        <v>137</v>
      </c>
      <c r="D84" s="6">
        <f>C69</f>
        <v>0.14543</v>
      </c>
      <c r="H84" s="45"/>
    </row>
    <row r="85" spans="2:8" x14ac:dyDescent="0.25">
      <c r="C85" s="43"/>
      <c r="H85" s="45"/>
    </row>
    <row r="86" spans="2:8" x14ac:dyDescent="0.25">
      <c r="C86" s="43" t="s">
        <v>138</v>
      </c>
      <c r="D86">
        <v>1</v>
      </c>
      <c r="E86">
        <v>2</v>
      </c>
      <c r="F86">
        <v>3</v>
      </c>
      <c r="G86">
        <v>4</v>
      </c>
      <c r="H86" s="45">
        <v>5</v>
      </c>
    </row>
    <row r="87" spans="2:8" x14ac:dyDescent="0.25">
      <c r="C87" s="43" t="s">
        <v>139</v>
      </c>
      <c r="D87" s="10">
        <f>$D$80*(1+$D$81)</f>
        <v>39.573405249197265</v>
      </c>
      <c r="E87" s="10">
        <f t="shared" ref="E87:H87" si="9">$D$80*(1+$D$81)</f>
        <v>39.573405249197265</v>
      </c>
      <c r="F87" s="10">
        <f t="shared" si="9"/>
        <v>39.573405249197265</v>
      </c>
      <c r="G87" s="10">
        <f t="shared" si="9"/>
        <v>39.573405249197265</v>
      </c>
      <c r="H87" s="47">
        <f t="shared" si="9"/>
        <v>39.573405249197265</v>
      </c>
    </row>
    <row r="88" spans="2:8" x14ac:dyDescent="0.25">
      <c r="C88" s="43" t="s">
        <v>140</v>
      </c>
      <c r="D88" s="10">
        <f>D87*($D$89)^D86</f>
        <v>34.54895126650888</v>
      </c>
      <c r="E88" s="10">
        <f t="shared" ref="E88:H88" si="10">E87*($D$89)^E86</f>
        <v>30.162429189482449</v>
      </c>
      <c r="F88" s="10">
        <f t="shared" si="10"/>
        <v>26.332843726358178</v>
      </c>
      <c r="G88" s="10">
        <f t="shared" si="10"/>
        <v>22.989483186539708</v>
      </c>
      <c r="H88" s="47">
        <f t="shared" si="10"/>
        <v>20.07061381886253</v>
      </c>
    </row>
    <row r="89" spans="2:8" x14ac:dyDescent="0.25">
      <c r="C89" s="43" t="s">
        <v>141</v>
      </c>
      <c r="D89" s="15">
        <f>1/(1+D84)</f>
        <v>0.8730345808997495</v>
      </c>
      <c r="H89" s="45"/>
    </row>
    <row r="90" spans="2:8" x14ac:dyDescent="0.25">
      <c r="C90" s="43"/>
      <c r="D90" s="15">
        <f>SUM(D88:H88)</f>
        <v>134.10432118775176</v>
      </c>
      <c r="H90" s="45"/>
    </row>
    <row r="91" spans="2:8" ht="15.75" thickBot="1" x14ac:dyDescent="0.3">
      <c r="C91" s="48" t="s">
        <v>142</v>
      </c>
      <c r="D91" s="49">
        <f>(D90+H88*D89)/(1-D89)</f>
        <v>1194.2358965615699</v>
      </c>
      <c r="E91" s="50"/>
      <c r="F91" s="50"/>
      <c r="G91" s="50"/>
      <c r="H91" s="51"/>
    </row>
    <row r="93" spans="2:8" x14ac:dyDescent="0.25">
      <c r="B93">
        <v>2024</v>
      </c>
      <c r="C93" t="s">
        <v>143</v>
      </c>
      <c r="D93" s="5">
        <v>1523.9079922095743</v>
      </c>
    </row>
    <row r="94" spans="2:8" x14ac:dyDescent="0.25">
      <c r="C94" t="s">
        <v>144</v>
      </c>
      <c r="D94" s="5">
        <v>1243.5089216430126</v>
      </c>
    </row>
    <row r="95" spans="2:8" x14ac:dyDescent="0.25">
      <c r="C95" t="s">
        <v>145</v>
      </c>
      <c r="D95" s="5">
        <v>986.9844096210677</v>
      </c>
    </row>
    <row r="96" spans="2:8" x14ac:dyDescent="0.25">
      <c r="D96" s="5"/>
    </row>
    <row r="97" spans="2:4" x14ac:dyDescent="0.25">
      <c r="B97">
        <v>2025</v>
      </c>
      <c r="C97" t="s">
        <v>143</v>
      </c>
      <c r="D97" s="5">
        <v>2355.4537866252649</v>
      </c>
    </row>
    <row r="98" spans="2:4" x14ac:dyDescent="0.25">
      <c r="C98" t="s">
        <v>144</v>
      </c>
      <c r="D98" s="5">
        <v>1555.9100600459753</v>
      </c>
    </row>
    <row r="99" spans="2:4" x14ac:dyDescent="0.25">
      <c r="C99" t="s">
        <v>145</v>
      </c>
      <c r="D99" s="5">
        <v>1194.2358965615699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BD04-22F8-49DD-B300-D97B65FCA622}">
  <dimension ref="A1:N99"/>
  <sheetViews>
    <sheetView workbookViewId="0">
      <selection activeCell="G15" sqref="G15"/>
    </sheetView>
  </sheetViews>
  <sheetFormatPr defaultRowHeight="15" x14ac:dyDescent="0.25"/>
  <cols>
    <col min="1" max="1" width="6.140625" bestFit="1" customWidth="1"/>
    <col min="2" max="2" width="50" bestFit="1" customWidth="1"/>
    <col min="3" max="3" width="18.5703125" bestFit="1" customWidth="1"/>
    <col min="4" max="7" width="15.28515625" bestFit="1" customWidth="1"/>
    <col min="8" max="8" width="9.85546875" bestFit="1" customWidth="1"/>
    <col min="9" max="9" width="8.140625" bestFit="1" customWidth="1"/>
    <col min="11" max="11" width="13.7109375" bestFit="1" customWidth="1"/>
    <col min="12" max="12" width="7.85546875" bestFit="1" customWidth="1"/>
    <col min="13" max="13" width="9.85546875" bestFit="1" customWidth="1"/>
    <col min="14" max="14" width="8.85546875" bestFit="1" customWidth="1"/>
  </cols>
  <sheetData>
    <row r="1" spans="1:14" x14ac:dyDescent="0.25">
      <c r="A1" t="s">
        <v>15</v>
      </c>
      <c r="B1" t="s">
        <v>50</v>
      </c>
      <c r="C1">
        <v>183.62</v>
      </c>
      <c r="F1" t="s">
        <v>51</v>
      </c>
      <c r="H1" t="s">
        <v>52</v>
      </c>
      <c r="K1" t="s">
        <v>53</v>
      </c>
      <c r="M1" t="s">
        <v>52</v>
      </c>
    </row>
    <row r="2" spans="1:14" x14ac:dyDescent="0.25">
      <c r="B2" t="s">
        <v>54</v>
      </c>
      <c r="E2" t="s">
        <v>55</v>
      </c>
      <c r="F2" s="11">
        <v>161.31370510486161</v>
      </c>
      <c r="G2" s="6">
        <f>(F2-C46)/C46</f>
        <v>-0.12148074771342116</v>
      </c>
      <c r="H2" s="40">
        <v>479.29528205128202</v>
      </c>
      <c r="I2" s="6">
        <f>(H2-C46)/C46</f>
        <v>1.6102564102564101</v>
      </c>
      <c r="K2" s="11">
        <v>212.61</v>
      </c>
      <c r="L2" s="6">
        <f>(K2-C46)/C46</f>
        <v>0.15788040518462046</v>
      </c>
      <c r="M2" s="11">
        <v>632.78276923076919</v>
      </c>
      <c r="N2" s="6">
        <f>(M2-C46)/C46</f>
        <v>2.4461538461538459</v>
      </c>
    </row>
    <row r="3" spans="1:14" x14ac:dyDescent="0.25">
      <c r="B3" t="s">
        <v>56</v>
      </c>
      <c r="E3" t="s">
        <v>57</v>
      </c>
      <c r="F3" s="11">
        <v>131.27830812927019</v>
      </c>
      <c r="G3" s="6">
        <f>(F3-C46)/C46</f>
        <v>-0.28505441602619441</v>
      </c>
      <c r="H3" s="40">
        <v>388.89774358974358</v>
      </c>
      <c r="I3" s="6">
        <f>(H3-C46)/C46</f>
        <v>1.117948717948718</v>
      </c>
      <c r="K3" s="11">
        <v>168.06</v>
      </c>
      <c r="L3" s="6">
        <f>(K3-C46)/C46</f>
        <v>-8.4740224376429599E-2</v>
      </c>
      <c r="M3" s="11">
        <v>489.65333333333336</v>
      </c>
      <c r="N3" s="6">
        <f>(M3-C46)/C46</f>
        <v>1.6666666666666667</v>
      </c>
    </row>
    <row r="4" spans="1:14" x14ac:dyDescent="0.25">
      <c r="E4" t="s">
        <v>58</v>
      </c>
      <c r="F4" s="11">
        <v>103.27</v>
      </c>
      <c r="G4" s="6">
        <f>(F4-C46)/C46</f>
        <v>-0.43758849798496902</v>
      </c>
      <c r="H4" s="40">
        <v>306.97497435897435</v>
      </c>
      <c r="I4" s="6">
        <f>(H4-C46)/C46</f>
        <v>0.67179487179487174</v>
      </c>
      <c r="K4" s="11">
        <v>117.1</v>
      </c>
      <c r="L4" s="6">
        <f>(K4-C46)/C46</f>
        <v>-0.36226990523908076</v>
      </c>
      <c r="M4" s="11">
        <v>-33.899076923076919</v>
      </c>
      <c r="N4" s="6">
        <f>(M4-C46)/C46</f>
        <v>-1.1846153846153844</v>
      </c>
    </row>
    <row r="6" spans="1:14" x14ac:dyDescent="0.25">
      <c r="B6" t="s">
        <v>59</v>
      </c>
      <c r="C6" t="s">
        <v>60</v>
      </c>
      <c r="D6" s="1">
        <v>45291</v>
      </c>
      <c r="E6" s="1">
        <v>44926</v>
      </c>
      <c r="F6" s="1">
        <v>44561</v>
      </c>
      <c r="G6" s="1">
        <v>44196</v>
      </c>
    </row>
    <row r="7" spans="1:14" x14ac:dyDescent="0.25">
      <c r="B7" t="s">
        <v>61</v>
      </c>
      <c r="C7" s="2">
        <v>574785000</v>
      </c>
      <c r="D7" s="2">
        <v>574785000</v>
      </c>
      <c r="E7" s="2">
        <v>513983000</v>
      </c>
      <c r="F7" s="2">
        <v>469822000</v>
      </c>
      <c r="G7" s="2">
        <v>386064000</v>
      </c>
    </row>
    <row r="8" spans="1:14" x14ac:dyDescent="0.25">
      <c r="B8" t="s">
        <v>62</v>
      </c>
      <c r="C8" s="2">
        <v>480980000</v>
      </c>
      <c r="D8" s="2">
        <v>480980000</v>
      </c>
      <c r="E8" s="2">
        <v>446343000</v>
      </c>
      <c r="F8" s="2">
        <v>403507000</v>
      </c>
      <c r="G8" s="2">
        <v>334564000</v>
      </c>
    </row>
    <row r="9" spans="1:14" x14ac:dyDescent="0.25">
      <c r="B9" t="s">
        <v>63</v>
      </c>
      <c r="C9" s="2">
        <v>93805000</v>
      </c>
      <c r="D9" s="2">
        <v>93805000</v>
      </c>
      <c r="E9" s="2">
        <v>67640000</v>
      </c>
      <c r="F9" s="2">
        <v>66315000</v>
      </c>
      <c r="G9" s="2">
        <v>51500000</v>
      </c>
    </row>
    <row r="10" spans="1:14" x14ac:dyDescent="0.25">
      <c r="B10" t="s">
        <v>64</v>
      </c>
      <c r="C10" s="2">
        <v>56953000</v>
      </c>
      <c r="D10" s="2">
        <v>56953000</v>
      </c>
      <c r="E10" s="2">
        <v>55392000</v>
      </c>
      <c r="F10" s="2">
        <v>41436000</v>
      </c>
      <c r="G10" s="2">
        <v>28601000</v>
      </c>
    </row>
    <row r="11" spans="1:14" x14ac:dyDescent="0.25">
      <c r="B11" t="s">
        <v>65</v>
      </c>
      <c r="C11" s="2">
        <v>36852000</v>
      </c>
      <c r="D11" s="2">
        <v>36852000</v>
      </c>
      <c r="E11" s="2">
        <v>12248000</v>
      </c>
      <c r="F11" s="2">
        <v>24879000</v>
      </c>
      <c r="G11" s="2">
        <v>22899000</v>
      </c>
    </row>
    <row r="12" spans="1:14" x14ac:dyDescent="0.25">
      <c r="B12" t="s">
        <v>66</v>
      </c>
      <c r="C12" s="2">
        <v>-233000</v>
      </c>
      <c r="D12" s="2">
        <v>-233000</v>
      </c>
      <c r="E12" s="2">
        <v>-1378000</v>
      </c>
      <c r="F12" s="2">
        <v>-1361000</v>
      </c>
      <c r="G12" s="2">
        <v>-1092000</v>
      </c>
    </row>
    <row r="13" spans="1:14" x14ac:dyDescent="0.25">
      <c r="B13" t="s">
        <v>67</v>
      </c>
      <c r="C13" s="2">
        <v>938000</v>
      </c>
      <c r="D13" s="2">
        <v>938000</v>
      </c>
      <c r="E13" s="2">
        <v>-16806000</v>
      </c>
      <c r="F13" s="2">
        <v>14633000</v>
      </c>
      <c r="G13" s="2">
        <v>2371000</v>
      </c>
    </row>
    <row r="14" spans="1:14" x14ac:dyDescent="0.25">
      <c r="B14" t="s">
        <v>68</v>
      </c>
      <c r="C14" s="2">
        <v>37557000</v>
      </c>
      <c r="D14" s="2">
        <v>37557000</v>
      </c>
      <c r="E14" s="2">
        <v>-5936000</v>
      </c>
      <c r="F14" s="2">
        <v>38151000</v>
      </c>
      <c r="G14" s="2">
        <v>24178000</v>
      </c>
    </row>
    <row r="15" spans="1:14" x14ac:dyDescent="0.25">
      <c r="B15" t="s">
        <v>69</v>
      </c>
      <c r="C15" s="2">
        <v>7120000</v>
      </c>
      <c r="D15" s="2">
        <v>7120000</v>
      </c>
      <c r="E15" s="2">
        <v>-3217000</v>
      </c>
      <c r="F15" s="2">
        <v>4791000</v>
      </c>
      <c r="G15" s="2">
        <v>2863000</v>
      </c>
    </row>
    <row r="16" spans="1:14" x14ac:dyDescent="0.25">
      <c r="B16" t="s">
        <v>70</v>
      </c>
      <c r="C16" s="2">
        <v>30425000</v>
      </c>
      <c r="D16" s="2">
        <v>30425000</v>
      </c>
      <c r="E16" s="2">
        <v>-2722000</v>
      </c>
      <c r="F16" s="2">
        <v>33364000</v>
      </c>
      <c r="G16" s="2">
        <v>21331000</v>
      </c>
    </row>
    <row r="17" spans="2:7" x14ac:dyDescent="0.25">
      <c r="B17" t="s">
        <v>71</v>
      </c>
      <c r="C17" s="2">
        <v>30425000</v>
      </c>
      <c r="D17" s="2">
        <v>30425000</v>
      </c>
      <c r="E17" s="2">
        <v>-2722000</v>
      </c>
      <c r="F17" s="2">
        <v>33364000</v>
      </c>
      <c r="G17" s="2">
        <v>21331000</v>
      </c>
    </row>
    <row r="18" spans="2:7" x14ac:dyDescent="0.25">
      <c r="B18" t="s">
        <v>72</v>
      </c>
      <c r="C18" s="2">
        <v>1.95</v>
      </c>
      <c r="D18" s="2">
        <v>2.95</v>
      </c>
      <c r="E18" s="2">
        <v>-0.27</v>
      </c>
      <c r="F18" s="2">
        <v>3.3</v>
      </c>
      <c r="G18" s="2">
        <v>2.13</v>
      </c>
    </row>
    <row r="19" spans="2:7" x14ac:dyDescent="0.25">
      <c r="B19" t="s">
        <v>74</v>
      </c>
      <c r="C19" s="2">
        <v>1.91</v>
      </c>
      <c r="D19" s="2">
        <v>2.9</v>
      </c>
      <c r="E19" s="2">
        <v>-0.27</v>
      </c>
      <c r="F19" s="2">
        <v>3.24</v>
      </c>
      <c r="G19" s="2">
        <v>2.09</v>
      </c>
    </row>
    <row r="20" spans="2:7" x14ac:dyDescent="0.25">
      <c r="B20" t="s">
        <v>75</v>
      </c>
      <c r="C20" s="2">
        <v>10270000</v>
      </c>
      <c r="D20" s="2">
        <v>10304000</v>
      </c>
      <c r="E20" s="2">
        <v>10189000</v>
      </c>
      <c r="F20" s="2">
        <v>10120000</v>
      </c>
      <c r="G20" s="2">
        <v>10000000</v>
      </c>
    </row>
    <row r="21" spans="2:7" x14ac:dyDescent="0.25">
      <c r="B21" t="s">
        <v>76</v>
      </c>
      <c r="C21" s="2">
        <v>10394500</v>
      </c>
      <c r="D21" s="2">
        <v>10492000</v>
      </c>
      <c r="E21" s="2">
        <v>10189000</v>
      </c>
      <c r="F21" s="2">
        <v>10300000</v>
      </c>
      <c r="G21" s="2">
        <v>10200000</v>
      </c>
    </row>
    <row r="22" spans="2:7" x14ac:dyDescent="0.25">
      <c r="B22" t="s">
        <v>77</v>
      </c>
      <c r="C22" s="2">
        <v>537933000</v>
      </c>
      <c r="D22" s="2">
        <v>537933000</v>
      </c>
      <c r="E22" s="2">
        <v>501735000</v>
      </c>
      <c r="F22" s="2">
        <v>444943000</v>
      </c>
      <c r="G22" s="2">
        <v>363165000</v>
      </c>
    </row>
    <row r="23" spans="2:7" x14ac:dyDescent="0.25">
      <c r="B23" t="s">
        <v>78</v>
      </c>
      <c r="C23" s="2">
        <v>30425000</v>
      </c>
      <c r="D23" s="2">
        <v>30425000</v>
      </c>
      <c r="E23" s="2">
        <v>-2722000</v>
      </c>
      <c r="F23" s="2">
        <v>33364000</v>
      </c>
      <c r="G23" s="2">
        <v>21331000</v>
      </c>
    </row>
    <row r="24" spans="2:7" x14ac:dyDescent="0.25">
      <c r="B24" t="s">
        <v>79</v>
      </c>
      <c r="C24" s="2">
        <v>29521380</v>
      </c>
      <c r="D24" s="2">
        <v>29521380</v>
      </c>
      <c r="E24" s="2">
        <v>10128140</v>
      </c>
      <c r="F24" s="2">
        <v>20551997</v>
      </c>
      <c r="G24" s="2">
        <v>19189626</v>
      </c>
    </row>
    <row r="25" spans="2:7" x14ac:dyDescent="0.25">
      <c r="B25" t="s">
        <v>80</v>
      </c>
      <c r="C25" s="2">
        <v>40739000</v>
      </c>
      <c r="D25" s="2">
        <v>40739000</v>
      </c>
      <c r="E25" s="2">
        <v>-3569000</v>
      </c>
      <c r="F25" s="2">
        <v>39960000</v>
      </c>
      <c r="G25" s="2">
        <v>25825000</v>
      </c>
    </row>
    <row r="26" spans="2:7" x14ac:dyDescent="0.25">
      <c r="B26" t="s">
        <v>81</v>
      </c>
      <c r="C26" s="2">
        <v>89402000</v>
      </c>
      <c r="D26" s="2">
        <v>89402000</v>
      </c>
      <c r="E26" s="2">
        <v>38352000</v>
      </c>
      <c r="F26" s="2">
        <v>74393000</v>
      </c>
      <c r="G26" s="2">
        <v>51076000</v>
      </c>
    </row>
    <row r="27" spans="2:7" x14ac:dyDescent="0.25">
      <c r="B27" t="s">
        <v>82</v>
      </c>
      <c r="C27" s="2">
        <v>527854000</v>
      </c>
      <c r="D27" s="2">
        <v>527854000</v>
      </c>
      <c r="E27" s="2">
        <v>462675000</v>
      </c>
      <c r="F27" s="2">
        <v>420549000</v>
      </c>
      <c r="G27" s="2">
        <v>321195000</v>
      </c>
    </row>
    <row r="28" spans="2:7" x14ac:dyDescent="0.25">
      <c r="B28" t="s">
        <v>83</v>
      </c>
      <c r="C28" s="2">
        <v>325979000</v>
      </c>
      <c r="D28" s="2">
        <v>325979000</v>
      </c>
      <c r="E28" s="2">
        <v>316632000</v>
      </c>
      <c r="F28" s="2">
        <v>282304000</v>
      </c>
      <c r="G28" s="2">
        <v>227791000</v>
      </c>
    </row>
    <row r="29" spans="2:7" x14ac:dyDescent="0.25">
      <c r="B29" t="s">
        <v>84</v>
      </c>
      <c r="C29" s="2">
        <v>201875000</v>
      </c>
      <c r="D29" s="2">
        <v>201875000</v>
      </c>
      <c r="E29" s="2">
        <v>146043000</v>
      </c>
      <c r="F29" s="2">
        <v>138245000</v>
      </c>
      <c r="G29" s="2">
        <v>93404000</v>
      </c>
    </row>
    <row r="30" spans="2:7" x14ac:dyDescent="0.25">
      <c r="B30" t="s">
        <v>85</v>
      </c>
      <c r="C30" s="2">
        <v>260189000</v>
      </c>
      <c r="D30" s="2">
        <v>260189000</v>
      </c>
      <c r="E30" s="2">
        <v>213193000</v>
      </c>
      <c r="F30" s="2">
        <v>186989000</v>
      </c>
      <c r="G30" s="2">
        <v>125220000</v>
      </c>
    </row>
    <row r="31" spans="2:7" x14ac:dyDescent="0.25">
      <c r="B31" t="s">
        <v>86</v>
      </c>
      <c r="C31" s="2">
        <v>201875000</v>
      </c>
      <c r="D31" s="2">
        <v>201875000</v>
      </c>
      <c r="E31" s="2">
        <v>146043000</v>
      </c>
      <c r="F31" s="2">
        <v>138245000</v>
      </c>
      <c r="G31" s="2">
        <v>93404000</v>
      </c>
    </row>
    <row r="32" spans="2:7" x14ac:dyDescent="0.25">
      <c r="B32" t="s">
        <v>87</v>
      </c>
      <c r="C32" s="2">
        <v>77297000</v>
      </c>
      <c r="D32" s="2">
        <v>77297000</v>
      </c>
      <c r="E32" s="2">
        <v>72968000</v>
      </c>
      <c r="F32" s="2">
        <v>67651000</v>
      </c>
      <c r="G32" s="2">
        <v>52573000</v>
      </c>
    </row>
    <row r="33" spans="2:7" x14ac:dyDescent="0.25">
      <c r="B33" t="s">
        <v>88</v>
      </c>
      <c r="C33" s="2">
        <v>171399000</v>
      </c>
      <c r="D33" s="2">
        <v>171399000</v>
      </c>
      <c r="E33" s="2">
        <v>119658000</v>
      </c>
      <c r="F33" s="2">
        <v>117767000</v>
      </c>
      <c r="G33" s="2">
        <v>73406000</v>
      </c>
    </row>
    <row r="34" spans="2:7" x14ac:dyDescent="0.25">
      <c r="B34" t="s">
        <v>89</v>
      </c>
      <c r="C34" s="2">
        <v>7434000</v>
      </c>
      <c r="D34" s="2">
        <v>7434000</v>
      </c>
      <c r="E34" s="2">
        <v>-8602000</v>
      </c>
      <c r="F34" s="2">
        <v>19314000</v>
      </c>
      <c r="G34" s="2">
        <v>6348000</v>
      </c>
    </row>
    <row r="35" spans="2:7" x14ac:dyDescent="0.25">
      <c r="B35" t="s">
        <v>90</v>
      </c>
      <c r="C35" s="2">
        <v>260189000</v>
      </c>
      <c r="D35" s="2">
        <v>260189000</v>
      </c>
      <c r="E35" s="2">
        <v>213193000</v>
      </c>
      <c r="F35" s="2">
        <v>186989000</v>
      </c>
      <c r="G35" s="2">
        <v>125220000</v>
      </c>
    </row>
    <row r="36" spans="2:7" x14ac:dyDescent="0.25">
      <c r="B36" t="s">
        <v>91</v>
      </c>
      <c r="C36" s="2">
        <v>171399000</v>
      </c>
      <c r="D36" s="2">
        <v>171399000</v>
      </c>
      <c r="E36" s="2">
        <v>119658000</v>
      </c>
      <c r="F36" s="2">
        <v>117767000</v>
      </c>
      <c r="G36" s="2">
        <v>73406000</v>
      </c>
    </row>
    <row r="37" spans="2:7" x14ac:dyDescent="0.25">
      <c r="B37" t="s">
        <v>92</v>
      </c>
      <c r="C37" s="2">
        <v>135611000</v>
      </c>
      <c r="D37" s="2">
        <v>135611000</v>
      </c>
      <c r="E37" s="2">
        <v>140118000</v>
      </c>
      <c r="F37" s="2">
        <v>116395000</v>
      </c>
      <c r="G37" s="2">
        <v>84389000</v>
      </c>
    </row>
    <row r="38" spans="2:7" x14ac:dyDescent="0.25">
      <c r="B38" t="s">
        <v>93</v>
      </c>
      <c r="C38" s="2" t="s">
        <v>73</v>
      </c>
      <c r="D38" s="2" t="s">
        <v>73</v>
      </c>
      <c r="E38" s="2">
        <v>13262000</v>
      </c>
      <c r="F38" s="2">
        <v>12524000</v>
      </c>
      <c r="G38" s="2" t="s">
        <v>73</v>
      </c>
    </row>
    <row r="39" spans="2:7" x14ac:dyDescent="0.25">
      <c r="B39" t="s">
        <v>94</v>
      </c>
      <c r="C39" s="2">
        <v>10898000</v>
      </c>
      <c r="D39" s="2">
        <v>10898000</v>
      </c>
      <c r="E39" s="2">
        <v>10757000</v>
      </c>
      <c r="F39" s="2">
        <v>10640000</v>
      </c>
      <c r="G39" s="2">
        <v>10540000</v>
      </c>
    </row>
    <row r="40" spans="2:7" x14ac:dyDescent="0.25">
      <c r="B40" t="s">
        <v>95</v>
      </c>
      <c r="C40" s="2">
        <v>11179000</v>
      </c>
      <c r="D40" s="2">
        <v>11179000</v>
      </c>
      <c r="E40" s="2">
        <v>6035000</v>
      </c>
      <c r="F40" s="2">
        <v>3688000</v>
      </c>
      <c r="G40" s="2">
        <v>1713000</v>
      </c>
    </row>
    <row r="41" spans="2:7" x14ac:dyDescent="0.25">
      <c r="B41" t="s">
        <v>96</v>
      </c>
      <c r="C41" s="2">
        <v>3112000</v>
      </c>
      <c r="D41" s="2">
        <v>3112000</v>
      </c>
      <c r="E41" s="2">
        <v>2142000</v>
      </c>
      <c r="F41" s="2">
        <v>1772000</v>
      </c>
      <c r="G41" s="2">
        <v>1630000</v>
      </c>
    </row>
    <row r="42" spans="2:7" x14ac:dyDescent="0.25">
      <c r="B42" t="s">
        <v>97</v>
      </c>
      <c r="C42" s="2">
        <v>-52729000</v>
      </c>
      <c r="D42" s="2">
        <v>-52729000</v>
      </c>
      <c r="E42" s="2">
        <v>-63645000</v>
      </c>
      <c r="F42" s="2">
        <v>-61053000</v>
      </c>
      <c r="G42" s="2">
        <v>-40140000</v>
      </c>
    </row>
    <row r="43" spans="2:7" x14ac:dyDescent="0.25">
      <c r="B43" s="12" t="s">
        <v>98</v>
      </c>
      <c r="C43" s="3">
        <v>32217000</v>
      </c>
      <c r="D43" s="3">
        <v>32217000</v>
      </c>
      <c r="E43" s="3">
        <v>-16893000</v>
      </c>
      <c r="F43" s="3">
        <v>-14726000</v>
      </c>
      <c r="G43" s="3">
        <v>25924000</v>
      </c>
    </row>
    <row r="44" spans="2:7" x14ac:dyDescent="0.25">
      <c r="B44" t="s">
        <v>150</v>
      </c>
      <c r="C44" s="7" t="s">
        <v>73</v>
      </c>
      <c r="D44" s="7" t="s">
        <v>73</v>
      </c>
      <c r="E44" s="7" t="s">
        <v>73</v>
      </c>
      <c r="F44" s="7" t="s">
        <v>73</v>
      </c>
      <c r="G44" s="7" t="s">
        <v>73</v>
      </c>
    </row>
    <row r="46" spans="2:7" x14ac:dyDescent="0.25">
      <c r="B46" t="s">
        <v>100</v>
      </c>
      <c r="C46">
        <v>183.62</v>
      </c>
      <c r="D46">
        <v>151.94</v>
      </c>
      <c r="E46">
        <v>84</v>
      </c>
      <c r="F46">
        <v>166.72</v>
      </c>
      <c r="G46">
        <v>162.75</v>
      </c>
    </row>
    <row r="48" spans="2:7" x14ac:dyDescent="0.25">
      <c r="B48" t="s">
        <v>101</v>
      </c>
      <c r="C48" s="19">
        <f>C17/C30</f>
        <v>0.11693422857999378</v>
      </c>
      <c r="D48" s="19">
        <f>D17/D30</f>
        <v>0.11693422857999378</v>
      </c>
      <c r="E48" s="19">
        <f>E17/E30</f>
        <v>-1.2767773801203605E-2</v>
      </c>
      <c r="F48" s="19">
        <f>F17/F30</f>
        <v>0.17842760804111471</v>
      </c>
      <c r="G48" s="19">
        <f>G17/G30</f>
        <v>0.17034818719054465</v>
      </c>
    </row>
    <row r="49" spans="2:7" x14ac:dyDescent="0.25">
      <c r="B49" t="s">
        <v>102</v>
      </c>
      <c r="C49" s="5">
        <f>C17/C15</f>
        <v>4.2731741573033704</v>
      </c>
      <c r="D49" s="5">
        <f>D17/D15</f>
        <v>4.2731741573033704</v>
      </c>
      <c r="E49" s="5">
        <f>E17/E15</f>
        <v>0.84612993472179043</v>
      </c>
      <c r="F49" s="5">
        <f>F17/F15</f>
        <v>6.9638906282613231</v>
      </c>
      <c r="G49" s="5">
        <f>G17/G15</f>
        <v>7.4505763185469789</v>
      </c>
    </row>
    <row r="50" spans="2:7" x14ac:dyDescent="0.25">
      <c r="B50" t="s">
        <v>103</v>
      </c>
      <c r="C50" s="5">
        <f>C15/C26</f>
        <v>7.9640276503881349E-2</v>
      </c>
      <c r="D50" s="5">
        <f>D15/D26</f>
        <v>7.9640276503881349E-2</v>
      </c>
      <c r="E50" s="5">
        <f>E15/E26</f>
        <v>-8.3880892782644975E-2</v>
      </c>
      <c r="F50" s="5">
        <f>F15/F26</f>
        <v>6.4401220544943738E-2</v>
      </c>
      <c r="G50" s="5">
        <f>G15/G26</f>
        <v>5.6053723862479442E-2</v>
      </c>
    </row>
    <row r="51" spans="2:7" x14ac:dyDescent="0.25">
      <c r="B51" t="s">
        <v>104</v>
      </c>
      <c r="C51" s="19">
        <f>C26/C8</f>
        <v>0.18587467254355691</v>
      </c>
      <c r="D51" s="19">
        <f>D26/D8</f>
        <v>0.18587467254355691</v>
      </c>
      <c r="E51" s="19">
        <f>E26/E8</f>
        <v>8.5924950094434099E-2</v>
      </c>
      <c r="F51" s="19">
        <f>F26/F8</f>
        <v>0.18436607047709211</v>
      </c>
      <c r="G51" s="19">
        <f>G26/G8</f>
        <v>0.15266436317117205</v>
      </c>
    </row>
    <row r="52" spans="2:7" x14ac:dyDescent="0.25">
      <c r="B52" t="s">
        <v>105</v>
      </c>
      <c r="C52" s="5">
        <f>C8/C28</f>
        <v>1.4754938201540591</v>
      </c>
      <c r="D52" s="5">
        <f>D8/D28</f>
        <v>1.4754938201540591</v>
      </c>
      <c r="E52" s="5">
        <f>E8/E28</f>
        <v>1.4096585310391874</v>
      </c>
      <c r="F52" s="5">
        <f>F8/F28</f>
        <v>1.4293350430741329</v>
      </c>
      <c r="G52" s="5">
        <f>G8/G28</f>
        <v>1.468732302856566</v>
      </c>
    </row>
    <row r="53" spans="2:7" x14ac:dyDescent="0.25">
      <c r="B53" t="s">
        <v>106</v>
      </c>
      <c r="C53" s="5">
        <f>C28/C30</f>
        <v>1.2528546556541591</v>
      </c>
      <c r="D53" s="5">
        <f>D28/D30</f>
        <v>1.2528546556541591</v>
      </c>
      <c r="E53" s="5">
        <f>E28/E30</f>
        <v>1.4851894762023143</v>
      </c>
      <c r="F53" s="5">
        <f>F28/F30</f>
        <v>1.509735866815695</v>
      </c>
      <c r="G53" s="5">
        <f>G28/G30</f>
        <v>1.8191263376457434</v>
      </c>
    </row>
    <row r="54" spans="2:7" x14ac:dyDescent="0.25">
      <c r="B54" t="s">
        <v>107</v>
      </c>
      <c r="C54" s="19">
        <f>C49*C50*C51*C53*C52</f>
        <v>0.11693422857999378</v>
      </c>
      <c r="D54" s="19">
        <f>D49*D50*D51*D53*D52</f>
        <v>0.11693422857999378</v>
      </c>
      <c r="E54" s="19">
        <f t="shared" ref="E54:G54" si="0">E49*E50*E51*E53*E52</f>
        <v>-1.2767773801203603E-2</v>
      </c>
      <c r="F54" s="19">
        <f t="shared" si="0"/>
        <v>0.17842760804111471</v>
      </c>
      <c r="G54" s="19">
        <f t="shared" si="0"/>
        <v>0.17034818719054468</v>
      </c>
    </row>
    <row r="55" spans="2:7" x14ac:dyDescent="0.25">
      <c r="B55" t="s">
        <v>108</v>
      </c>
      <c r="C55" s="19">
        <f>C26/C28</f>
        <v>0.27425693066117757</v>
      </c>
      <c r="D55" s="19">
        <f>D26/D28</f>
        <v>0.27425693066117757</v>
      </c>
      <c r="E55" s="19">
        <f t="shared" ref="E55:G55" si="1">E26/E28</f>
        <v>0.12112483892973547</v>
      </c>
      <c r="F55" s="19">
        <f t="shared" si="1"/>
        <v>0.26352088528678302</v>
      </c>
      <c r="G55" s="19">
        <f t="shared" si="1"/>
        <v>0.22422308168452659</v>
      </c>
    </row>
    <row r="56" spans="2:7" x14ac:dyDescent="0.25">
      <c r="B56" t="s">
        <v>109</v>
      </c>
      <c r="C56" t="s">
        <v>73</v>
      </c>
      <c r="D56" t="s">
        <v>73</v>
      </c>
      <c r="E56" t="s">
        <v>73</v>
      </c>
      <c r="F56" t="s">
        <v>73</v>
      </c>
      <c r="G56" t="s">
        <v>73</v>
      </c>
    </row>
    <row r="57" spans="2:7" x14ac:dyDescent="0.25">
      <c r="B57" t="s">
        <v>110</v>
      </c>
      <c r="C57">
        <v>100</v>
      </c>
      <c r="D57">
        <v>100</v>
      </c>
      <c r="E57">
        <v>100</v>
      </c>
      <c r="F57">
        <v>100</v>
      </c>
      <c r="G57">
        <v>100</v>
      </c>
    </row>
    <row r="58" spans="2:7" x14ac:dyDescent="0.25">
      <c r="B58" t="s">
        <v>111</v>
      </c>
      <c r="C58" s="6">
        <f>(D7-E7)/E7</f>
        <v>0.11829574129883673</v>
      </c>
    </row>
    <row r="60" spans="2:7" x14ac:dyDescent="0.25">
      <c r="B60" t="s">
        <v>112</v>
      </c>
      <c r="C60" s="5">
        <f>C46/C18</f>
        <v>94.164102564102564</v>
      </c>
      <c r="D60" s="5">
        <f>D46/D18</f>
        <v>51.505084745762709</v>
      </c>
      <c r="E60" s="5">
        <f>E46/E18</f>
        <v>-311.11111111111109</v>
      </c>
      <c r="F60" s="5">
        <f>F46/F18</f>
        <v>50.521212121212123</v>
      </c>
      <c r="G60" s="5">
        <f>G46/G18</f>
        <v>76.408450704225359</v>
      </c>
    </row>
    <row r="61" spans="2:7" x14ac:dyDescent="0.25">
      <c r="B61" t="s">
        <v>113</v>
      </c>
      <c r="C61" s="5">
        <f>SUM(C60:E60)/3</f>
        <v>-55.147307933748607</v>
      </c>
    </row>
    <row r="63" spans="2:7" x14ac:dyDescent="0.25">
      <c r="B63" t="s">
        <v>114</v>
      </c>
      <c r="C63" s="5">
        <f>C29/C20</f>
        <v>19.656767283349563</v>
      </c>
      <c r="D63" s="5">
        <f t="shared" ref="D63:G63" si="2">D29/D20</f>
        <v>19.591906055900623</v>
      </c>
      <c r="E63" s="5">
        <f t="shared" si="2"/>
        <v>14.333398763372264</v>
      </c>
      <c r="F63" s="5">
        <f t="shared" si="2"/>
        <v>13.660573122529645</v>
      </c>
      <c r="G63" s="5">
        <f t="shared" si="2"/>
        <v>9.3404000000000007</v>
      </c>
    </row>
    <row r="64" spans="2:7" x14ac:dyDescent="0.25">
      <c r="B64" t="s">
        <v>116</v>
      </c>
      <c r="C64" s="5">
        <f>C46/C63</f>
        <v>9.3413121981424148</v>
      </c>
      <c r="D64" s="5">
        <f t="shared" ref="D64:G64" si="3">D46/D63</f>
        <v>7.755243393188854</v>
      </c>
      <c r="E64" s="5">
        <f t="shared" si="3"/>
        <v>5.8604383640434667</v>
      </c>
      <c r="F64" s="5">
        <f t="shared" si="3"/>
        <v>12.20446598430323</v>
      </c>
      <c r="G64" s="5">
        <f t="shared" si="3"/>
        <v>17.424307310179433</v>
      </c>
    </row>
    <row r="66" spans="2:8" x14ac:dyDescent="0.25">
      <c r="B66" t="s">
        <v>117</v>
      </c>
      <c r="C66" s="6">
        <f>C68+C67*(C69-C68)</f>
        <v>0.161414</v>
      </c>
    </row>
    <row r="67" spans="2:8" x14ac:dyDescent="0.25">
      <c r="B67" t="s">
        <v>118</v>
      </c>
      <c r="C67" s="7">
        <v>1.1599999999999999</v>
      </c>
    </row>
    <row r="68" spans="2:8" x14ac:dyDescent="0.25">
      <c r="B68" t="s">
        <v>119</v>
      </c>
      <c r="C68" s="8">
        <v>4.5530000000000001E-2</v>
      </c>
    </row>
    <row r="69" spans="2:8" x14ac:dyDescent="0.25">
      <c r="B69" t="s">
        <v>120</v>
      </c>
      <c r="C69" s="8">
        <v>0.14543</v>
      </c>
    </row>
    <row r="71" spans="2:8" x14ac:dyDescent="0.25">
      <c r="D71" t="s">
        <v>121</v>
      </c>
      <c r="E71" t="s">
        <v>122</v>
      </c>
      <c r="F71" t="s">
        <v>123</v>
      </c>
      <c r="G71" t="s">
        <v>124</v>
      </c>
    </row>
    <row r="72" spans="2:8" x14ac:dyDescent="0.25">
      <c r="C72" t="s">
        <v>125</v>
      </c>
      <c r="D72" s="9">
        <v>4.78</v>
      </c>
      <c r="E72" s="10">
        <f>$C$61*D72</f>
        <v>-263.60413192331833</v>
      </c>
      <c r="F72" s="11">
        <f>$C$60*D72</f>
        <v>450.10441025641029</v>
      </c>
      <c r="G72" s="11">
        <v>161.31370510486161</v>
      </c>
    </row>
    <row r="73" spans="2:8" x14ac:dyDescent="0.25">
      <c r="C73" t="s">
        <v>126</v>
      </c>
      <c r="D73" s="9">
        <v>3.89</v>
      </c>
      <c r="E73" s="10">
        <f>$C$61*D73</f>
        <v>-214.52302786228208</v>
      </c>
      <c r="F73" s="11">
        <f t="shared" ref="F73:F78" si="4">$C$60*D73</f>
        <v>366.29835897435896</v>
      </c>
      <c r="G73" s="11">
        <v>131.27830812927019</v>
      </c>
    </row>
    <row r="74" spans="2:8" x14ac:dyDescent="0.25">
      <c r="C74" t="s">
        <v>127</v>
      </c>
      <c r="D74" s="9">
        <v>3.06</v>
      </c>
      <c r="E74" s="10">
        <f>$C$61*D74</f>
        <v>-168.75076227727075</v>
      </c>
      <c r="F74" s="11">
        <f t="shared" si="4"/>
        <v>288.14215384615386</v>
      </c>
      <c r="G74" s="11">
        <v>103.27</v>
      </c>
    </row>
    <row r="75" spans="2:8" x14ac:dyDescent="0.25">
      <c r="D75" s="9"/>
      <c r="E75" s="10"/>
      <c r="F75" s="11"/>
      <c r="G75" s="11"/>
    </row>
    <row r="76" spans="2:8" x14ac:dyDescent="0.25">
      <c r="C76" t="s">
        <v>128</v>
      </c>
      <c r="D76" s="9">
        <v>6.3</v>
      </c>
      <c r="E76" s="10">
        <f>$C$61*D76</f>
        <v>-347.42803998261621</v>
      </c>
      <c r="F76" s="11">
        <f t="shared" si="4"/>
        <v>593.23384615384612</v>
      </c>
      <c r="G76" s="11">
        <v>212.61</v>
      </c>
    </row>
    <row r="77" spans="2:8" x14ac:dyDescent="0.25">
      <c r="C77" t="s">
        <v>129</v>
      </c>
      <c r="D77" s="9">
        <v>4.9800000000000004</v>
      </c>
      <c r="E77" s="10">
        <f>$C$61*D77</f>
        <v>-274.63359351006807</v>
      </c>
      <c r="F77" s="11">
        <f t="shared" si="4"/>
        <v>468.93723076923078</v>
      </c>
      <c r="G77" s="11">
        <v>168.06</v>
      </c>
    </row>
    <row r="78" spans="2:8" x14ac:dyDescent="0.25">
      <c r="C78" t="s">
        <v>130</v>
      </c>
      <c r="D78" s="9">
        <v>3.47</v>
      </c>
      <c r="E78" s="10">
        <f>$C$61*D78</f>
        <v>-191.36115853010767</v>
      </c>
      <c r="F78" s="11">
        <f t="shared" si="4"/>
        <v>326.74943589743589</v>
      </c>
      <c r="G78" s="11">
        <v>117.1</v>
      </c>
    </row>
    <row r="79" spans="2:8" ht="15.75" thickBot="1" x14ac:dyDescent="0.3"/>
    <row r="80" spans="2:8" x14ac:dyDescent="0.25">
      <c r="B80" t="s">
        <v>131</v>
      </c>
      <c r="C80" s="23" t="s">
        <v>132</v>
      </c>
      <c r="D80" s="52">
        <v>3.47</v>
      </c>
      <c r="E80" s="41"/>
      <c r="F80" s="41"/>
      <c r="G80" s="41"/>
      <c r="H80" s="42"/>
    </row>
    <row r="81" spans="2:8" x14ac:dyDescent="0.25">
      <c r="B81" t="s">
        <v>133</v>
      </c>
      <c r="C81" s="43" t="s">
        <v>134</v>
      </c>
      <c r="D81" s="44">
        <f>C58</f>
        <v>0.11829574129883673</v>
      </c>
      <c r="H81" s="45"/>
    </row>
    <row r="82" spans="2:8" x14ac:dyDescent="0.25">
      <c r="C82" s="43" t="s">
        <v>135</v>
      </c>
      <c r="D82" s="5">
        <v>5</v>
      </c>
      <c r="H82" s="45"/>
    </row>
    <row r="83" spans="2:8" x14ac:dyDescent="0.25">
      <c r="C83" s="43" t="s">
        <v>136</v>
      </c>
      <c r="D83" s="46">
        <v>0.08</v>
      </c>
      <c r="H83" s="45"/>
    </row>
    <row r="84" spans="2:8" x14ac:dyDescent="0.25">
      <c r="C84" s="43" t="s">
        <v>137</v>
      </c>
      <c r="D84" s="6">
        <f>C69</f>
        <v>0.14543</v>
      </c>
      <c r="H84" s="45"/>
    </row>
    <row r="85" spans="2:8" x14ac:dyDescent="0.25">
      <c r="C85" s="43"/>
      <c r="H85" s="45"/>
    </row>
    <row r="86" spans="2:8" x14ac:dyDescent="0.25">
      <c r="C86" s="43" t="s">
        <v>138</v>
      </c>
      <c r="D86">
        <v>1</v>
      </c>
      <c r="E86">
        <v>2</v>
      </c>
      <c r="F86">
        <v>3</v>
      </c>
      <c r="G86">
        <v>4</v>
      </c>
      <c r="H86" s="45">
        <v>5</v>
      </c>
    </row>
    <row r="87" spans="2:8" x14ac:dyDescent="0.25">
      <c r="C87" s="43" t="s">
        <v>139</v>
      </c>
      <c r="D87" s="10">
        <f>$D$80*(1+$D$81)</f>
        <v>3.8804862223069638</v>
      </c>
      <c r="E87" s="10">
        <f t="shared" ref="E87:H87" si="5">$D$80*(1+$D$81)</f>
        <v>3.8804862223069638</v>
      </c>
      <c r="F87" s="10">
        <f t="shared" si="5"/>
        <v>3.8804862223069638</v>
      </c>
      <c r="G87" s="10">
        <f t="shared" si="5"/>
        <v>3.8804862223069638</v>
      </c>
      <c r="H87" s="47">
        <f t="shared" si="5"/>
        <v>3.8804862223069638</v>
      </c>
    </row>
    <row r="88" spans="2:8" x14ac:dyDescent="0.25">
      <c r="C88" s="43" t="s">
        <v>140</v>
      </c>
      <c r="D88" s="10">
        <f>D87*($D$89)^D86</f>
        <v>3.3877986627790122</v>
      </c>
      <c r="E88" s="10">
        <f t="shared" ref="E88:H88" si="6">E87*($D$89)^E86</f>
        <v>2.9576653857320068</v>
      </c>
      <c r="F88" s="10">
        <f t="shared" si="6"/>
        <v>2.5821441604742383</v>
      </c>
      <c r="G88" s="10">
        <f t="shared" si="6"/>
        <v>2.254301144962362</v>
      </c>
      <c r="H88" s="47">
        <f t="shared" si="6"/>
        <v>1.968082855314041</v>
      </c>
    </row>
    <row r="89" spans="2:8" x14ac:dyDescent="0.25">
      <c r="C89" s="43" t="s">
        <v>141</v>
      </c>
      <c r="D89" s="15">
        <f>1/(1+D84)</f>
        <v>0.8730345808997495</v>
      </c>
      <c r="H89" s="45"/>
    </row>
    <row r="90" spans="2:8" x14ac:dyDescent="0.25">
      <c r="C90" s="43"/>
      <c r="D90" s="15">
        <f>SUM(D88:H88)</f>
        <v>13.14999220926166</v>
      </c>
      <c r="H90" s="45"/>
    </row>
    <row r="91" spans="2:8" ht="15.75" thickBot="1" x14ac:dyDescent="0.3">
      <c r="C91" s="48" t="s">
        <v>142</v>
      </c>
      <c r="D91" s="49">
        <f>(D90+H88*D89)/(1-D89)</f>
        <v>117.10430056775515</v>
      </c>
      <c r="E91" s="50"/>
      <c r="F91" s="50"/>
      <c r="G91" s="50"/>
      <c r="H91" s="51"/>
    </row>
    <row r="93" spans="2:8" x14ac:dyDescent="0.25">
      <c r="B93">
        <v>2024</v>
      </c>
      <c r="C93" t="s">
        <v>143</v>
      </c>
      <c r="D93" s="5">
        <v>161.31370510486161</v>
      </c>
    </row>
    <row r="94" spans="2:8" x14ac:dyDescent="0.25">
      <c r="C94" t="s">
        <v>144</v>
      </c>
      <c r="D94" s="5">
        <v>131.27830812927019</v>
      </c>
    </row>
    <row r="95" spans="2:8" x14ac:dyDescent="0.25">
      <c r="C95" t="s">
        <v>145</v>
      </c>
      <c r="D95" s="5">
        <v>103.27</v>
      </c>
    </row>
    <row r="96" spans="2:8" x14ac:dyDescent="0.25">
      <c r="D96" s="5"/>
    </row>
    <row r="97" spans="2:4" x14ac:dyDescent="0.25">
      <c r="B97">
        <v>2025</v>
      </c>
      <c r="C97" t="s">
        <v>143</v>
      </c>
      <c r="D97" s="5">
        <v>212.61</v>
      </c>
    </row>
    <row r="98" spans="2:4" x14ac:dyDescent="0.25">
      <c r="C98" t="s">
        <v>144</v>
      </c>
      <c r="D98" s="5">
        <v>168.06</v>
      </c>
    </row>
    <row r="99" spans="2:4" x14ac:dyDescent="0.25">
      <c r="C99" t="s">
        <v>145</v>
      </c>
      <c r="D99" s="5">
        <v>117.1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Portfolio</vt:lpstr>
      <vt:lpstr>Prices</vt:lpstr>
      <vt:lpstr>TSLA</vt:lpstr>
      <vt:lpstr>QCOM</vt:lpstr>
      <vt:lpstr>MSFT</vt:lpstr>
      <vt:lpstr>NVDA</vt:lpstr>
      <vt:lpstr>AMZN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 Nayak</cp:lastModifiedBy>
  <cp:revision/>
  <dcterms:created xsi:type="dcterms:W3CDTF">2024-04-16T03:07:51Z</dcterms:created>
  <dcterms:modified xsi:type="dcterms:W3CDTF">2024-06-04T02:10:04Z</dcterms:modified>
  <cp:category/>
  <cp:contentStatus/>
</cp:coreProperties>
</file>