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fc404_scarletmail_rutgers_edu/Documents/Financial Management/"/>
    </mc:Choice>
  </mc:AlternateContent>
  <xr:revisionPtr revIDLastSave="227" documentId="8_{61780BF5-59F2-45AF-8E98-CF8F3CB06BCB}" xr6:coauthVersionLast="47" xr6:coauthVersionMax="47" xr10:uidLastSave="{BF214D15-A665-4E45-A9FA-29E3055B036C}"/>
  <bookViews>
    <workbookView xWindow="-120" yWindow="-120" windowWidth="29040" windowHeight="15840" activeTab="1" xr2:uid="{E1C50CD4-B82A-45AD-80D6-BFE85C5A8316}"/>
  </bookViews>
  <sheets>
    <sheet name="Capital Budgeting" sheetId="1" r:id="rId1"/>
    <sheet name="Sensitivity Analysis" sheetId="5" r:id="rId2"/>
    <sheet name="Scenario Analysi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B93" i="7" l="1"/>
  <c r="F93" i="7"/>
  <c r="B89" i="7"/>
  <c r="B92" i="7"/>
  <c r="B91" i="7"/>
  <c r="F92" i="7"/>
  <c r="F91" i="7"/>
  <c r="F89" i="7"/>
  <c r="B90" i="7"/>
  <c r="F90" i="7"/>
  <c r="B88" i="7"/>
  <c r="F88" i="7"/>
  <c r="C57" i="7"/>
  <c r="B56" i="7"/>
  <c r="C55" i="7"/>
  <c r="B54" i="7"/>
  <c r="C53" i="7"/>
  <c r="B52" i="7"/>
  <c r="D48" i="7"/>
  <c r="D47" i="7"/>
  <c r="N44" i="7"/>
  <c r="M44" i="7"/>
  <c r="B40" i="7"/>
  <c r="N34" i="7"/>
  <c r="M34" i="7"/>
  <c r="L34" i="7"/>
  <c r="K34" i="7"/>
  <c r="J34" i="7"/>
  <c r="I34" i="7"/>
  <c r="H34" i="7"/>
  <c r="G34" i="7"/>
  <c r="F34" i="7"/>
  <c r="E34" i="7"/>
  <c r="C28" i="7"/>
  <c r="L28" i="7" s="1"/>
  <c r="N23" i="7"/>
  <c r="M23" i="7"/>
  <c r="L23" i="7"/>
  <c r="K23" i="7"/>
  <c r="J23" i="7"/>
  <c r="I23" i="7"/>
  <c r="H23" i="7"/>
  <c r="G23" i="7"/>
  <c r="F23" i="7"/>
  <c r="E23" i="7"/>
  <c r="N22" i="7"/>
  <c r="M22" i="7"/>
  <c r="L22" i="7"/>
  <c r="K22" i="7"/>
  <c r="J22" i="7"/>
  <c r="I22" i="7"/>
  <c r="H22" i="7"/>
  <c r="G22" i="7"/>
  <c r="F22" i="7"/>
  <c r="E22" i="7"/>
  <c r="I14" i="7"/>
  <c r="K27" i="7" s="1"/>
  <c r="M10" i="7"/>
  <c r="G36" i="7" s="1"/>
  <c r="G44" i="7" s="1"/>
  <c r="I95" i="5"/>
  <c r="K95" i="5"/>
  <c r="M95" i="5"/>
  <c r="G95" i="5"/>
  <c r="E95" i="5"/>
  <c r="C95" i="5"/>
  <c r="C57" i="5"/>
  <c r="C55" i="5"/>
  <c r="C53" i="5"/>
  <c r="F34" i="5"/>
  <c r="G34" i="5"/>
  <c r="H34" i="5"/>
  <c r="I34" i="5"/>
  <c r="J34" i="5"/>
  <c r="K34" i="5"/>
  <c r="L34" i="5"/>
  <c r="M34" i="5"/>
  <c r="N34" i="5"/>
  <c r="E34" i="5"/>
  <c r="C28" i="5"/>
  <c r="F28" i="5" s="1"/>
  <c r="F23" i="5"/>
  <c r="G23" i="5"/>
  <c r="H23" i="5"/>
  <c r="I23" i="5"/>
  <c r="J23" i="5"/>
  <c r="K23" i="5"/>
  <c r="L23" i="5"/>
  <c r="M23" i="5"/>
  <c r="N23" i="5"/>
  <c r="E23" i="5"/>
  <c r="N22" i="5"/>
  <c r="M22" i="5"/>
  <c r="M24" i="5" s="1"/>
  <c r="L22" i="5"/>
  <c r="K22" i="5"/>
  <c r="K24" i="5" s="1"/>
  <c r="J22" i="5"/>
  <c r="I22" i="5"/>
  <c r="I24" i="5" s="1"/>
  <c r="H22" i="5"/>
  <c r="G22" i="5"/>
  <c r="G24" i="5" s="1"/>
  <c r="F22" i="5"/>
  <c r="E22" i="5"/>
  <c r="E24" i="5" s="1"/>
  <c r="B56" i="5"/>
  <c r="B54" i="5"/>
  <c r="B52" i="5"/>
  <c r="D48" i="5"/>
  <c r="D47" i="5"/>
  <c r="N44" i="5"/>
  <c r="M44" i="5"/>
  <c r="B40" i="5"/>
  <c r="I14" i="5"/>
  <c r="H27" i="5" s="1"/>
  <c r="M10" i="5"/>
  <c r="B54" i="1"/>
  <c r="B53" i="1"/>
  <c r="B52" i="1"/>
  <c r="B40" i="1"/>
  <c r="C48" i="1"/>
  <c r="C47" i="1"/>
  <c r="L44" i="1"/>
  <c r="M44" i="1"/>
  <c r="L10" i="1"/>
  <c r="F36" i="1" s="1"/>
  <c r="F44" i="1" s="1"/>
  <c r="E34" i="1"/>
  <c r="F34" i="1"/>
  <c r="G34" i="1"/>
  <c r="H34" i="1"/>
  <c r="I34" i="1"/>
  <c r="J34" i="1"/>
  <c r="K34" i="1"/>
  <c r="L34" i="1"/>
  <c r="M34" i="1"/>
  <c r="D34" i="1"/>
  <c r="E28" i="1"/>
  <c r="F28" i="1"/>
  <c r="G28" i="1"/>
  <c r="H28" i="1"/>
  <c r="I28" i="1"/>
  <c r="J28" i="1"/>
  <c r="K28" i="1"/>
  <c r="L28" i="1"/>
  <c r="M28" i="1"/>
  <c r="D28" i="1"/>
  <c r="H14" i="1"/>
  <c r="G27" i="1" s="1"/>
  <c r="E23" i="1"/>
  <c r="E24" i="1" s="1"/>
  <c r="F23" i="1"/>
  <c r="G23" i="1"/>
  <c r="G24" i="1" s="1"/>
  <c r="H23" i="1"/>
  <c r="H24" i="1" s="1"/>
  <c r="I23" i="1"/>
  <c r="I24" i="1" s="1"/>
  <c r="J23" i="1"/>
  <c r="J24" i="1" s="1"/>
  <c r="K23" i="1"/>
  <c r="K24" i="1" s="1"/>
  <c r="L23" i="1"/>
  <c r="L24" i="1" s="1"/>
  <c r="M23" i="1"/>
  <c r="M24" i="1" s="1"/>
  <c r="D23" i="1"/>
  <c r="D24" i="1" s="1"/>
  <c r="E22" i="1"/>
  <c r="F22" i="1"/>
  <c r="G22" i="1"/>
  <c r="H22" i="1"/>
  <c r="I22" i="1"/>
  <c r="J22" i="1"/>
  <c r="K22" i="1"/>
  <c r="L22" i="1"/>
  <c r="M22" i="1"/>
  <c r="D22" i="1"/>
  <c r="E24" i="7" l="1"/>
  <c r="I24" i="7"/>
  <c r="M24" i="7"/>
  <c r="L27" i="7"/>
  <c r="L29" i="7" s="1"/>
  <c r="M27" i="7"/>
  <c r="D49" i="7"/>
  <c r="H24" i="7"/>
  <c r="L24" i="7"/>
  <c r="E27" i="7"/>
  <c r="N28" i="7"/>
  <c r="F24" i="7"/>
  <c r="J24" i="7"/>
  <c r="N24" i="7"/>
  <c r="G24" i="7"/>
  <c r="K24" i="7"/>
  <c r="F28" i="7"/>
  <c r="F24" i="5"/>
  <c r="N24" i="5"/>
  <c r="J24" i="5"/>
  <c r="H24" i="5"/>
  <c r="L24" i="5"/>
  <c r="C49" i="1"/>
  <c r="G29" i="1"/>
  <c r="D52" i="7"/>
  <c r="H27" i="7"/>
  <c r="I27" i="7"/>
  <c r="L36" i="7"/>
  <c r="L44" i="7" s="1"/>
  <c r="I28" i="7"/>
  <c r="J28" i="7"/>
  <c r="E28" i="7"/>
  <c r="M28" i="7"/>
  <c r="D54" i="7"/>
  <c r="J36" i="7"/>
  <c r="J44" i="7" s="1"/>
  <c r="F36" i="7"/>
  <c r="F44" i="7" s="1"/>
  <c r="I36" i="7"/>
  <c r="I44" i="7" s="1"/>
  <c r="E36" i="7"/>
  <c r="E44" i="7" s="1"/>
  <c r="H36" i="7"/>
  <c r="H44" i="7" s="1"/>
  <c r="K36" i="7"/>
  <c r="K44" i="7" s="1"/>
  <c r="F27" i="7"/>
  <c r="J27" i="7"/>
  <c r="N27" i="7"/>
  <c r="G28" i="7"/>
  <c r="K28" i="7"/>
  <c r="K29" i="7" s="1"/>
  <c r="G27" i="7"/>
  <c r="H28" i="7"/>
  <c r="I27" i="5"/>
  <c r="D49" i="5"/>
  <c r="M27" i="5"/>
  <c r="E27" i="5"/>
  <c r="K27" i="5"/>
  <c r="G27" i="5"/>
  <c r="N27" i="5"/>
  <c r="J27" i="5"/>
  <c r="F27" i="5"/>
  <c r="F29" i="5" s="1"/>
  <c r="L27" i="5"/>
  <c r="L28" i="5"/>
  <c r="H28" i="5"/>
  <c r="H29" i="5" s="1"/>
  <c r="M28" i="5"/>
  <c r="I28" i="5"/>
  <c r="E28" i="5"/>
  <c r="K28" i="5"/>
  <c r="G28" i="5"/>
  <c r="N28" i="5"/>
  <c r="J28" i="5"/>
  <c r="D52" i="5"/>
  <c r="D53" i="5" s="1"/>
  <c r="L36" i="5"/>
  <c r="L44" i="5" s="1"/>
  <c r="H36" i="5"/>
  <c r="H44" i="5" s="1"/>
  <c r="J36" i="5"/>
  <c r="J44" i="5" s="1"/>
  <c r="K36" i="5"/>
  <c r="K44" i="5" s="1"/>
  <c r="G36" i="5"/>
  <c r="G44" i="5" s="1"/>
  <c r="F36" i="5"/>
  <c r="F44" i="5" s="1"/>
  <c r="E36" i="5"/>
  <c r="E44" i="5" s="1"/>
  <c r="I36" i="5"/>
  <c r="I44" i="5" s="1"/>
  <c r="K36" i="1"/>
  <c r="K44" i="1" s="1"/>
  <c r="D27" i="1"/>
  <c r="D29" i="1" s="1"/>
  <c r="J27" i="1"/>
  <c r="J29" i="1" s="1"/>
  <c r="F27" i="1"/>
  <c r="F29" i="1" s="1"/>
  <c r="M27" i="1"/>
  <c r="M29" i="1" s="1"/>
  <c r="I27" i="1"/>
  <c r="I29" i="1" s="1"/>
  <c r="E27" i="1"/>
  <c r="E29" i="1" s="1"/>
  <c r="D36" i="1"/>
  <c r="D44" i="1" s="1"/>
  <c r="I36" i="1"/>
  <c r="I44" i="1" s="1"/>
  <c r="H36" i="1"/>
  <c r="H44" i="1" s="1"/>
  <c r="L27" i="1"/>
  <c r="L29" i="1" s="1"/>
  <c r="H27" i="1"/>
  <c r="H29" i="1" s="1"/>
  <c r="E36" i="1"/>
  <c r="E44" i="1" s="1"/>
  <c r="J36" i="1"/>
  <c r="J44" i="1" s="1"/>
  <c r="K27" i="1"/>
  <c r="K29" i="1" s="1"/>
  <c r="G36" i="1"/>
  <c r="G44" i="1" s="1"/>
  <c r="M29" i="7" l="1"/>
  <c r="E29" i="7"/>
  <c r="N29" i="7"/>
  <c r="F29" i="7"/>
  <c r="F31" i="7" s="1"/>
  <c r="F32" i="7" s="1"/>
  <c r="E52" i="7"/>
  <c r="E53" i="7" s="1"/>
  <c r="E31" i="7"/>
  <c r="E38" i="7" s="1"/>
  <c r="N31" i="7"/>
  <c r="N38" i="7" s="1"/>
  <c r="D56" i="7"/>
  <c r="D57" i="7" s="1"/>
  <c r="I29" i="7"/>
  <c r="I31" i="7" s="1"/>
  <c r="I38" i="7" s="1"/>
  <c r="G29" i="7"/>
  <c r="G31" i="7" s="1"/>
  <c r="J29" i="7"/>
  <c r="J31" i="7" s="1"/>
  <c r="J38" i="7" s="1"/>
  <c r="L31" i="1"/>
  <c r="H29" i="7"/>
  <c r="H31" i="7" s="1"/>
  <c r="M31" i="7"/>
  <c r="M38" i="7" s="1"/>
  <c r="M40" i="7" s="1"/>
  <c r="M42" i="7" s="1"/>
  <c r="K31" i="7"/>
  <c r="K38" i="7" s="1"/>
  <c r="E54" i="7"/>
  <c r="E55" i="7" s="1"/>
  <c r="D55" i="7"/>
  <c r="L31" i="7"/>
  <c r="D53" i="7"/>
  <c r="E52" i="5"/>
  <c r="G29" i="5"/>
  <c r="G31" i="5" s="1"/>
  <c r="G38" i="5" s="1"/>
  <c r="K29" i="5"/>
  <c r="K31" i="5" s="1"/>
  <c r="K38" i="5" s="1"/>
  <c r="L29" i="5"/>
  <c r="N29" i="5"/>
  <c r="J29" i="5"/>
  <c r="M29" i="5"/>
  <c r="M31" i="5" s="1"/>
  <c r="M32" i="5" s="1"/>
  <c r="E29" i="5"/>
  <c r="E31" i="5" s="1"/>
  <c r="I29" i="5"/>
  <c r="I31" i="5" s="1"/>
  <c r="I38" i="5" s="1"/>
  <c r="H31" i="5"/>
  <c r="H32" i="5" s="1"/>
  <c r="D56" i="5"/>
  <c r="D54" i="5"/>
  <c r="F31" i="5"/>
  <c r="F32" i="5" s="1"/>
  <c r="I31" i="1"/>
  <c r="I32" i="1" s="1"/>
  <c r="M31" i="1"/>
  <c r="M38" i="1" s="1"/>
  <c r="J31" i="1"/>
  <c r="J32" i="1" s="1"/>
  <c r="G31" i="1"/>
  <c r="G32" i="1" s="1"/>
  <c r="C54" i="1"/>
  <c r="D54" i="1" s="1"/>
  <c r="E54" i="1" s="1"/>
  <c r="C52" i="1"/>
  <c r="C53" i="1"/>
  <c r="D53" i="1" s="1"/>
  <c r="F31" i="1"/>
  <c r="F38" i="1" s="1"/>
  <c r="H31" i="1"/>
  <c r="H32" i="1" s="1"/>
  <c r="E31" i="1"/>
  <c r="E38" i="1" s="1"/>
  <c r="D31" i="1"/>
  <c r="K31" i="1"/>
  <c r="K32" i="1" s="1"/>
  <c r="L38" i="1"/>
  <c r="L32" i="1"/>
  <c r="F52" i="7" l="1"/>
  <c r="F53" i="7" s="1"/>
  <c r="F38" i="7"/>
  <c r="F40" i="7" s="1"/>
  <c r="F42" i="7" s="1"/>
  <c r="E56" i="7"/>
  <c r="N32" i="7"/>
  <c r="E32" i="7"/>
  <c r="G32" i="7"/>
  <c r="G38" i="7"/>
  <c r="G40" i="7" s="1"/>
  <c r="G42" i="7" s="1"/>
  <c r="J32" i="7"/>
  <c r="K32" i="7"/>
  <c r="I38" i="1"/>
  <c r="I40" i="1" s="1"/>
  <c r="I42" i="1" s="1"/>
  <c r="M32" i="7"/>
  <c r="I32" i="7"/>
  <c r="D58" i="7"/>
  <c r="D61" i="7" s="1"/>
  <c r="D63" i="7" s="1"/>
  <c r="J40" i="7"/>
  <c r="J42" i="7" s="1"/>
  <c r="F56" i="7"/>
  <c r="F57" i="7" s="1"/>
  <c r="K40" i="7"/>
  <c r="K42" i="7" s="1"/>
  <c r="E40" i="7"/>
  <c r="E42" i="7" s="1"/>
  <c r="I40" i="7"/>
  <c r="I42" i="7" s="1"/>
  <c r="E57" i="7"/>
  <c r="E58" i="7" s="1"/>
  <c r="H32" i="7"/>
  <c r="H38" i="7"/>
  <c r="G52" i="7"/>
  <c r="G53" i="7" s="1"/>
  <c r="L32" i="7"/>
  <c r="L38" i="7"/>
  <c r="F54" i="7"/>
  <c r="N40" i="7"/>
  <c r="N42" i="7" s="1"/>
  <c r="E56" i="5"/>
  <c r="E57" i="5" s="1"/>
  <c r="D57" i="5"/>
  <c r="E54" i="5"/>
  <c r="D55" i="5"/>
  <c r="F52" i="5"/>
  <c r="E53" i="5"/>
  <c r="M38" i="5"/>
  <c r="M40" i="5" s="1"/>
  <c r="M42" i="5" s="1"/>
  <c r="N31" i="5"/>
  <c r="N38" i="5" s="1"/>
  <c r="N40" i="5" s="1"/>
  <c r="N42" i="5" s="1"/>
  <c r="L31" i="5"/>
  <c r="L38" i="5" s="1"/>
  <c r="L40" i="5" s="1"/>
  <c r="L42" i="5" s="1"/>
  <c r="I32" i="5"/>
  <c r="K32" i="5"/>
  <c r="H38" i="5"/>
  <c r="H40" i="5" s="1"/>
  <c r="H42" i="5" s="1"/>
  <c r="J31" i="5"/>
  <c r="J32" i="5" s="1"/>
  <c r="E32" i="5"/>
  <c r="E38" i="5"/>
  <c r="E40" i="5" s="1"/>
  <c r="E42" i="5" s="1"/>
  <c r="F38" i="5"/>
  <c r="F40" i="5" s="1"/>
  <c r="F42" i="5" s="1"/>
  <c r="G32" i="5"/>
  <c r="I40" i="5"/>
  <c r="I42" i="5" s="1"/>
  <c r="G40" i="5"/>
  <c r="G42" i="5" s="1"/>
  <c r="K40" i="5"/>
  <c r="K42" i="5" s="1"/>
  <c r="F56" i="5"/>
  <c r="F57" i="5" s="1"/>
  <c r="H38" i="1"/>
  <c r="H40" i="1" s="1"/>
  <c r="H42" i="1" s="1"/>
  <c r="M32" i="1"/>
  <c r="J38" i="1"/>
  <c r="J40" i="1" s="1"/>
  <c r="G38" i="1"/>
  <c r="G40" i="1" s="1"/>
  <c r="G42" i="1" s="1"/>
  <c r="F40" i="1"/>
  <c r="F42" i="1" s="1"/>
  <c r="K38" i="1"/>
  <c r="K40" i="1" s="1"/>
  <c r="K42" i="1" s="1"/>
  <c r="F32" i="1"/>
  <c r="F54" i="1"/>
  <c r="G54" i="1" s="1"/>
  <c r="C55" i="1"/>
  <c r="C58" i="1" s="1"/>
  <c r="E53" i="1"/>
  <c r="F53" i="1" s="1"/>
  <c r="D52" i="1"/>
  <c r="E52" i="1" s="1"/>
  <c r="E32" i="1"/>
  <c r="D38" i="1"/>
  <c r="D40" i="1" s="1"/>
  <c r="D42" i="1" s="1"/>
  <c r="D32" i="1"/>
  <c r="L40" i="1"/>
  <c r="L42" i="1" s="1"/>
  <c r="E40" i="1"/>
  <c r="E42" i="1" s="1"/>
  <c r="M40" i="1"/>
  <c r="M42" i="1" s="1"/>
  <c r="J42" i="1" l="1"/>
  <c r="H52" i="7"/>
  <c r="H53" i="7" s="1"/>
  <c r="D65" i="7"/>
  <c r="G56" i="7"/>
  <c r="G57" i="7" s="1"/>
  <c r="E61" i="7"/>
  <c r="E65" i="7" s="1"/>
  <c r="E66" i="7" s="1"/>
  <c r="I52" i="7"/>
  <c r="I53" i="7" s="1"/>
  <c r="L40" i="7"/>
  <c r="L42" i="7" s="1"/>
  <c r="H40" i="7"/>
  <c r="H42" i="7" s="1"/>
  <c r="F55" i="7"/>
  <c r="F58" i="7" s="1"/>
  <c r="F61" i="7" s="1"/>
  <c r="D69" i="7"/>
  <c r="G54" i="7"/>
  <c r="D58" i="5"/>
  <c r="D61" i="5" s="1"/>
  <c r="D65" i="5" s="1"/>
  <c r="F54" i="5"/>
  <c r="E55" i="5"/>
  <c r="G52" i="5"/>
  <c r="F53" i="5"/>
  <c r="N32" i="5"/>
  <c r="L32" i="5"/>
  <c r="J38" i="5"/>
  <c r="J40" i="5" s="1"/>
  <c r="J42" i="5" s="1"/>
  <c r="G56" i="5"/>
  <c r="G57" i="5" s="1"/>
  <c r="E55" i="1"/>
  <c r="E58" i="1" s="1"/>
  <c r="E60" i="1" s="1"/>
  <c r="C60" i="1"/>
  <c r="C62" i="1"/>
  <c r="H54" i="1"/>
  <c r="D55" i="1"/>
  <c r="D58" i="1" s="1"/>
  <c r="D60" i="1" s="1"/>
  <c r="F52" i="1"/>
  <c r="F55" i="1" s="1"/>
  <c r="F58" i="1" s="1"/>
  <c r="F60" i="1" s="1"/>
  <c r="G53" i="1"/>
  <c r="J52" i="7" l="1"/>
  <c r="J53" i="7" s="1"/>
  <c r="H56" i="7"/>
  <c r="H57" i="7" s="1"/>
  <c r="E63" i="7"/>
  <c r="E69" i="7" s="1"/>
  <c r="E70" i="7" s="1"/>
  <c r="F63" i="7"/>
  <c r="F65" i="7"/>
  <c r="F66" i="7" s="1"/>
  <c r="E67" i="7" s="1"/>
  <c r="G55" i="7"/>
  <c r="G58" i="7" s="1"/>
  <c r="G61" i="7" s="1"/>
  <c r="G63" i="7" s="1"/>
  <c r="H54" i="7"/>
  <c r="D63" i="5"/>
  <c r="D69" i="5" s="1"/>
  <c r="E58" i="5"/>
  <c r="E61" i="5" s="1"/>
  <c r="G54" i="5"/>
  <c r="H54" i="5" s="1"/>
  <c r="F55" i="5"/>
  <c r="F58" i="5" s="1"/>
  <c r="H52" i="5"/>
  <c r="H53" i="5" s="1"/>
  <c r="G53" i="5"/>
  <c r="H56" i="5"/>
  <c r="H57" i="5" s="1"/>
  <c r="E62" i="1"/>
  <c r="D62" i="1"/>
  <c r="D63" i="1" s="1"/>
  <c r="F66" i="1"/>
  <c r="E66" i="1"/>
  <c r="C66" i="1"/>
  <c r="D66" i="1"/>
  <c r="D67" i="1" s="1"/>
  <c r="F62" i="1"/>
  <c r="G52" i="1"/>
  <c r="G55" i="1" s="1"/>
  <c r="G58" i="1" s="1"/>
  <c r="H53" i="1"/>
  <c r="I53" i="1" s="1"/>
  <c r="I54" i="1"/>
  <c r="J54" i="1" s="1"/>
  <c r="I56" i="7" l="1"/>
  <c r="J56" i="7" s="1"/>
  <c r="E63" i="1"/>
  <c r="D64" i="1" s="1"/>
  <c r="E67" i="1"/>
  <c r="F67" i="1" s="1"/>
  <c r="K52" i="7"/>
  <c r="K53" i="7" s="1"/>
  <c r="F69" i="7"/>
  <c r="F70" i="7" s="1"/>
  <c r="E71" i="7" s="1"/>
  <c r="G69" i="7"/>
  <c r="H55" i="7"/>
  <c r="H58" i="7" s="1"/>
  <c r="H61" i="7" s="1"/>
  <c r="H63" i="7" s="1"/>
  <c r="I54" i="7"/>
  <c r="J54" i="7" s="1"/>
  <c r="J55" i="7" s="1"/>
  <c r="I57" i="7"/>
  <c r="G65" i="7"/>
  <c r="G66" i="7" s="1"/>
  <c r="F67" i="7" s="1"/>
  <c r="E63" i="5"/>
  <c r="E69" i="5" s="1"/>
  <c r="E70" i="5" s="1"/>
  <c r="E65" i="5"/>
  <c r="E66" i="5" s="1"/>
  <c r="F61" i="5"/>
  <c r="F63" i="5" s="1"/>
  <c r="I54" i="5"/>
  <c r="I55" i="5" s="1"/>
  <c r="H55" i="5"/>
  <c r="G55" i="5"/>
  <c r="G58" i="5" s="1"/>
  <c r="G61" i="5" s="1"/>
  <c r="G63" i="5" s="1"/>
  <c r="I52" i="5"/>
  <c r="I56" i="5"/>
  <c r="I57" i="5" s="1"/>
  <c r="G60" i="1"/>
  <c r="G62" i="1"/>
  <c r="J53" i="1"/>
  <c r="K53" i="1" s="1"/>
  <c r="L53" i="1" s="1"/>
  <c r="M53" i="1" s="1"/>
  <c r="K54" i="1"/>
  <c r="H52" i="1"/>
  <c r="H55" i="1" s="1"/>
  <c r="H58" i="1" s="1"/>
  <c r="L52" i="7" l="1"/>
  <c r="L53" i="7" s="1"/>
  <c r="F63" i="1"/>
  <c r="G63" i="1" s="1"/>
  <c r="D68" i="1"/>
  <c r="E68" i="1"/>
  <c r="G70" i="7"/>
  <c r="F71" i="7" s="1"/>
  <c r="H65" i="7"/>
  <c r="J57" i="7"/>
  <c r="J58" i="7" s="1"/>
  <c r="J61" i="7" s="1"/>
  <c r="J63" i="7" s="1"/>
  <c r="H69" i="7"/>
  <c r="K56" i="7"/>
  <c r="K57" i="7" s="1"/>
  <c r="I55" i="7"/>
  <c r="I58" i="7" s="1"/>
  <c r="I61" i="7" s="1"/>
  <c r="I63" i="7" s="1"/>
  <c r="I69" i="7" s="1"/>
  <c r="K54" i="7"/>
  <c r="J54" i="5"/>
  <c r="J55" i="5" s="1"/>
  <c r="F69" i="5"/>
  <c r="F70" i="5" s="1"/>
  <c r="G69" i="5"/>
  <c r="F65" i="5"/>
  <c r="F66" i="5" s="1"/>
  <c r="E67" i="5" s="1"/>
  <c r="H58" i="5"/>
  <c r="H61" i="5" s="1"/>
  <c r="G65" i="5"/>
  <c r="J52" i="5"/>
  <c r="J53" i="5" s="1"/>
  <c r="I53" i="5"/>
  <c r="J56" i="5"/>
  <c r="J57" i="5" s="1"/>
  <c r="H62" i="1"/>
  <c r="H60" i="1"/>
  <c r="H66" i="1" s="1"/>
  <c r="G66" i="1"/>
  <c r="G67" i="1" s="1"/>
  <c r="L54" i="1"/>
  <c r="M54" i="1" s="1"/>
  <c r="I52" i="1"/>
  <c r="H70" i="7" l="1"/>
  <c r="G71" i="7" s="1"/>
  <c r="M52" i="7"/>
  <c r="M53" i="7" s="1"/>
  <c r="E64" i="1"/>
  <c r="H67" i="1"/>
  <c r="G68" i="1" s="1"/>
  <c r="F68" i="1"/>
  <c r="H63" i="1"/>
  <c r="F64" i="1"/>
  <c r="I65" i="7"/>
  <c r="J65" i="7"/>
  <c r="J69" i="7"/>
  <c r="B79" i="7"/>
  <c r="K55" i="7"/>
  <c r="K58" i="7" s="1"/>
  <c r="K61" i="7" s="1"/>
  <c r="L54" i="7"/>
  <c r="H66" i="7"/>
  <c r="B78" i="7"/>
  <c r="L56" i="7"/>
  <c r="J58" i="5"/>
  <c r="J61" i="5" s="1"/>
  <c r="K54" i="5"/>
  <c r="K55" i="5" s="1"/>
  <c r="G66" i="5"/>
  <c r="F67" i="5" s="1"/>
  <c r="H63" i="5"/>
  <c r="H69" i="5" s="1"/>
  <c r="H65" i="5"/>
  <c r="I58" i="5"/>
  <c r="I61" i="5" s="1"/>
  <c r="K52" i="5"/>
  <c r="L52" i="5" s="1"/>
  <c r="K56" i="5"/>
  <c r="K57" i="5" s="1"/>
  <c r="G70" i="5"/>
  <c r="F71" i="5" s="1"/>
  <c r="E71" i="5"/>
  <c r="I55" i="1"/>
  <c r="I58" i="1" s="1"/>
  <c r="J52" i="1"/>
  <c r="N52" i="7" l="1"/>
  <c r="N53" i="7" s="1"/>
  <c r="I70" i="7"/>
  <c r="J70" i="7" s="1"/>
  <c r="I71" i="7" s="1"/>
  <c r="G64" i="1"/>
  <c r="I66" i="7"/>
  <c r="H67" i="7" s="1"/>
  <c r="L55" i="7"/>
  <c r="M54" i="7"/>
  <c r="K63" i="7"/>
  <c r="K65" i="7"/>
  <c r="L57" i="7"/>
  <c r="M56" i="7"/>
  <c r="G67" i="7"/>
  <c r="L54" i="5"/>
  <c r="L55" i="5" s="1"/>
  <c r="K53" i="5"/>
  <c r="K58" i="5" s="1"/>
  <c r="K61" i="5" s="1"/>
  <c r="K63" i="5" s="1"/>
  <c r="H66" i="5"/>
  <c r="G67" i="5" s="1"/>
  <c r="I63" i="5"/>
  <c r="I69" i="5" s="1"/>
  <c r="I65" i="5"/>
  <c r="B78" i="5"/>
  <c r="J65" i="5"/>
  <c r="J63" i="5"/>
  <c r="M52" i="5"/>
  <c r="L53" i="5"/>
  <c r="H70" i="5"/>
  <c r="L56" i="5"/>
  <c r="L57" i="5" s="1"/>
  <c r="I60" i="1"/>
  <c r="I62" i="1"/>
  <c r="I63" i="1" s="1"/>
  <c r="J55" i="1"/>
  <c r="J58" i="1" s="1"/>
  <c r="J60" i="1" s="1"/>
  <c r="K52" i="1"/>
  <c r="H71" i="7" l="1"/>
  <c r="M54" i="5"/>
  <c r="M55" i="5" s="1"/>
  <c r="H64" i="1"/>
  <c r="J66" i="7"/>
  <c r="I67" i="7" s="1"/>
  <c r="L58" i="7"/>
  <c r="L61" i="7" s="1"/>
  <c r="L63" i="7" s="1"/>
  <c r="L69" i="7" s="1"/>
  <c r="M57" i="7"/>
  <c r="N56" i="7"/>
  <c r="N57" i="7" s="1"/>
  <c r="K69" i="7"/>
  <c r="K70" i="7" s="1"/>
  <c r="M55" i="7"/>
  <c r="N54" i="7"/>
  <c r="N55" i="7" s="1"/>
  <c r="L58" i="5"/>
  <c r="L61" i="5" s="1"/>
  <c r="B79" i="5"/>
  <c r="J69" i="5"/>
  <c r="I70" i="5"/>
  <c r="H71" i="5" s="1"/>
  <c r="K69" i="5"/>
  <c r="I66" i="5"/>
  <c r="J66" i="5" s="1"/>
  <c r="K65" i="5"/>
  <c r="N52" i="5"/>
  <c r="N53" i="5" s="1"/>
  <c r="M53" i="5"/>
  <c r="G71" i="5"/>
  <c r="M56" i="5"/>
  <c r="M57" i="5" s="1"/>
  <c r="J62" i="1"/>
  <c r="J63" i="1" s="1"/>
  <c r="J66" i="1"/>
  <c r="I66" i="1"/>
  <c r="I67" i="1" s="1"/>
  <c r="K55" i="1"/>
  <c r="K58" i="1" s="1"/>
  <c r="L52" i="1"/>
  <c r="L55" i="1" s="1"/>
  <c r="L58" i="1" s="1"/>
  <c r="L60" i="1" s="1"/>
  <c r="N54" i="5" l="1"/>
  <c r="N55" i="5" s="1"/>
  <c r="K66" i="7"/>
  <c r="J67" i="7" s="1"/>
  <c r="J67" i="1"/>
  <c r="I68" i="1" s="1"/>
  <c r="H68" i="1"/>
  <c r="I64" i="1"/>
  <c r="M58" i="7"/>
  <c r="M61" i="7" s="1"/>
  <c r="M65" i="7" s="1"/>
  <c r="L70" i="7"/>
  <c r="K71" i="7" s="1"/>
  <c r="L65" i="7"/>
  <c r="J71" i="7"/>
  <c r="N58" i="7"/>
  <c r="N61" i="7" s="1"/>
  <c r="J70" i="5"/>
  <c r="I71" i="5" s="1"/>
  <c r="M58" i="5"/>
  <c r="M61" i="5" s="1"/>
  <c r="M65" i="5" s="1"/>
  <c r="K66" i="5"/>
  <c r="J67" i="5" s="1"/>
  <c r="I67" i="5"/>
  <c r="H67" i="5"/>
  <c r="L63" i="5"/>
  <c r="L65" i="5"/>
  <c r="N56" i="5"/>
  <c r="M52" i="1"/>
  <c r="M55" i="1" s="1"/>
  <c r="M58" i="1" s="1"/>
  <c r="B74" i="1" s="1"/>
  <c r="L62" i="1"/>
  <c r="K60" i="1"/>
  <c r="K62" i="1"/>
  <c r="K63" i="1" s="1"/>
  <c r="J64" i="1" s="1"/>
  <c r="M63" i="7" l="1"/>
  <c r="M69" i="7" s="1"/>
  <c r="M70" i="7" s="1"/>
  <c r="L71" i="7" s="1"/>
  <c r="K70" i="5"/>
  <c r="J71" i="5" s="1"/>
  <c r="L66" i="7"/>
  <c r="K67" i="7" s="1"/>
  <c r="B73" i="1"/>
  <c r="M62" i="1"/>
  <c r="N63" i="7"/>
  <c r="B77" i="7"/>
  <c r="B76" i="7"/>
  <c r="N65" i="7"/>
  <c r="L66" i="5"/>
  <c r="M66" i="5" s="1"/>
  <c r="L67" i="5" s="1"/>
  <c r="N57" i="5"/>
  <c r="N58" i="5" s="1"/>
  <c r="N61" i="5" s="1"/>
  <c r="M63" i="5"/>
  <c r="L69" i="5"/>
  <c r="L63" i="1"/>
  <c r="M60" i="1"/>
  <c r="M66" i="1" s="1"/>
  <c r="B72" i="1" s="1"/>
  <c r="L66" i="1"/>
  <c r="K66" i="1"/>
  <c r="K67" i="1" s="1"/>
  <c r="N69" i="7" l="1"/>
  <c r="B75" i="7" s="1"/>
  <c r="M66" i="7"/>
  <c r="L67" i="7" s="1"/>
  <c r="L70" i="5"/>
  <c r="K71" i="5" s="1"/>
  <c r="L67" i="1"/>
  <c r="K68" i="1" s="1"/>
  <c r="J68" i="1"/>
  <c r="K64" i="1"/>
  <c r="K67" i="5"/>
  <c r="N63" i="5"/>
  <c r="N69" i="5" s="1"/>
  <c r="B75" i="5" s="1"/>
  <c r="B76" i="5"/>
  <c r="B77" i="5"/>
  <c r="N65" i="5"/>
  <c r="N66" i="5" s="1"/>
  <c r="N67" i="5" s="1"/>
  <c r="M69" i="5"/>
  <c r="M70" i="5" s="1"/>
  <c r="M63" i="1"/>
  <c r="M64" i="1" s="1"/>
  <c r="N70" i="7" l="1"/>
  <c r="M71" i="7" s="1"/>
  <c r="N66" i="7"/>
  <c r="N67" i="7" s="1"/>
  <c r="L64" i="1"/>
  <c r="M67" i="1"/>
  <c r="M68" i="1" s="1"/>
  <c r="M67" i="5"/>
  <c r="N70" i="5"/>
  <c r="N71" i="5" s="1"/>
  <c r="L71" i="5"/>
  <c r="N71" i="7" l="1"/>
  <c r="M67" i="7"/>
  <c r="L68" i="1"/>
  <c r="M71" i="5"/>
</calcChain>
</file>

<file path=xl/sharedStrings.xml><?xml version="1.0" encoding="utf-8"?>
<sst xmlns="http://schemas.openxmlformats.org/spreadsheetml/2006/main" count="254" uniqueCount="83">
  <si>
    <t>Capital Budgeting Problem</t>
  </si>
  <si>
    <t>Assumptions:</t>
  </si>
  <si>
    <t>Revenues</t>
  </si>
  <si>
    <t>Sales price per unit</t>
  </si>
  <si>
    <t>Sales price inflation</t>
  </si>
  <si>
    <t>Number of units sold</t>
  </si>
  <si>
    <t>Units sold inflation</t>
  </si>
  <si>
    <t>Fixed Costs Assumption</t>
  </si>
  <si>
    <t>Fixed costs inflation</t>
  </si>
  <si>
    <t>Cash flow Analysis</t>
  </si>
  <si>
    <t>Year</t>
  </si>
  <si>
    <t>Assumption</t>
  </si>
  <si>
    <t>Sales Price per unit</t>
  </si>
  <si>
    <t>Units</t>
  </si>
  <si>
    <t>Total Reveunes</t>
  </si>
  <si>
    <t>Variable Costs</t>
  </si>
  <si>
    <t>Variable cost per unit</t>
  </si>
  <si>
    <t>Total Variable Costs</t>
  </si>
  <si>
    <t>Material</t>
  </si>
  <si>
    <t>Plastic</t>
  </si>
  <si>
    <t>Metal</t>
  </si>
  <si>
    <t>Gold</t>
  </si>
  <si>
    <t>Wire</t>
  </si>
  <si>
    <t>Labor</t>
  </si>
  <si>
    <t>Per Unit</t>
  </si>
  <si>
    <t>Total Variable Costs per Unit</t>
  </si>
  <si>
    <t>Variable Cost Inflation</t>
  </si>
  <si>
    <t>Contribution Margin</t>
  </si>
  <si>
    <t>As a % of sales</t>
  </si>
  <si>
    <t>Fixed costs</t>
  </si>
  <si>
    <t>Depreciation using 7 year MACRS</t>
  </si>
  <si>
    <t>Capital Costs</t>
  </si>
  <si>
    <t>Total Capital Costs</t>
  </si>
  <si>
    <t>Plastic molds</t>
  </si>
  <si>
    <t>Metal stamping equipment</t>
  </si>
  <si>
    <t>EBT</t>
  </si>
  <si>
    <t>Taxes at</t>
  </si>
  <si>
    <t>Profit after tax</t>
  </si>
  <si>
    <t>Add back depreciation</t>
  </si>
  <si>
    <t>Capital Investment</t>
  </si>
  <si>
    <t>Total Capital Investment</t>
  </si>
  <si>
    <t>Working Capital Investment</t>
  </si>
  <si>
    <t>Accounts Receivable as a % of revenues</t>
  </si>
  <si>
    <t>Inventroy as a % of revenues</t>
  </si>
  <si>
    <t>Accounts Payable as a % of revenues</t>
  </si>
  <si>
    <t>Net Working Capital Investment</t>
  </si>
  <si>
    <t>Working Capital Assumption</t>
  </si>
  <si>
    <t>Tax Rate Assumption</t>
  </si>
  <si>
    <t>Discount Rate</t>
  </si>
  <si>
    <t>Cash Flows From Assets</t>
  </si>
  <si>
    <t>PV of Cash Flows</t>
  </si>
  <si>
    <t>Cummulative Cash Flow for Payback Calculation</t>
  </si>
  <si>
    <t>Cummulative Cash Flow for Discounted Payback Calculation</t>
  </si>
  <si>
    <t>Capital Budgeting Metrics (Calculations)</t>
  </si>
  <si>
    <t>Net Present Value</t>
  </si>
  <si>
    <t>Internal Rate of Return</t>
  </si>
  <si>
    <t>Profitability Index</t>
  </si>
  <si>
    <t>Payback Period</t>
  </si>
  <si>
    <t>Discounted Payback Period</t>
  </si>
  <si>
    <t>Years of packback period (Integer)</t>
  </si>
  <si>
    <t>Years of packback period (decimal)</t>
  </si>
  <si>
    <t>Years of discounted packback period (Integer)</t>
  </si>
  <si>
    <t>Years of discounted packback period (decimal)</t>
  </si>
  <si>
    <t>Sensitivity Variable</t>
  </si>
  <si>
    <t>Sensitivity Analysis Results</t>
  </si>
  <si>
    <t>5% change in each variable; showing the Capital Budgeting Metrics</t>
  </si>
  <si>
    <t>Base Case</t>
  </si>
  <si>
    <t>Sales Price</t>
  </si>
  <si>
    <t>Sales Volume</t>
  </si>
  <si>
    <t>Fixed Costs</t>
  </si>
  <si>
    <t>5% change in each variable to analyze project sensitivity</t>
  </si>
  <si>
    <t>Sensitivity Analysis Ranking</t>
  </si>
  <si>
    <t>Impact on NPV</t>
  </si>
  <si>
    <t>Showing a Base Case, Worst Case and Best Case Scenario</t>
  </si>
  <si>
    <t>Scenario Analysis Under Multiple Assumption Changes</t>
  </si>
  <si>
    <t>Worst Case</t>
  </si>
  <si>
    <t>Best Case</t>
  </si>
  <si>
    <t>Assumptions</t>
  </si>
  <si>
    <t>Units Sold</t>
  </si>
  <si>
    <t>Capital Investemnt</t>
  </si>
  <si>
    <t>Net Working Capital (as a % of Sales)</t>
  </si>
  <si>
    <t>Capital Budgeting Metrics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</si>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</sst>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_(* #,##0_);_(* \(#,##0\);_(* &quot;-&quot;?_);_(@_)"/>
    <numFmt numFmtId="168" formatCode="&quot;$&quot;#,##0"/>
    <numFmt numFmtId="169" formatCode="\+0%;\-0%;0%"/>
    <numFmt numFmtId="170" formatCode="\+0%;\-0%;0"/>
    <numFmt numFmtId="171" formatCode="&quot;$&quot;#,##0;[Red]&quot;$&quot;#,##0"/>
    <numFmt numFmtId="172" formatCode="&quot;$&quot;#,##0.00;[Red]&quot;$&quot;#,##0.00"/>
    <numFmt numFmtId="173" formatCode="0.00;[Red]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6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 indent="1"/>
    </xf>
    <xf numFmtId="44" fontId="1" fillId="2" borderId="0" xfId="1" applyNumberFormat="1"/>
    <xf numFmtId="167" fontId="1" fillId="2" borderId="0" xfId="1" applyNumberFormat="1"/>
    <xf numFmtId="166" fontId="1" fillId="2" borderId="0" xfId="1" applyNumberFormat="1"/>
    <xf numFmtId="164" fontId="1" fillId="2" borderId="0" xfId="1" applyNumberFormat="1"/>
    <xf numFmtId="165" fontId="1" fillId="2" borderId="0" xfId="1" applyNumberFormat="1"/>
    <xf numFmtId="9" fontId="1" fillId="2" borderId="0" xfId="1" applyNumberFormat="1" applyAlignment="1">
      <alignment horizontal="center"/>
    </xf>
    <xf numFmtId="6" fontId="1" fillId="2" borderId="0" xfId="1" applyNumberFormat="1"/>
    <xf numFmtId="0" fontId="1" fillId="3" borderId="0" xfId="2"/>
    <xf numFmtId="0" fontId="1" fillId="3" borderId="0" xfId="2" applyAlignment="1">
      <alignment horizontal="center"/>
    </xf>
    <xf numFmtId="0" fontId="1" fillId="3" borderId="0" xfId="2" applyAlignment="1">
      <alignment horizontal="left"/>
    </xf>
    <xf numFmtId="0" fontId="1" fillId="3" borderId="0" xfId="2" applyAlignment="1">
      <alignment horizontal="left" indent="1"/>
    </xf>
    <xf numFmtId="166" fontId="1" fillId="2" borderId="0" xfId="1" applyNumberFormat="1" applyAlignment="1">
      <alignment horizontal="center"/>
    </xf>
    <xf numFmtId="10" fontId="1" fillId="2" borderId="0" xfId="1" applyNumberFormat="1"/>
    <xf numFmtId="9" fontId="1" fillId="2" borderId="0" xfId="1" applyNumberFormat="1"/>
    <xf numFmtId="9" fontId="3" fillId="4" borderId="1" xfId="6" applyNumberFormat="1" applyAlignment="1">
      <alignment horizontal="center"/>
    </xf>
    <xf numFmtId="0" fontId="2" fillId="3" borderId="0" xfId="2" applyFont="1"/>
    <xf numFmtId="0" fontId="2" fillId="3" borderId="0" xfId="2" applyFont="1" applyAlignment="1">
      <alignment horizontal="center"/>
    </xf>
    <xf numFmtId="0" fontId="2" fillId="3" borderId="0" xfId="2" applyFont="1" applyAlignment="1">
      <alignment horizontal="left" indent="1"/>
    </xf>
    <xf numFmtId="6" fontId="2" fillId="3" borderId="0" xfId="2" applyNumberFormat="1" applyFont="1" applyAlignment="1">
      <alignment horizontal="center"/>
    </xf>
    <xf numFmtId="165" fontId="2" fillId="3" borderId="0" xfId="2" applyNumberFormat="1" applyFont="1" applyAlignment="1">
      <alignment horizontal="center"/>
    </xf>
    <xf numFmtId="2" fontId="2" fillId="3" borderId="0" xfId="2" applyNumberFormat="1" applyFont="1" applyAlignment="1">
      <alignment horizontal="center"/>
    </xf>
    <xf numFmtId="0" fontId="2" fillId="3" borderId="0" xfId="2" applyFont="1" applyAlignment="1">
      <alignment horizontal="left"/>
    </xf>
    <xf numFmtId="0" fontId="2" fillId="2" borderId="0" xfId="1" applyFont="1"/>
    <xf numFmtId="0" fontId="2" fillId="2" borderId="0" xfId="1" applyFont="1" applyAlignment="1">
      <alignment horizontal="center"/>
    </xf>
    <xf numFmtId="0" fontId="2" fillId="2" borderId="0" xfId="1" applyFont="1" applyAlignment="1">
      <alignment horizontal="left" indent="2"/>
    </xf>
    <xf numFmtId="166" fontId="2" fillId="2" borderId="0" xfId="1" applyNumberFormat="1" applyFont="1"/>
    <xf numFmtId="9" fontId="2" fillId="2" borderId="0" xfId="1" applyNumberFormat="1" applyFont="1" applyAlignment="1">
      <alignment horizontal="center"/>
    </xf>
    <xf numFmtId="168" fontId="1" fillId="2" borderId="0" xfId="1" applyNumberFormat="1"/>
    <xf numFmtId="6" fontId="2" fillId="2" borderId="0" xfId="1" applyNumberFormat="1" applyFont="1"/>
    <xf numFmtId="2" fontId="1" fillId="2" borderId="0" xfId="1" applyNumberFormat="1"/>
    <xf numFmtId="1" fontId="1" fillId="2" borderId="0" xfId="1" applyNumberFormat="1"/>
    <xf numFmtId="1" fontId="1" fillId="2" borderId="0" xfId="1" applyNumberFormat="1" applyAlignment="1">
      <alignment horizontal="center"/>
    </xf>
    <xf numFmtId="1" fontId="0" fillId="0" borderId="0" xfId="0" applyNumberFormat="1"/>
    <xf numFmtId="1" fontId="1" fillId="2" borderId="0" xfId="1" applyNumberFormat="1" applyAlignment="1">
      <alignment horizontal="left" indent="1"/>
    </xf>
    <xf numFmtId="1" fontId="1" fillId="2" borderId="0" xfId="1" applyNumberFormat="1" applyAlignment="1">
      <alignment horizontal="left" indent="2"/>
    </xf>
    <xf numFmtId="0" fontId="1" fillId="2" borderId="0" xfId="1" applyNumberFormat="1"/>
    <xf numFmtId="0" fontId="0" fillId="0" borderId="0" xfId="0" quotePrefix="1"/>
    <xf numFmtId="170" fontId="5" fillId="5" borderId="0" xfId="7" applyNumberFormat="1" applyAlignment="1">
      <alignment horizontal="center"/>
    </xf>
    <xf numFmtId="170" fontId="5" fillId="5" borderId="0" xfId="7" quotePrefix="1" applyNumberFormat="1" applyAlignment="1">
      <alignment horizontal="center"/>
    </xf>
    <xf numFmtId="0" fontId="2" fillId="6" borderId="0" xfId="8" applyFont="1" applyAlignment="1">
      <alignment horizontal="center"/>
    </xf>
    <xf numFmtId="165" fontId="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6" fontId="1" fillId="3" borderId="0" xfId="2" applyNumberFormat="1"/>
    <xf numFmtId="165" fontId="0" fillId="0" borderId="3" xfId="5" applyNumberFormat="1" applyFont="1" applyBorder="1" applyAlignment="1">
      <alignment horizontal="center"/>
    </xf>
    <xf numFmtId="0" fontId="5" fillId="7" borderId="0" xfId="9" applyAlignment="1">
      <alignment horizontal="center"/>
    </xf>
    <xf numFmtId="0" fontId="4" fillId="7" borderId="0" xfId="9" applyFont="1" applyAlignment="1">
      <alignment horizontal="left"/>
    </xf>
    <xf numFmtId="0" fontId="4" fillId="7" borderId="0" xfId="9" applyFont="1"/>
    <xf numFmtId="169" fontId="3" fillId="4" borderId="1" xfId="6" applyNumberFormat="1" applyAlignment="1">
      <alignment horizontal="center"/>
    </xf>
    <xf numFmtId="169" fontId="1" fillId="2" borderId="0" xfId="1" applyNumberFormat="1" applyAlignment="1">
      <alignment horizontal="center"/>
    </xf>
    <xf numFmtId="169" fontId="2" fillId="2" borderId="0" xfId="1" applyNumberFormat="1" applyFont="1" applyAlignment="1">
      <alignment horizontal="center"/>
    </xf>
    <xf numFmtId="0" fontId="0" fillId="0" borderId="7" xfId="0" applyBorder="1"/>
    <xf numFmtId="0" fontId="0" fillId="0" borderId="8" xfId="0" applyBorder="1"/>
    <xf numFmtId="172" fontId="0" fillId="0" borderId="7" xfId="4" applyNumberFormat="1" applyFont="1" applyBorder="1" applyAlignment="1">
      <alignment horizontal="center"/>
    </xf>
    <xf numFmtId="173" fontId="0" fillId="0" borderId="7" xfId="3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1" fillId="6" borderId="2" xfId="8" applyBorder="1" applyAlignment="1">
      <alignment horizontal="center"/>
    </xf>
    <xf numFmtId="0" fontId="0" fillId="0" borderId="3" xfId="0" quotePrefix="1" applyBorder="1"/>
    <xf numFmtId="172" fontId="0" fillId="0" borderId="3" xfId="4" applyNumberFormat="1" applyFont="1" applyBorder="1" applyAlignment="1">
      <alignment horizontal="center"/>
    </xf>
    <xf numFmtId="173" fontId="0" fillId="0" borderId="3" xfId="3" applyNumberFormat="1" applyFont="1" applyBorder="1" applyAlignment="1">
      <alignment horizontal="center" vertical="center"/>
    </xf>
    <xf numFmtId="0" fontId="0" fillId="0" borderId="3" xfId="0" applyBorder="1"/>
    <xf numFmtId="168" fontId="0" fillId="0" borderId="3" xfId="0" applyNumberFormat="1" applyBorder="1" applyAlignment="1">
      <alignment horizontal="center" vertical="center"/>
    </xf>
    <xf numFmtId="165" fontId="0" fillId="0" borderId="3" xfId="5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quotePrefix="1" applyBorder="1"/>
    <xf numFmtId="172" fontId="0" fillId="0" borderId="8" xfId="4" applyNumberFormat="1" applyFont="1" applyBorder="1" applyAlignment="1">
      <alignment horizontal="center"/>
    </xf>
    <xf numFmtId="44" fontId="0" fillId="0" borderId="8" xfId="4" applyFont="1" applyBorder="1" applyAlignment="1">
      <alignment horizontal="center"/>
    </xf>
    <xf numFmtId="173" fontId="0" fillId="0" borderId="8" xfId="3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1" fontId="1" fillId="2" borderId="0" xfId="5" applyNumberFormat="1" applyFill="1"/>
    <xf numFmtId="6" fontId="0" fillId="0" borderId="0" xfId="4" applyNumberFormat="1" applyFont="1" applyAlignment="1">
      <alignment horizontal="center"/>
    </xf>
    <xf numFmtId="171" fontId="1" fillId="6" borderId="0" xfId="8" applyNumberFormat="1" applyAlignment="1">
      <alignment horizontal="center"/>
    </xf>
    <xf numFmtId="0" fontId="4" fillId="7" borderId="0" xfId="9" applyFont="1" applyAlignment="1">
      <alignment horizontal="center"/>
    </xf>
    <xf numFmtId="0" fontId="2" fillId="6" borderId="0" xfId="8" applyFont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7" xfId="5" applyNumberFormat="1" applyFont="1" applyBorder="1" applyAlignment="1">
      <alignment horizontal="center" vertical="center"/>
    </xf>
    <xf numFmtId="165" fontId="0" fillId="0" borderId="8" xfId="5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6" borderId="5" xfId="8" applyBorder="1" applyAlignment="1">
      <alignment horizontal="center"/>
    </xf>
    <xf numFmtId="0" fontId="1" fillId="6" borderId="6" xfId="8" applyBorder="1" applyAlignment="1">
      <alignment horizontal="center"/>
    </xf>
    <xf numFmtId="0" fontId="1" fillId="3" borderId="0" xfId="2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</cellXfs>
  <cellStyles count="10">
    <cellStyle name="40% - Accent3" xfId="8" builtinId="39"/>
    <cellStyle name="40% - Accent5" xfId="1" builtinId="47"/>
    <cellStyle name="60% - Accent5" xfId="2" builtinId="48"/>
    <cellStyle name="Accent3" xfId="7" builtinId="37"/>
    <cellStyle name="Accent5" xfId="9" builtinId="45"/>
    <cellStyle name="Comma" xfId="3" builtinId="3"/>
    <cellStyle name="Currency" xfId="4" builtinId="4"/>
    <cellStyle name="Input" xfId="6" builtinId="2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BEDB-2777-468C-B383-619B85E4A855}">
  <dimension ref="A1:S76"/>
  <sheetViews>
    <sheetView topLeftCell="A13" zoomScaleNormal="100" workbookViewId="0">
      <selection activeCell="M55" sqref="M55"/>
    </sheetView>
  </sheetViews>
  <sheetFormatPr defaultColWidth="8.85546875" defaultRowHeight="15" x14ac:dyDescent="0.25"/>
  <cols>
    <col min="1" max="1" width="48.28515625" customWidth="1"/>
    <col min="2" max="2" width="12.28515625" style="1" customWidth="1"/>
    <col min="3" max="6" width="14.28515625" bestFit="1" customWidth="1"/>
    <col min="7" max="7" width="14.28515625" customWidth="1"/>
    <col min="8" max="13" width="14.28515625" bestFit="1" customWidth="1"/>
  </cols>
  <sheetData>
    <row r="1" spans="1:19" x14ac:dyDescent="0.25">
      <c r="A1" s="2" t="s">
        <v>0</v>
      </c>
    </row>
    <row r="2" spans="1:19" x14ac:dyDescent="0.25">
      <c r="A2" s="2"/>
    </row>
    <row r="4" spans="1:19" x14ac:dyDescent="0.25">
      <c r="A4" s="14" t="s">
        <v>1</v>
      </c>
      <c r="B4" s="1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14"/>
      <c r="B5" s="23" t="s">
        <v>2</v>
      </c>
      <c r="C5" s="14"/>
      <c r="D5" s="14"/>
      <c r="E5" s="14"/>
      <c r="F5" s="22" t="s">
        <v>15</v>
      </c>
      <c r="G5" s="14"/>
      <c r="H5" s="14"/>
      <c r="I5" s="14"/>
      <c r="J5" s="22" t="s">
        <v>31</v>
      </c>
      <c r="K5" s="14"/>
      <c r="L5" s="14"/>
      <c r="M5" s="14"/>
      <c r="N5" s="22" t="s">
        <v>46</v>
      </c>
      <c r="O5" s="14"/>
      <c r="P5" s="14"/>
      <c r="Q5" s="14"/>
      <c r="R5" s="14"/>
      <c r="S5" s="14"/>
    </row>
    <row r="6" spans="1:19" x14ac:dyDescent="0.25">
      <c r="A6" s="14"/>
      <c r="B6" s="23"/>
      <c r="C6" s="14"/>
      <c r="D6" s="14"/>
      <c r="E6" s="14"/>
      <c r="F6" s="22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25">
      <c r="A7" s="14"/>
      <c r="B7" s="23" t="s">
        <v>3</v>
      </c>
      <c r="C7" s="14"/>
      <c r="D7" s="7">
        <v>3</v>
      </c>
      <c r="E7" s="14"/>
      <c r="F7" s="22" t="s">
        <v>18</v>
      </c>
      <c r="G7" s="14" t="s">
        <v>19</v>
      </c>
      <c r="H7" s="7">
        <v>0.05</v>
      </c>
      <c r="I7" s="14"/>
      <c r="J7" s="14" t="s">
        <v>33</v>
      </c>
      <c r="K7" s="14"/>
      <c r="L7" s="9">
        <v>500000</v>
      </c>
      <c r="M7" s="14"/>
      <c r="N7" s="16" t="s">
        <v>42</v>
      </c>
      <c r="O7" s="14"/>
      <c r="P7" s="14"/>
      <c r="Q7" s="14"/>
      <c r="R7" s="14"/>
      <c r="S7" s="20">
        <v>0.1</v>
      </c>
    </row>
    <row r="8" spans="1:19" x14ac:dyDescent="0.25">
      <c r="A8" s="14"/>
      <c r="B8" s="23" t="s">
        <v>4</v>
      </c>
      <c r="C8" s="14"/>
      <c r="D8" s="11">
        <v>2.5000000000000001E-2</v>
      </c>
      <c r="E8" s="14"/>
      <c r="F8" s="22"/>
      <c r="G8" s="14" t="s">
        <v>20</v>
      </c>
      <c r="H8" s="7">
        <v>0.15</v>
      </c>
      <c r="I8" s="14"/>
      <c r="J8" s="14" t="s">
        <v>34</v>
      </c>
      <c r="K8" s="14"/>
      <c r="L8" s="9">
        <v>1000000</v>
      </c>
      <c r="M8" s="14"/>
      <c r="N8" s="16" t="s">
        <v>43</v>
      </c>
      <c r="O8" s="14"/>
      <c r="P8" s="14"/>
      <c r="Q8" s="14"/>
      <c r="R8" s="14"/>
      <c r="S8" s="20">
        <v>0.12</v>
      </c>
    </row>
    <row r="9" spans="1:19" x14ac:dyDescent="0.25">
      <c r="A9" s="14"/>
      <c r="B9" s="23" t="s">
        <v>5</v>
      </c>
      <c r="C9" s="14"/>
      <c r="D9" s="76">
        <v>1000000</v>
      </c>
      <c r="E9" s="14"/>
      <c r="F9" s="22"/>
      <c r="G9" s="14" t="s">
        <v>21</v>
      </c>
      <c r="H9" s="7">
        <v>1.25</v>
      </c>
      <c r="I9" s="14"/>
      <c r="J9" s="14"/>
      <c r="K9" s="14"/>
      <c r="L9" s="14"/>
      <c r="M9" s="14"/>
      <c r="N9" s="16" t="s">
        <v>44</v>
      </c>
      <c r="O9" s="14"/>
      <c r="P9" s="14"/>
      <c r="Q9" s="14"/>
      <c r="R9" s="14"/>
      <c r="S9" s="20">
        <v>0.03</v>
      </c>
    </row>
    <row r="10" spans="1:19" x14ac:dyDescent="0.25">
      <c r="A10" s="14"/>
      <c r="B10" s="23" t="s">
        <v>6</v>
      </c>
      <c r="C10" s="14"/>
      <c r="D10" s="11">
        <v>2.5000000000000001E-2</v>
      </c>
      <c r="E10" s="14"/>
      <c r="F10" s="22"/>
      <c r="G10" s="14" t="s">
        <v>22</v>
      </c>
      <c r="H10" s="7">
        <v>0.2</v>
      </c>
      <c r="I10" s="14"/>
      <c r="J10" s="22" t="s">
        <v>32</v>
      </c>
      <c r="K10" s="14"/>
      <c r="L10" s="9">
        <f>SUM(L7:L8)</f>
        <v>1500000</v>
      </c>
      <c r="M10" s="14"/>
      <c r="N10" s="14"/>
      <c r="O10" s="14"/>
      <c r="P10" s="14"/>
      <c r="Q10" s="14"/>
      <c r="R10" s="14"/>
      <c r="S10" s="14"/>
    </row>
    <row r="11" spans="1:19" x14ac:dyDescent="0.25">
      <c r="A11" s="14"/>
      <c r="B11" s="23"/>
      <c r="C11" s="14"/>
      <c r="D11" s="14"/>
      <c r="E11" s="14"/>
      <c r="F11" s="22"/>
      <c r="G11" s="14"/>
      <c r="H11" s="14"/>
      <c r="I11" s="14"/>
      <c r="J11" s="14"/>
      <c r="K11" s="14"/>
      <c r="L11" s="14"/>
      <c r="M11" s="14"/>
      <c r="N11" s="28" t="s">
        <v>47</v>
      </c>
      <c r="O11" s="14"/>
      <c r="P11" s="14"/>
      <c r="Q11" s="14"/>
      <c r="R11" s="14"/>
      <c r="S11" s="20">
        <v>0.21</v>
      </c>
    </row>
    <row r="12" spans="1:19" x14ac:dyDescent="0.25">
      <c r="A12" s="14"/>
      <c r="B12" s="23"/>
      <c r="C12" s="14"/>
      <c r="D12" s="14"/>
      <c r="E12" s="14"/>
      <c r="F12" s="22" t="s">
        <v>23</v>
      </c>
      <c r="G12" s="14" t="s">
        <v>24</v>
      </c>
      <c r="H12" s="7">
        <v>0.35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25">
      <c r="A13" s="14"/>
      <c r="B13" s="23" t="s">
        <v>7</v>
      </c>
      <c r="C13" s="14"/>
      <c r="D13" s="18">
        <v>500000</v>
      </c>
      <c r="E13" s="14"/>
      <c r="F13" s="22"/>
      <c r="G13" s="14"/>
      <c r="H13" s="14"/>
      <c r="I13" s="14"/>
      <c r="J13" s="14"/>
      <c r="K13" s="14"/>
      <c r="L13" s="14"/>
      <c r="M13" s="14"/>
      <c r="N13" s="28" t="s">
        <v>48</v>
      </c>
      <c r="O13" s="14"/>
      <c r="P13" s="14"/>
      <c r="Q13" s="14"/>
      <c r="R13" s="14"/>
      <c r="S13" s="20">
        <v>0.1</v>
      </c>
    </row>
    <row r="14" spans="1:19" x14ac:dyDescent="0.25">
      <c r="A14" s="14"/>
      <c r="B14" s="23" t="s">
        <v>8</v>
      </c>
      <c r="C14" s="14"/>
      <c r="D14" s="19">
        <v>2.5000000000000001E-2</v>
      </c>
      <c r="E14" s="14"/>
      <c r="F14" s="22" t="s">
        <v>25</v>
      </c>
      <c r="G14" s="14"/>
      <c r="H14" s="7">
        <f>SUM(H7:H10,H12)</f>
        <v>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A15" s="14"/>
      <c r="B15" s="15"/>
      <c r="C15" s="14"/>
      <c r="D15" s="14"/>
      <c r="E15" s="14"/>
      <c r="F15" s="22" t="s">
        <v>26</v>
      </c>
      <c r="G15" s="14"/>
      <c r="H15" s="11">
        <v>2.5000000000000001E-2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B16"/>
    </row>
    <row r="17" spans="1:19" x14ac:dyDescent="0.25">
      <c r="A17" s="29" t="s">
        <v>9</v>
      </c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2" customFormat="1" x14ac:dyDescent="0.25">
      <c r="A19" s="29" t="s">
        <v>10</v>
      </c>
      <c r="B19" s="30" t="s">
        <v>11</v>
      </c>
      <c r="C19" s="30">
        <v>0</v>
      </c>
      <c r="D19" s="30">
        <v>1</v>
      </c>
      <c r="E19" s="30">
        <v>2</v>
      </c>
      <c r="F19" s="30">
        <v>3</v>
      </c>
      <c r="G19" s="30">
        <v>4</v>
      </c>
      <c r="H19" s="30">
        <v>5</v>
      </c>
      <c r="I19" s="30">
        <v>6</v>
      </c>
      <c r="J19" s="30">
        <v>7</v>
      </c>
      <c r="K19" s="30">
        <v>8</v>
      </c>
      <c r="L19" s="30">
        <v>9</v>
      </c>
      <c r="M19" s="30">
        <v>10</v>
      </c>
      <c r="N19" s="29"/>
      <c r="O19" s="29"/>
      <c r="P19" s="29"/>
      <c r="Q19" s="29"/>
      <c r="R19" s="29"/>
      <c r="S19" s="29"/>
    </row>
    <row r="20" spans="1:19" x14ac:dyDescent="0.25">
      <c r="A20" s="4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2" customFormat="1" x14ac:dyDescent="0.25">
      <c r="A21" s="29" t="s">
        <v>2</v>
      </c>
      <c r="B21" s="30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 x14ac:dyDescent="0.25">
      <c r="A22" s="6" t="s">
        <v>12</v>
      </c>
      <c r="B22" s="5"/>
      <c r="C22" s="7"/>
      <c r="D22" s="7">
        <f>$D$7*(1+$D$8)^(D19-1)</f>
        <v>3</v>
      </c>
      <c r="E22" s="7">
        <f t="shared" ref="E22:M22" si="0">$D$7*(1+$D$8)^(E19-1)</f>
        <v>3.0749999999999997</v>
      </c>
      <c r="F22" s="7">
        <f t="shared" si="0"/>
        <v>3.1518749999999995</v>
      </c>
      <c r="G22" s="7">
        <f t="shared" si="0"/>
        <v>3.2306718749999996</v>
      </c>
      <c r="H22" s="7">
        <f t="shared" si="0"/>
        <v>3.3114386718749991</v>
      </c>
      <c r="I22" s="7">
        <f t="shared" si="0"/>
        <v>3.394224638671874</v>
      </c>
      <c r="J22" s="7">
        <f t="shared" si="0"/>
        <v>3.4790802546386708</v>
      </c>
      <c r="K22" s="7">
        <f t="shared" si="0"/>
        <v>3.5660572610046373</v>
      </c>
      <c r="L22" s="7">
        <f t="shared" si="0"/>
        <v>3.6552086925297531</v>
      </c>
      <c r="M22" s="7">
        <f t="shared" si="0"/>
        <v>3.7465889098429965</v>
      </c>
      <c r="N22" s="4"/>
      <c r="O22" s="4"/>
      <c r="P22" s="4"/>
      <c r="Q22" s="4"/>
      <c r="R22" s="4"/>
      <c r="S22" s="4"/>
    </row>
    <row r="23" spans="1:19" x14ac:dyDescent="0.25">
      <c r="A23" s="6" t="s">
        <v>13</v>
      </c>
      <c r="B23" s="5"/>
      <c r="C23" s="4"/>
      <c r="D23" s="8">
        <f>$D$9*(1+$D$10)^(D19-1)</f>
        <v>1000000</v>
      </c>
      <c r="E23" s="8">
        <f t="shared" ref="E23:M23" si="1">$D$9*(1+$D$10)^(E19-1)</f>
        <v>1024999.9999999999</v>
      </c>
      <c r="F23" s="8">
        <f t="shared" si="1"/>
        <v>1050625</v>
      </c>
      <c r="G23" s="8">
        <f t="shared" si="1"/>
        <v>1076890.6249999998</v>
      </c>
      <c r="H23" s="8">
        <f t="shared" si="1"/>
        <v>1103812.8906249998</v>
      </c>
      <c r="I23" s="8">
        <f t="shared" si="1"/>
        <v>1131408.2128906248</v>
      </c>
      <c r="J23" s="8">
        <f t="shared" si="1"/>
        <v>1159693.4182128902</v>
      </c>
      <c r="K23" s="8">
        <f t="shared" si="1"/>
        <v>1188685.7536682126</v>
      </c>
      <c r="L23" s="8">
        <f t="shared" si="1"/>
        <v>1218402.8975099176</v>
      </c>
      <c r="M23" s="8">
        <f t="shared" si="1"/>
        <v>1248862.9699476655</v>
      </c>
      <c r="N23" s="4"/>
      <c r="O23" s="4"/>
      <c r="P23" s="4"/>
      <c r="Q23" s="4"/>
      <c r="R23" s="4"/>
      <c r="S23" s="4"/>
    </row>
    <row r="24" spans="1:19" s="2" customFormat="1" x14ac:dyDescent="0.25">
      <c r="A24" s="31" t="s">
        <v>14</v>
      </c>
      <c r="B24" s="30"/>
      <c r="C24" s="29"/>
      <c r="D24" s="32">
        <f>(500000*D22)+((D23-500000)*(D22-D22*10%))</f>
        <v>2850000</v>
      </c>
      <c r="E24" s="32">
        <f t="shared" ref="E24:M24" si="2">(500000*E22)+((E23-500000)*(E22-E22*10%))</f>
        <v>2990437.4999999991</v>
      </c>
      <c r="F24" s="32">
        <f t="shared" si="2"/>
        <v>3137888.5546874995</v>
      </c>
      <c r="G24" s="32">
        <f t="shared" si="2"/>
        <v>3292705.8229248035</v>
      </c>
      <c r="H24" s="32">
        <f t="shared" si="2"/>
        <v>3455259.7568705278</v>
      </c>
      <c r="I24" s="32">
        <f t="shared" si="2"/>
        <v>3625939.5012637582</v>
      </c>
      <c r="J24" s="32">
        <f t="shared" si="2"/>
        <v>3805153.838196937</v>
      </c>
      <c r="K24" s="32">
        <f t="shared" si="2"/>
        <v>3993332.1796794012</v>
      </c>
      <c r="L24" s="32">
        <f t="shared" si="2"/>
        <v>4190925.6104100076</v>
      </c>
      <c r="M24" s="32">
        <f t="shared" si="2"/>
        <v>4398407.9832997099</v>
      </c>
      <c r="N24" s="29"/>
      <c r="O24" s="29"/>
      <c r="P24" s="29"/>
      <c r="Q24" s="29"/>
      <c r="R24" s="29"/>
      <c r="S24" s="29"/>
    </row>
    <row r="25" spans="1:19" x14ac:dyDescent="0.2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2" customFormat="1" x14ac:dyDescent="0.25">
      <c r="A26" s="29" t="s">
        <v>15</v>
      </c>
      <c r="B26" s="3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19" x14ac:dyDescent="0.25">
      <c r="A27" s="6" t="s">
        <v>16</v>
      </c>
      <c r="B27" s="5"/>
      <c r="C27" s="4"/>
      <c r="D27" s="7">
        <f t="shared" ref="D27:M27" si="3">$H$14*(1+$H$15)^(D19-1)</f>
        <v>2</v>
      </c>
      <c r="E27" s="7">
        <f t="shared" si="3"/>
        <v>2.0499999999999998</v>
      </c>
      <c r="F27" s="7">
        <f t="shared" si="3"/>
        <v>2.1012499999999998</v>
      </c>
      <c r="G27" s="7">
        <f t="shared" si="3"/>
        <v>2.1537812499999998</v>
      </c>
      <c r="H27" s="7">
        <f t="shared" si="3"/>
        <v>2.2076257812499995</v>
      </c>
      <c r="I27" s="7">
        <f t="shared" si="3"/>
        <v>2.2628164257812493</v>
      </c>
      <c r="J27" s="7">
        <f t="shared" si="3"/>
        <v>2.3193868364257804</v>
      </c>
      <c r="K27" s="7">
        <f t="shared" si="3"/>
        <v>2.377371507336425</v>
      </c>
      <c r="L27" s="7">
        <f t="shared" si="3"/>
        <v>2.4368057950198354</v>
      </c>
      <c r="M27" s="7">
        <f t="shared" si="3"/>
        <v>2.4977259398953309</v>
      </c>
      <c r="N27" s="4"/>
      <c r="O27" s="4"/>
      <c r="P27" s="4"/>
      <c r="Q27" s="4"/>
      <c r="R27" s="4"/>
      <c r="S27" s="4"/>
    </row>
    <row r="28" spans="1:19" x14ac:dyDescent="0.25">
      <c r="A28" s="6" t="s">
        <v>13</v>
      </c>
      <c r="B28" s="5"/>
      <c r="C28" s="4"/>
      <c r="D28" s="10">
        <f t="shared" ref="D28:M28" si="4">$D$9*(1+$D$10)^(D19-1)</f>
        <v>1000000</v>
      </c>
      <c r="E28" s="10">
        <f t="shared" si="4"/>
        <v>1024999.9999999999</v>
      </c>
      <c r="F28" s="10">
        <f t="shared" si="4"/>
        <v>1050625</v>
      </c>
      <c r="G28" s="10">
        <f t="shared" si="4"/>
        <v>1076890.6249999998</v>
      </c>
      <c r="H28" s="10">
        <f t="shared" si="4"/>
        <v>1103812.8906249998</v>
      </c>
      <c r="I28" s="10">
        <f t="shared" si="4"/>
        <v>1131408.2128906248</v>
      </c>
      <c r="J28" s="10">
        <f t="shared" si="4"/>
        <v>1159693.4182128902</v>
      </c>
      <c r="K28" s="10">
        <f t="shared" si="4"/>
        <v>1188685.7536682126</v>
      </c>
      <c r="L28" s="10">
        <f t="shared" si="4"/>
        <v>1218402.8975099176</v>
      </c>
      <c r="M28" s="10">
        <f t="shared" si="4"/>
        <v>1248862.9699476655</v>
      </c>
      <c r="N28" s="4"/>
      <c r="O28" s="4"/>
      <c r="P28" s="4"/>
      <c r="Q28" s="4"/>
      <c r="R28" s="4"/>
      <c r="S28" s="4"/>
    </row>
    <row r="29" spans="1:19" s="2" customFormat="1" x14ac:dyDescent="0.25">
      <c r="A29" s="31" t="s">
        <v>17</v>
      </c>
      <c r="B29" s="30"/>
      <c r="C29" s="29"/>
      <c r="D29" s="32">
        <f>D27*D28</f>
        <v>2000000</v>
      </c>
      <c r="E29" s="32">
        <f t="shared" ref="E29:M29" si="5">E27*E28</f>
        <v>2101249.9999999995</v>
      </c>
      <c r="F29" s="32">
        <f t="shared" si="5"/>
        <v>2207625.78125</v>
      </c>
      <c r="G29" s="32">
        <f t="shared" si="5"/>
        <v>2319386.8364257803</v>
      </c>
      <c r="H29" s="32">
        <f t="shared" si="5"/>
        <v>2436805.7950198352</v>
      </c>
      <c r="I29" s="32">
        <f t="shared" si="5"/>
        <v>2560169.0883927145</v>
      </c>
      <c r="J29" s="32">
        <f t="shared" si="5"/>
        <v>2689777.6484925947</v>
      </c>
      <c r="K29" s="32">
        <f t="shared" si="5"/>
        <v>2825947.641947533</v>
      </c>
      <c r="L29" s="32">
        <f t="shared" si="5"/>
        <v>2969011.241321126</v>
      </c>
      <c r="M29" s="32">
        <f t="shared" si="5"/>
        <v>3119317.4354130072</v>
      </c>
      <c r="N29" s="29"/>
      <c r="O29" s="29"/>
      <c r="P29" s="29"/>
      <c r="Q29" s="29"/>
      <c r="R29" s="29"/>
      <c r="S29" s="29"/>
    </row>
    <row r="30" spans="1:19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s="2" customFormat="1" x14ac:dyDescent="0.25">
      <c r="A31" s="29" t="s">
        <v>27</v>
      </c>
      <c r="B31" s="30"/>
      <c r="C31" s="29"/>
      <c r="D31" s="32">
        <f>D24-D29</f>
        <v>850000</v>
      </c>
      <c r="E31" s="32">
        <f t="shared" ref="E31:M31" si="6">E24-E29</f>
        <v>889187.49999999953</v>
      </c>
      <c r="F31" s="32">
        <f t="shared" si="6"/>
        <v>930262.77343749953</v>
      </c>
      <c r="G31" s="32">
        <f t="shared" si="6"/>
        <v>973318.98649902316</v>
      </c>
      <c r="H31" s="32">
        <f t="shared" si="6"/>
        <v>1018453.9618506925</v>
      </c>
      <c r="I31" s="32">
        <f t="shared" si="6"/>
        <v>1065770.4128710437</v>
      </c>
      <c r="J31" s="32">
        <f t="shared" si="6"/>
        <v>1115376.1897043423</v>
      </c>
      <c r="K31" s="32">
        <f t="shared" si="6"/>
        <v>1167384.5377318682</v>
      </c>
      <c r="L31" s="32">
        <f t="shared" si="6"/>
        <v>1221914.3690888816</v>
      </c>
      <c r="M31" s="32">
        <f t="shared" si="6"/>
        <v>1279090.5478867027</v>
      </c>
      <c r="N31" s="29"/>
      <c r="O31" s="29"/>
      <c r="P31" s="29"/>
      <c r="Q31" s="29"/>
      <c r="R31" s="29"/>
      <c r="S31" s="29"/>
    </row>
    <row r="32" spans="1:19" x14ac:dyDescent="0.25">
      <c r="A32" s="6" t="s">
        <v>28</v>
      </c>
      <c r="B32" s="5"/>
      <c r="C32" s="4"/>
      <c r="D32" s="11">
        <f>D31/D24</f>
        <v>0.2982456140350877</v>
      </c>
      <c r="E32" s="11">
        <f t="shared" ref="E32:M32" si="7">E31/E24</f>
        <v>0.29734361610968291</v>
      </c>
      <c r="F32" s="11">
        <f t="shared" si="7"/>
        <v>0.29646138071023492</v>
      </c>
      <c r="G32" s="11">
        <f t="shared" si="7"/>
        <v>0.29559852560240429</v>
      </c>
      <c r="H32" s="11">
        <f t="shared" si="7"/>
        <v>0.29475467360321389</v>
      </c>
      <c r="I32" s="11">
        <f t="shared" si="7"/>
        <v>0.29392945262864645</v>
      </c>
      <c r="J32" s="11">
        <f t="shared" si="7"/>
        <v>0.2931224957340649</v>
      </c>
      <c r="K32" s="11">
        <f t="shared" si="7"/>
        <v>0.29233344114778598</v>
      </c>
      <c r="L32" s="11">
        <f t="shared" si="7"/>
        <v>0.29156193229813476</v>
      </c>
      <c r="M32" s="11">
        <f t="shared" si="7"/>
        <v>0.29080761783428782</v>
      </c>
      <c r="N32" s="4"/>
      <c r="O32" s="4"/>
      <c r="P32" s="4"/>
      <c r="Q32" s="4"/>
      <c r="R32" s="4"/>
      <c r="S32" s="4"/>
    </row>
    <row r="33" spans="1:19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 t="s">
        <v>29</v>
      </c>
      <c r="B34" s="5"/>
      <c r="C34" s="4"/>
      <c r="D34" s="9">
        <f t="shared" ref="D34:M34" si="8">$D$13*(1+$D$14)^(D19-1)</f>
        <v>500000</v>
      </c>
      <c r="E34" s="9">
        <f t="shared" si="8"/>
        <v>512499.99999999994</v>
      </c>
      <c r="F34" s="9">
        <f t="shared" si="8"/>
        <v>525312.5</v>
      </c>
      <c r="G34" s="9">
        <f t="shared" si="8"/>
        <v>538445.31249999988</v>
      </c>
      <c r="H34" s="9">
        <f t="shared" si="8"/>
        <v>551906.44531249988</v>
      </c>
      <c r="I34" s="9">
        <f t="shared" si="8"/>
        <v>565704.10644531238</v>
      </c>
      <c r="J34" s="9">
        <f t="shared" si="8"/>
        <v>579846.70910644508</v>
      </c>
      <c r="K34" s="9">
        <f t="shared" si="8"/>
        <v>594342.87683410628</v>
      </c>
      <c r="L34" s="9">
        <f t="shared" si="8"/>
        <v>609201.44875495881</v>
      </c>
      <c r="M34" s="9">
        <f t="shared" si="8"/>
        <v>624431.48497383273</v>
      </c>
      <c r="N34" s="4"/>
      <c r="O34" s="4"/>
      <c r="P34" s="4"/>
      <c r="Q34" s="4"/>
      <c r="R34" s="4"/>
      <c r="S34" s="4"/>
    </row>
    <row r="35" spans="1:1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 t="s">
        <v>30</v>
      </c>
      <c r="B36" s="5"/>
      <c r="C36" s="4"/>
      <c r="D36" s="9">
        <f>L10*14.29%</f>
        <v>214350</v>
      </c>
      <c r="E36" s="9">
        <f>L10*24.49%</f>
        <v>367349.99999999994</v>
      </c>
      <c r="F36" s="9">
        <f>L10*17.49%</f>
        <v>262349.99999999994</v>
      </c>
      <c r="G36" s="9">
        <f>L10*12.49%</f>
        <v>187350</v>
      </c>
      <c r="H36" s="9">
        <f>L10*8.93%</f>
        <v>133950</v>
      </c>
      <c r="I36" s="9">
        <f>L10*8.92%</f>
        <v>133800</v>
      </c>
      <c r="J36" s="9">
        <f>L10*8.93%</f>
        <v>133950</v>
      </c>
      <c r="K36" s="9">
        <f>L10*4.46%</f>
        <v>66900</v>
      </c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s="2" customFormat="1" x14ac:dyDescent="0.25">
      <c r="A38" s="29" t="s">
        <v>35</v>
      </c>
      <c r="B38" s="30"/>
      <c r="C38" s="29"/>
      <c r="D38" s="32">
        <f>D31-D34-D36</f>
        <v>135650</v>
      </c>
      <c r="E38" s="32">
        <f t="shared" ref="E38:M38" si="9">E31-E34-E36</f>
        <v>9337.4999999996508</v>
      </c>
      <c r="F38" s="32">
        <f t="shared" si="9"/>
        <v>142600.27343749959</v>
      </c>
      <c r="G38" s="32">
        <f t="shared" si="9"/>
        <v>247523.67399902327</v>
      </c>
      <c r="H38" s="32">
        <f t="shared" si="9"/>
        <v>332597.51653819263</v>
      </c>
      <c r="I38" s="32">
        <f t="shared" si="9"/>
        <v>366266.30642573128</v>
      </c>
      <c r="J38" s="32">
        <f t="shared" si="9"/>
        <v>401579.4805978972</v>
      </c>
      <c r="K38" s="32">
        <f t="shared" si="9"/>
        <v>506141.66089776193</v>
      </c>
      <c r="L38" s="32">
        <f t="shared" si="9"/>
        <v>612712.92033392284</v>
      </c>
      <c r="M38" s="32">
        <f t="shared" si="9"/>
        <v>654659.06291286997</v>
      </c>
      <c r="N38" s="29"/>
      <c r="O38" s="29"/>
      <c r="P38" s="29"/>
      <c r="Q38" s="29"/>
      <c r="R38" s="29"/>
      <c r="S38" s="29"/>
    </row>
    <row r="39" spans="1:1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29" t="s">
        <v>36</v>
      </c>
      <c r="B40" s="33">
        <f>S11</f>
        <v>0.21</v>
      </c>
      <c r="C40" s="4"/>
      <c r="D40" s="9">
        <f>D38*$B$40</f>
        <v>28486.5</v>
      </c>
      <c r="E40" s="9">
        <f t="shared" ref="E40:M40" si="10">E38*$B$40</f>
        <v>1960.8749999999266</v>
      </c>
      <c r="F40" s="9">
        <f t="shared" si="10"/>
        <v>29946.057421874913</v>
      </c>
      <c r="G40" s="9">
        <f t="shared" si="10"/>
        <v>51979.971539794882</v>
      </c>
      <c r="H40" s="9">
        <f t="shared" si="10"/>
        <v>69845.478473020456</v>
      </c>
      <c r="I40" s="9">
        <f t="shared" si="10"/>
        <v>76915.924349403562</v>
      </c>
      <c r="J40" s="9">
        <f t="shared" si="10"/>
        <v>84331.690925558403</v>
      </c>
      <c r="K40" s="9">
        <f t="shared" si="10"/>
        <v>106289.74878853001</v>
      </c>
      <c r="L40" s="9">
        <f t="shared" si="10"/>
        <v>128669.71327012379</v>
      </c>
      <c r="M40" s="9">
        <f t="shared" si="10"/>
        <v>137478.40321170268</v>
      </c>
      <c r="N40" s="4"/>
      <c r="O40" s="4"/>
      <c r="P40" s="4"/>
      <c r="Q40" s="4"/>
      <c r="R40" s="4"/>
      <c r="S40" s="4"/>
    </row>
    <row r="41" spans="1:1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s="2" customFormat="1" x14ac:dyDescent="0.25">
      <c r="A42" s="29" t="s">
        <v>37</v>
      </c>
      <c r="B42" s="30"/>
      <c r="C42" s="29"/>
      <c r="D42" s="32">
        <f>D38-D40</f>
        <v>107163.5</v>
      </c>
      <c r="E42" s="32">
        <f t="shared" ref="E42:M42" si="11">E38-E40</f>
        <v>7376.6249999997244</v>
      </c>
      <c r="F42" s="32">
        <f t="shared" si="11"/>
        <v>112654.21601562468</v>
      </c>
      <c r="G42" s="32">
        <f t="shared" si="11"/>
        <v>195543.7024592284</v>
      </c>
      <c r="H42" s="32">
        <f t="shared" si="11"/>
        <v>262752.03806517215</v>
      </c>
      <c r="I42" s="32">
        <f t="shared" si="11"/>
        <v>289350.38207632769</v>
      </c>
      <c r="J42" s="32">
        <f t="shared" si="11"/>
        <v>317247.78967233881</v>
      </c>
      <c r="K42" s="32">
        <f t="shared" si="11"/>
        <v>399851.91210923193</v>
      </c>
      <c r="L42" s="32">
        <f t="shared" si="11"/>
        <v>484043.20706379903</v>
      </c>
      <c r="M42" s="32">
        <f t="shared" si="11"/>
        <v>517180.65970116726</v>
      </c>
      <c r="N42" s="29"/>
      <c r="O42" s="29"/>
      <c r="P42" s="29"/>
      <c r="Q42" s="29"/>
      <c r="R42" s="29"/>
      <c r="S42" s="29"/>
    </row>
    <row r="43" spans="1:1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29" t="s">
        <v>38</v>
      </c>
      <c r="B44" s="5"/>
      <c r="C44" s="4"/>
      <c r="D44" s="34">
        <f>IF(D36="",0,D36)</f>
        <v>214350</v>
      </c>
      <c r="E44" s="34">
        <f t="shared" ref="E44:M44" si="12">IF(E36="",0,E36)</f>
        <v>367349.99999999994</v>
      </c>
      <c r="F44" s="34">
        <f t="shared" si="12"/>
        <v>262349.99999999994</v>
      </c>
      <c r="G44" s="34">
        <f t="shared" si="12"/>
        <v>187350</v>
      </c>
      <c r="H44" s="34">
        <f t="shared" si="12"/>
        <v>133950</v>
      </c>
      <c r="I44" s="34">
        <f t="shared" si="12"/>
        <v>133800</v>
      </c>
      <c r="J44" s="34">
        <f t="shared" si="12"/>
        <v>133950</v>
      </c>
      <c r="K44" s="34">
        <f t="shared" si="12"/>
        <v>66900</v>
      </c>
      <c r="L44" s="34">
        <f t="shared" si="12"/>
        <v>0</v>
      </c>
      <c r="M44" s="34">
        <f t="shared" si="12"/>
        <v>0</v>
      </c>
      <c r="N44" s="4"/>
      <c r="O44" s="4"/>
      <c r="P44" s="4"/>
      <c r="Q44" s="4"/>
      <c r="R44" s="4"/>
      <c r="S44" s="4"/>
    </row>
    <row r="45" spans="1:1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25">
      <c r="A46" s="29" t="s">
        <v>39</v>
      </c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5">
      <c r="A47" s="6" t="s">
        <v>33</v>
      </c>
      <c r="B47" s="5"/>
      <c r="C47" s="13">
        <f>-L7</f>
        <v>-500000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25">
      <c r="A48" s="6" t="s">
        <v>34</v>
      </c>
      <c r="B48" s="5"/>
      <c r="C48" s="13">
        <f>-L8</f>
        <v>-1000000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25">
      <c r="A49" s="31" t="s">
        <v>40</v>
      </c>
      <c r="B49" s="5"/>
      <c r="C49" s="13">
        <f>SUM(C47:C48)</f>
        <v>-1500000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5">
      <c r="A51" s="29" t="s">
        <v>41</v>
      </c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25">
      <c r="A52" s="6" t="s">
        <v>42</v>
      </c>
      <c r="B52" s="33">
        <f>S7</f>
        <v>0.1</v>
      </c>
      <c r="C52" s="13">
        <f>-($D$24*B52)</f>
        <v>-285000</v>
      </c>
      <c r="D52" s="13">
        <f>-($E$24*B52+C52)</f>
        <v>-14043.749999999942</v>
      </c>
      <c r="E52" s="13">
        <f>-($F$24*B52+SUM(C52:D52))</f>
        <v>-14745.10546875</v>
      </c>
      <c r="F52" s="13">
        <f>-($G$24*B52+SUM(C52:E52))</f>
        <v>-15481.726823730452</v>
      </c>
      <c r="G52" s="13">
        <f>-($H$24*B52+SUM(C52:F52))</f>
        <v>-16255.393394572427</v>
      </c>
      <c r="H52" s="13">
        <f>-($I$24*B52+SUM(C52:G52))</f>
        <v>-17067.974439323007</v>
      </c>
      <c r="I52" s="13">
        <f>-($J$24*B52+SUM(C52:H52))</f>
        <v>-17921.433693317871</v>
      </c>
      <c r="J52" s="13">
        <f>-($K$24*B52+SUM(C52:I52))</f>
        <v>-18817.834148246446</v>
      </c>
      <c r="K52" s="13">
        <f>-($L$24*B52+SUM(C52:J52))</f>
        <v>-19759.34307306062</v>
      </c>
      <c r="L52" s="13">
        <f>-($M$24*B52+SUM(C52:K52))</f>
        <v>-20748.237288970267</v>
      </c>
      <c r="M52" s="13">
        <f>-SUM(C52:L52)</f>
        <v>439840.79832997103</v>
      </c>
      <c r="N52" s="4"/>
      <c r="O52" s="4"/>
      <c r="P52" s="4"/>
      <c r="Q52" s="4"/>
      <c r="R52" s="4"/>
      <c r="S52" s="4"/>
    </row>
    <row r="53" spans="1:19" x14ac:dyDescent="0.25">
      <c r="A53" s="6" t="s">
        <v>43</v>
      </c>
      <c r="B53" s="33">
        <f>S8</f>
        <v>0.12</v>
      </c>
      <c r="C53" s="13">
        <f>-($D$24*B53)</f>
        <v>-342000</v>
      </c>
      <c r="D53" s="13">
        <f>-($E$24*B53+C53)</f>
        <v>-16852.499999999884</v>
      </c>
      <c r="E53" s="13">
        <f>-($F$24*B53+SUM(C53:D53))</f>
        <v>-17694.126562500023</v>
      </c>
      <c r="F53" s="13">
        <f>-($G$24*B53+SUM(C53:E53))</f>
        <v>-18578.072188476508</v>
      </c>
      <c r="G53" s="13">
        <f>-($H$24*B53+SUM(C53:F53))</f>
        <v>-19506.47207348689</v>
      </c>
      <c r="H53" s="13">
        <f>-($I$24*B53+SUM(C53:G53))</f>
        <v>-20481.569327187666</v>
      </c>
      <c r="I53" s="13">
        <f>-($J$24*B53+SUM(C53:H53))</f>
        <v>-21505.720431981434</v>
      </c>
      <c r="J53" s="13">
        <f>-($K$24*B53+SUM(C53:I53))</f>
        <v>-22581.400977895712</v>
      </c>
      <c r="K53" s="13">
        <f>-($L$24*B53+SUM(C53:J53))</f>
        <v>-23711.211687672767</v>
      </c>
      <c r="L53" s="13">
        <f>-($M$24*B53+SUM(C53:K53))</f>
        <v>-24897.884746764263</v>
      </c>
      <c r="M53" s="13">
        <f>-SUM(C53:L53)</f>
        <v>527808.95799596515</v>
      </c>
      <c r="N53" s="4"/>
      <c r="O53" s="4"/>
      <c r="P53" s="4"/>
      <c r="Q53" s="4"/>
      <c r="R53" s="4"/>
      <c r="S53" s="4"/>
    </row>
    <row r="54" spans="1:19" x14ac:dyDescent="0.25">
      <c r="A54" s="6" t="s">
        <v>44</v>
      </c>
      <c r="B54" s="33">
        <f>S9</f>
        <v>0.03</v>
      </c>
      <c r="C54" s="13">
        <f>$D$24*B54</f>
        <v>85500</v>
      </c>
      <c r="D54" s="13">
        <f>$E$24*B54-C54</f>
        <v>4213.1249999999709</v>
      </c>
      <c r="E54" s="13">
        <f>$F$24*B54-SUM(C54:D54)</f>
        <v>4423.5316406250058</v>
      </c>
      <c r="F54" s="13">
        <f>$G$24*B54-SUM(C54:E54)</f>
        <v>4644.518047119127</v>
      </c>
      <c r="G54" s="13">
        <f>$H$24*B54-SUM(C54:F54)</f>
        <v>4876.6180183717224</v>
      </c>
      <c r="H54" s="13">
        <f>$I$24*B54-SUM(C54:G54)</f>
        <v>5120.3923317969166</v>
      </c>
      <c r="I54" s="13">
        <f>$J$24*B54-SUM(C54:H54)</f>
        <v>5376.4301079953584</v>
      </c>
      <c r="J54" s="13">
        <f>$K$24*B54-SUM(C54:I54)</f>
        <v>5645.3502444739279</v>
      </c>
      <c r="K54" s="13">
        <f>$L$24*B54-SUM(C54:J54)</f>
        <v>5927.8029219181917</v>
      </c>
      <c r="L54" s="13">
        <f>$M$24*B54-SUM(C54:K54)</f>
        <v>6224.4711866910657</v>
      </c>
      <c r="M54" s="13">
        <f>-SUM(C54:L54)</f>
        <v>-131952.23949899129</v>
      </c>
      <c r="N54" s="4"/>
      <c r="O54" s="4"/>
      <c r="P54" s="4"/>
      <c r="Q54" s="4"/>
      <c r="R54" s="4"/>
      <c r="S54" s="4"/>
    </row>
    <row r="55" spans="1:19" s="2" customFormat="1" x14ac:dyDescent="0.25">
      <c r="A55" s="31" t="s">
        <v>45</v>
      </c>
      <c r="B55" s="30"/>
      <c r="C55" s="35">
        <f>SUM(C52:C54)</f>
        <v>-541500</v>
      </c>
      <c r="D55" s="35">
        <f t="shared" ref="D55:M55" si="13">SUM(D52:D54)</f>
        <v>-26683.124999999854</v>
      </c>
      <c r="E55" s="35">
        <f t="shared" si="13"/>
        <v>-28015.700390625017</v>
      </c>
      <c r="F55" s="35">
        <f t="shared" si="13"/>
        <v>-29415.280965087833</v>
      </c>
      <c r="G55" s="35">
        <f t="shared" si="13"/>
        <v>-30885.247449687595</v>
      </c>
      <c r="H55" s="35">
        <f t="shared" si="13"/>
        <v>-32429.151434713756</v>
      </c>
      <c r="I55" s="35">
        <f t="shared" si="13"/>
        <v>-34050.724017303946</v>
      </c>
      <c r="J55" s="35">
        <f t="shared" si="13"/>
        <v>-35753.884881668229</v>
      </c>
      <c r="K55" s="35">
        <f t="shared" si="13"/>
        <v>-37542.751838815195</v>
      </c>
      <c r="L55" s="35">
        <f t="shared" si="13"/>
        <v>-39421.650849043464</v>
      </c>
      <c r="M55" s="35">
        <f t="shared" si="13"/>
        <v>835697.51682694489</v>
      </c>
      <c r="N55" s="29"/>
      <c r="O55" s="29"/>
      <c r="P55" s="29"/>
      <c r="Q55" s="29"/>
      <c r="R55" s="29"/>
      <c r="S55" s="29"/>
    </row>
    <row r="56" spans="1:1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25">
      <c r="A58" s="29" t="s">
        <v>49</v>
      </c>
      <c r="B58" s="5"/>
      <c r="C58" s="13">
        <f>SUM(C49,C55)</f>
        <v>-2041500</v>
      </c>
      <c r="D58" s="9">
        <f>SUM(D42+D44+D55)</f>
        <v>294830.37500000012</v>
      </c>
      <c r="E58" s="9">
        <f t="shared" ref="E58:M58" si="14">SUM(E42+E44+E55)</f>
        <v>346710.9246093746</v>
      </c>
      <c r="F58" s="9">
        <f t="shared" si="14"/>
        <v>345588.93505053682</v>
      </c>
      <c r="G58" s="9">
        <f t="shared" si="14"/>
        <v>352008.45500954078</v>
      </c>
      <c r="H58" s="9">
        <f t="shared" si="14"/>
        <v>364272.88663045841</v>
      </c>
      <c r="I58" s="9">
        <f t="shared" si="14"/>
        <v>389099.65805902373</v>
      </c>
      <c r="J58" s="9">
        <f t="shared" si="14"/>
        <v>415443.90479067061</v>
      </c>
      <c r="K58" s="9">
        <f t="shared" si="14"/>
        <v>429209.16027041676</v>
      </c>
      <c r="L58" s="9">
        <f t="shared" si="14"/>
        <v>444621.55621475558</v>
      </c>
      <c r="M58" s="9">
        <f t="shared" si="14"/>
        <v>1352878.176528112</v>
      </c>
      <c r="N58" s="4"/>
      <c r="O58" s="4"/>
      <c r="P58" s="4"/>
      <c r="Q58" s="4"/>
      <c r="R58" s="4"/>
      <c r="S58" s="4"/>
    </row>
    <row r="59" spans="1:1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25">
      <c r="A60" s="29" t="s">
        <v>50</v>
      </c>
      <c r="B60" s="5"/>
      <c r="C60" s="13">
        <f t="shared" ref="C60:M60" si="15">-PV($S$13, C19, 0, C58)</f>
        <v>-2041500</v>
      </c>
      <c r="D60" s="13">
        <f t="shared" si="15"/>
        <v>268027.61363636371</v>
      </c>
      <c r="E60" s="13">
        <f t="shared" si="15"/>
        <v>286537.95422262361</v>
      </c>
      <c r="F60" s="13">
        <f t="shared" si="15"/>
        <v>259646.08193128227</v>
      </c>
      <c r="G60" s="13">
        <f t="shared" si="15"/>
        <v>240426.51117378642</v>
      </c>
      <c r="H60" s="13">
        <f t="shared" si="15"/>
        <v>226184.8027211618</v>
      </c>
      <c r="I60" s="13">
        <f t="shared" si="15"/>
        <v>219636.61316715798</v>
      </c>
      <c r="J60" s="13">
        <f t="shared" si="15"/>
        <v>213188.4124127973</v>
      </c>
      <c r="K60" s="13">
        <f t="shared" si="15"/>
        <v>200229.2409197716</v>
      </c>
      <c r="L60" s="13">
        <f t="shared" si="15"/>
        <v>188562.94306774565</v>
      </c>
      <c r="M60" s="13">
        <f t="shared" si="15"/>
        <v>521593.10237607465</v>
      </c>
      <c r="N60" s="4"/>
      <c r="O60" s="4"/>
      <c r="P60" s="4"/>
      <c r="Q60" s="4"/>
      <c r="R60" s="4"/>
      <c r="S60" s="4"/>
    </row>
    <row r="61" spans="1:1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25">
      <c r="A62" s="29" t="s">
        <v>51</v>
      </c>
      <c r="B62" s="5"/>
      <c r="C62" s="13">
        <f>C58</f>
        <v>-2041500</v>
      </c>
      <c r="D62" s="13">
        <f>SUM(C58:D58)</f>
        <v>-1746669.625</v>
      </c>
      <c r="E62" s="13">
        <f>SUM(C58:E58)</f>
        <v>-1399958.7003906253</v>
      </c>
      <c r="F62" s="13">
        <f>SUM(C58:F58)</f>
        <v>-1054369.7653400884</v>
      </c>
      <c r="G62" s="13">
        <f>SUM(C58:G58)</f>
        <v>-702361.31033054763</v>
      </c>
      <c r="H62" s="13">
        <f>SUM(C58:H58)</f>
        <v>-338088.42370008922</v>
      </c>
      <c r="I62" s="13">
        <f>SUM(C58:I58)</f>
        <v>51011.234358934511</v>
      </c>
      <c r="J62" s="13">
        <f>SUM(C58:J58)</f>
        <v>466455.13914960512</v>
      </c>
      <c r="K62" s="13">
        <f>SUM(C58:K58)</f>
        <v>895664.29942002194</v>
      </c>
      <c r="L62" s="13">
        <f>SUM(C58:L58)</f>
        <v>1340285.8556347776</v>
      </c>
      <c r="M62" s="13">
        <f>SUM(C58:M58)</f>
        <v>2693164.0321628898</v>
      </c>
      <c r="N62" s="4"/>
      <c r="O62" s="4"/>
      <c r="P62" s="4"/>
      <c r="Q62" s="4"/>
      <c r="R62" s="4"/>
      <c r="S62" s="4"/>
    </row>
    <row r="63" spans="1:19" s="39" customFormat="1" x14ac:dyDescent="0.25">
      <c r="A63" s="40" t="s">
        <v>59</v>
      </c>
      <c r="B63" s="38"/>
      <c r="C63" s="37"/>
      <c r="D63" s="37">
        <f>IF(D62&lt;0, 1, 0)</f>
        <v>1</v>
      </c>
      <c r="E63" s="37">
        <f>IF(E62&lt;0, 1, 0)+D63</f>
        <v>2</v>
      </c>
      <c r="F63" s="37">
        <f>IF(F62&lt;0, 1, 0)+E63</f>
        <v>3</v>
      </c>
      <c r="G63" s="37">
        <f t="shared" ref="G63:M63" si="16">IF(G62&lt;0, 1, 0)+F63</f>
        <v>4</v>
      </c>
      <c r="H63" s="37">
        <f t="shared" si="16"/>
        <v>5</v>
      </c>
      <c r="I63" s="37">
        <f t="shared" si="16"/>
        <v>5</v>
      </c>
      <c r="J63" s="37">
        <f t="shared" si="16"/>
        <v>5</v>
      </c>
      <c r="K63" s="37">
        <f t="shared" si="16"/>
        <v>5</v>
      </c>
      <c r="L63" s="37">
        <f t="shared" si="16"/>
        <v>5</v>
      </c>
      <c r="M63" s="37">
        <f t="shared" si="16"/>
        <v>5</v>
      </c>
      <c r="N63" s="37"/>
      <c r="O63" s="37"/>
      <c r="P63" s="37"/>
      <c r="Q63" s="37"/>
      <c r="R63" s="37"/>
      <c r="S63" s="37"/>
    </row>
    <row r="64" spans="1:19" s="39" customFormat="1" x14ac:dyDescent="0.25">
      <c r="A64" s="41" t="s">
        <v>60</v>
      </c>
      <c r="B64" s="38"/>
      <c r="C64" s="37"/>
      <c r="D64" s="36" t="b">
        <f>IF(D63=E63,ABS(D62/E58))</f>
        <v>0</v>
      </c>
      <c r="E64" s="36" t="b">
        <f t="shared" ref="E64:M64" si="17">IF(E63=F63,ABS(E62/F58))</f>
        <v>0</v>
      </c>
      <c r="F64" s="36" t="b">
        <f t="shared" si="17"/>
        <v>0</v>
      </c>
      <c r="G64" s="36" t="b">
        <f t="shared" si="17"/>
        <v>0</v>
      </c>
      <c r="H64" s="36">
        <f t="shared" si="17"/>
        <v>0.86889930817878935</v>
      </c>
      <c r="I64" s="36">
        <f t="shared" si="17"/>
        <v>0.12278729756460743</v>
      </c>
      <c r="J64" s="36">
        <f t="shared" si="17"/>
        <v>1.086778154631467</v>
      </c>
      <c r="K64" s="36">
        <f t="shared" si="17"/>
        <v>2.0144419156038609</v>
      </c>
      <c r="L64" s="36">
        <f t="shared" si="17"/>
        <v>0.99069219896380467</v>
      </c>
      <c r="M64" s="36" t="b">
        <f t="shared" si="17"/>
        <v>0</v>
      </c>
      <c r="N64" s="37"/>
      <c r="O64" s="37"/>
      <c r="P64" s="37"/>
      <c r="Q64" s="37"/>
      <c r="R64" s="37"/>
      <c r="S64" s="37"/>
    </row>
    <row r="65" spans="1:19" x14ac:dyDescent="0.25">
      <c r="A65" s="4"/>
      <c r="B65" s="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4"/>
      <c r="O65" s="4"/>
      <c r="P65" s="4"/>
      <c r="Q65" s="4"/>
      <c r="R65" s="4"/>
      <c r="S65" s="4"/>
    </row>
    <row r="66" spans="1:19" x14ac:dyDescent="0.25">
      <c r="A66" s="29" t="s">
        <v>52</v>
      </c>
      <c r="B66" s="5"/>
      <c r="C66" s="13">
        <f t="shared" ref="C66" si="18">C60</f>
        <v>-2041500</v>
      </c>
      <c r="D66" s="13">
        <f t="shared" ref="D66" si="19">SUM(C60:D60)</f>
        <v>-1773472.3863636362</v>
      </c>
      <c r="E66" s="13">
        <f t="shared" ref="E66" si="20">SUM(C60:E60)</f>
        <v>-1486934.4321410125</v>
      </c>
      <c r="F66" s="13">
        <f t="shared" ref="F66" si="21">SUM(C60:F60)</f>
        <v>-1227288.3502097302</v>
      </c>
      <c r="G66" s="13">
        <f t="shared" ref="G66" si="22">SUM(C60:G60)</f>
        <v>-986861.83903594385</v>
      </c>
      <c r="H66" s="13">
        <f t="shared" ref="H66" si="23">SUM(C60:H60)</f>
        <v>-760677.03631478199</v>
      </c>
      <c r="I66" s="13">
        <f t="shared" ref="I66" si="24">SUM(C60:I60)</f>
        <v>-541040.42314762401</v>
      </c>
      <c r="J66" s="13">
        <f t="shared" ref="J66" si="25">SUM(C60:J60)</f>
        <v>-327852.01073482668</v>
      </c>
      <c r="K66" s="13">
        <f t="shared" ref="K66" si="26">SUM(C60:K60)</f>
        <v>-127622.76981505507</v>
      </c>
      <c r="L66" s="13">
        <f t="shared" ref="L66" si="27">SUM(C60:L60)</f>
        <v>60940.173252690583</v>
      </c>
      <c r="M66" s="13">
        <f t="shared" ref="M66" si="28">SUM(C60:M60)</f>
        <v>582533.27562876523</v>
      </c>
      <c r="N66" s="4"/>
      <c r="O66" s="4"/>
      <c r="P66" s="4"/>
      <c r="Q66" s="4"/>
      <c r="R66" s="4"/>
      <c r="S66" s="4"/>
    </row>
    <row r="67" spans="1:19" x14ac:dyDescent="0.25">
      <c r="A67" s="40" t="s">
        <v>61</v>
      </c>
      <c r="B67" s="5"/>
      <c r="C67" s="13"/>
      <c r="D67" s="42">
        <f>IF(D66&lt;0, 1, 0)</f>
        <v>1</v>
      </c>
      <c r="E67" s="42">
        <f>IF(E66&lt;0, 1, 0)+D67</f>
        <v>2</v>
      </c>
      <c r="F67" s="42">
        <f t="shared" ref="F67:M67" si="29">IF(F66&lt;0, 1, 0)+E67</f>
        <v>3</v>
      </c>
      <c r="G67" s="42">
        <f t="shared" si="29"/>
        <v>4</v>
      </c>
      <c r="H67" s="42">
        <f t="shared" si="29"/>
        <v>5</v>
      </c>
      <c r="I67" s="42">
        <f t="shared" si="29"/>
        <v>6</v>
      </c>
      <c r="J67" s="42">
        <f t="shared" si="29"/>
        <v>7</v>
      </c>
      <c r="K67" s="42">
        <f t="shared" si="29"/>
        <v>8</v>
      </c>
      <c r="L67" s="42">
        <f t="shared" si="29"/>
        <v>8</v>
      </c>
      <c r="M67" s="42">
        <f t="shared" si="29"/>
        <v>8</v>
      </c>
      <c r="N67" s="4"/>
      <c r="O67" s="4"/>
      <c r="P67" s="4"/>
      <c r="Q67" s="4"/>
      <c r="R67" s="4"/>
      <c r="S67" s="4"/>
    </row>
    <row r="68" spans="1:19" x14ac:dyDescent="0.25">
      <c r="A68" s="41" t="s">
        <v>62</v>
      </c>
      <c r="B68" s="5"/>
      <c r="C68" s="13"/>
      <c r="D68" s="36" t="b">
        <f>IF(D67=E67,ABS(D66/E60))</f>
        <v>0</v>
      </c>
      <c r="E68" s="36" t="b">
        <f t="shared" ref="E68:M68" si="30">IF(E67=F67,ABS(E66/F60))</f>
        <v>0</v>
      </c>
      <c r="F68" s="36" t="b">
        <f t="shared" si="30"/>
        <v>0</v>
      </c>
      <c r="G68" s="36" t="b">
        <f t="shared" si="30"/>
        <v>0</v>
      </c>
      <c r="H68" s="36" t="b">
        <f t="shared" si="30"/>
        <v>0</v>
      </c>
      <c r="I68" s="36" t="b">
        <f t="shared" si="30"/>
        <v>0</v>
      </c>
      <c r="J68" s="36" t="b">
        <f t="shared" si="30"/>
        <v>0</v>
      </c>
      <c r="K68" s="36">
        <f t="shared" si="30"/>
        <v>0.67681787173423358</v>
      </c>
      <c r="L68" s="36">
        <f t="shared" si="30"/>
        <v>0.11683469926094232</v>
      </c>
      <c r="M68" s="36" t="b">
        <f t="shared" si="30"/>
        <v>0</v>
      </c>
      <c r="N68" s="4"/>
      <c r="O68" s="4"/>
      <c r="P68" s="4"/>
      <c r="Q68" s="4"/>
      <c r="R68" s="4"/>
      <c r="S68" s="4"/>
    </row>
    <row r="69" spans="1:19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25">
      <c r="B70"/>
    </row>
    <row r="71" spans="1:19" x14ac:dyDescent="0.25">
      <c r="A71" s="22" t="s">
        <v>53</v>
      </c>
      <c r="B71" s="23"/>
    </row>
    <row r="72" spans="1:19" x14ac:dyDescent="0.25">
      <c r="A72" s="24" t="s">
        <v>54</v>
      </c>
      <c r="B72" s="25">
        <f>M66</f>
        <v>582533.27562876523</v>
      </c>
    </row>
    <row r="73" spans="1:19" x14ac:dyDescent="0.25">
      <c r="A73" s="24" t="s">
        <v>55</v>
      </c>
      <c r="B73" s="26">
        <f>IRR(C58:M58)</f>
        <v>0.1512897416773078</v>
      </c>
    </row>
    <row r="74" spans="1:19" x14ac:dyDescent="0.25">
      <c r="A74" s="24" t="s">
        <v>56</v>
      </c>
      <c r="B74" s="27">
        <f>NPV(S13, D58:M58)/-C58</f>
        <v>1.2853457142438232</v>
      </c>
    </row>
    <row r="75" spans="1:19" x14ac:dyDescent="0.25">
      <c r="A75" s="24" t="s">
        <v>57</v>
      </c>
      <c r="B75" s="27">
        <v>5.87</v>
      </c>
    </row>
    <row r="76" spans="1:19" x14ac:dyDescent="0.25">
      <c r="A76" s="24" t="s">
        <v>58</v>
      </c>
      <c r="B76" s="27">
        <v>8.68</v>
      </c>
      <c r="D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F0D5-BDEC-4147-9685-A992DB8F7424}">
  <dimension ref="A1:T95"/>
  <sheetViews>
    <sheetView tabSelected="1" topLeftCell="A58" zoomScale="90" zoomScaleNormal="100" workbookViewId="0">
      <selection activeCell="C23" sqref="C23"/>
    </sheetView>
  </sheetViews>
  <sheetFormatPr defaultColWidth="8.85546875" defaultRowHeight="15" x14ac:dyDescent="0.25"/>
  <cols>
    <col min="1" max="1" width="48.28515625" customWidth="1"/>
    <col min="2" max="2" width="12.42578125" style="1" customWidth="1"/>
    <col min="3" max="3" width="18.42578125" style="1" bestFit="1" customWidth="1"/>
    <col min="4" max="7" width="14.28515625" bestFit="1" customWidth="1"/>
    <col min="8" max="8" width="14.28515625" customWidth="1"/>
    <col min="9" max="14" width="14.28515625" bestFit="1" customWidth="1"/>
  </cols>
  <sheetData>
    <row r="1" spans="1:20" x14ac:dyDescent="0.25">
      <c r="A1" s="2" t="s">
        <v>0</v>
      </c>
    </row>
    <row r="2" spans="1:20" x14ac:dyDescent="0.25">
      <c r="A2" s="2"/>
    </row>
    <row r="4" spans="1:20" x14ac:dyDescent="0.25">
      <c r="A4" s="14" t="s">
        <v>1</v>
      </c>
      <c r="B4" s="15"/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25">
      <c r="A5" s="14"/>
      <c r="B5" s="23" t="s">
        <v>2</v>
      </c>
      <c r="C5" s="23"/>
      <c r="D5" s="14"/>
      <c r="E5" s="14"/>
      <c r="F5" s="14"/>
      <c r="G5" s="22" t="s">
        <v>15</v>
      </c>
      <c r="H5" s="14"/>
      <c r="I5" s="14"/>
      <c r="J5" s="14"/>
      <c r="K5" s="22" t="s">
        <v>31</v>
      </c>
      <c r="L5" s="14"/>
      <c r="M5" s="14"/>
      <c r="N5" s="14"/>
      <c r="O5" s="22" t="s">
        <v>46</v>
      </c>
      <c r="P5" s="14"/>
      <c r="Q5" s="14"/>
      <c r="R5" s="14"/>
      <c r="S5" s="14"/>
      <c r="T5" s="14"/>
    </row>
    <row r="6" spans="1:20" x14ac:dyDescent="0.25">
      <c r="A6" s="14"/>
      <c r="B6" s="23"/>
      <c r="C6" s="23"/>
      <c r="D6" s="14"/>
      <c r="E6" s="14"/>
      <c r="F6" s="14"/>
      <c r="G6" s="2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x14ac:dyDescent="0.25">
      <c r="A7" s="14"/>
      <c r="B7" s="23" t="s">
        <v>3</v>
      </c>
      <c r="C7" s="23"/>
      <c r="D7" s="14"/>
      <c r="E7" s="7">
        <v>3</v>
      </c>
      <c r="F7" s="14"/>
      <c r="G7" s="22" t="s">
        <v>18</v>
      </c>
      <c r="H7" s="14" t="s">
        <v>19</v>
      </c>
      <c r="I7" s="7">
        <v>0.05</v>
      </c>
      <c r="J7" s="14"/>
      <c r="K7" s="14" t="s">
        <v>33</v>
      </c>
      <c r="L7" s="14"/>
      <c r="M7" s="9">
        <v>500000</v>
      </c>
      <c r="N7" s="14"/>
      <c r="O7" s="16" t="s">
        <v>42</v>
      </c>
      <c r="P7" s="14"/>
      <c r="Q7" s="14"/>
      <c r="R7" s="14"/>
      <c r="S7" s="14"/>
      <c r="T7" s="20">
        <v>0.1</v>
      </c>
    </row>
    <row r="8" spans="1:20" x14ac:dyDescent="0.25">
      <c r="A8" s="14"/>
      <c r="B8" s="23" t="s">
        <v>4</v>
      </c>
      <c r="C8" s="23"/>
      <c r="D8" s="14"/>
      <c r="E8" s="11">
        <v>2.5000000000000001E-2</v>
      </c>
      <c r="F8" s="14"/>
      <c r="G8" s="22"/>
      <c r="H8" s="14" t="s">
        <v>20</v>
      </c>
      <c r="I8" s="7">
        <v>0.15</v>
      </c>
      <c r="J8" s="14"/>
      <c r="K8" s="14" t="s">
        <v>34</v>
      </c>
      <c r="L8" s="14"/>
      <c r="M8" s="9">
        <v>1000000</v>
      </c>
      <c r="N8" s="14"/>
      <c r="O8" s="16" t="s">
        <v>43</v>
      </c>
      <c r="P8" s="14"/>
      <c r="Q8" s="14"/>
      <c r="R8" s="14"/>
      <c r="S8" s="14"/>
      <c r="T8" s="20">
        <v>0.12</v>
      </c>
    </row>
    <row r="9" spans="1:20" x14ac:dyDescent="0.25">
      <c r="A9" s="14"/>
      <c r="B9" s="23" t="s">
        <v>5</v>
      </c>
      <c r="C9" s="23"/>
      <c r="D9" s="14"/>
      <c r="E9" s="10">
        <v>1000000</v>
      </c>
      <c r="F9" s="14"/>
      <c r="G9" s="22"/>
      <c r="H9" s="14" t="s">
        <v>21</v>
      </c>
      <c r="I9" s="7">
        <v>1.25</v>
      </c>
      <c r="J9" s="14"/>
      <c r="K9" s="14"/>
      <c r="L9" s="14"/>
      <c r="M9" s="14"/>
      <c r="N9" s="14"/>
      <c r="O9" s="16" t="s">
        <v>44</v>
      </c>
      <c r="P9" s="14"/>
      <c r="Q9" s="14"/>
      <c r="R9" s="14"/>
      <c r="S9" s="14"/>
      <c r="T9" s="20">
        <v>0.03</v>
      </c>
    </row>
    <row r="10" spans="1:20" x14ac:dyDescent="0.25">
      <c r="A10" s="14"/>
      <c r="B10" s="23" t="s">
        <v>6</v>
      </c>
      <c r="C10" s="23"/>
      <c r="D10" s="14"/>
      <c r="E10" s="11">
        <v>2.5000000000000001E-2</v>
      </c>
      <c r="F10" s="14"/>
      <c r="G10" s="22"/>
      <c r="H10" s="14" t="s">
        <v>22</v>
      </c>
      <c r="I10" s="7">
        <v>0.2</v>
      </c>
      <c r="J10" s="14"/>
      <c r="K10" s="22" t="s">
        <v>32</v>
      </c>
      <c r="L10" s="14"/>
      <c r="M10" s="9">
        <f>SUM(M7:M8)</f>
        <v>1500000</v>
      </c>
      <c r="N10" s="14"/>
      <c r="O10" s="14"/>
      <c r="P10" s="14"/>
      <c r="Q10" s="14"/>
      <c r="R10" s="14"/>
      <c r="S10" s="14"/>
      <c r="T10" s="14"/>
    </row>
    <row r="11" spans="1:20" x14ac:dyDescent="0.25">
      <c r="A11" s="14"/>
      <c r="B11" s="23"/>
      <c r="C11" s="23"/>
      <c r="D11" s="14"/>
      <c r="E11" s="14"/>
      <c r="F11" s="14"/>
      <c r="G11" s="22"/>
      <c r="H11" s="14"/>
      <c r="I11" s="14"/>
      <c r="J11" s="14"/>
      <c r="K11" s="14"/>
      <c r="L11" s="14"/>
      <c r="M11" s="14"/>
      <c r="N11" s="14"/>
      <c r="O11" s="28" t="s">
        <v>47</v>
      </c>
      <c r="P11" s="14"/>
      <c r="Q11" s="14"/>
      <c r="R11" s="14"/>
      <c r="S11" s="14"/>
      <c r="T11" s="20">
        <v>0.21</v>
      </c>
    </row>
    <row r="12" spans="1:20" x14ac:dyDescent="0.25">
      <c r="A12" s="14"/>
      <c r="B12" s="23"/>
      <c r="C12" s="23"/>
      <c r="D12" s="14"/>
      <c r="E12" s="14"/>
      <c r="F12" s="14"/>
      <c r="G12" s="22" t="s">
        <v>23</v>
      </c>
      <c r="H12" s="14" t="s">
        <v>24</v>
      </c>
      <c r="I12" s="7">
        <v>0.35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x14ac:dyDescent="0.25">
      <c r="A13" s="14"/>
      <c r="B13" s="23" t="s">
        <v>7</v>
      </c>
      <c r="C13" s="23"/>
      <c r="D13" s="14"/>
      <c r="E13" s="18">
        <v>500000</v>
      </c>
      <c r="F13" s="14"/>
      <c r="G13" s="22"/>
      <c r="H13" s="14"/>
      <c r="I13" s="14"/>
      <c r="J13" s="14"/>
      <c r="K13" s="14"/>
      <c r="L13" s="14"/>
      <c r="M13" s="14"/>
      <c r="N13" s="14"/>
      <c r="O13" s="28" t="s">
        <v>48</v>
      </c>
      <c r="P13" s="14"/>
      <c r="Q13" s="14"/>
      <c r="R13" s="14"/>
      <c r="S13" s="14"/>
      <c r="T13" s="20">
        <v>0.1</v>
      </c>
    </row>
    <row r="14" spans="1:20" x14ac:dyDescent="0.25">
      <c r="A14" s="14"/>
      <c r="B14" s="23" t="s">
        <v>8</v>
      </c>
      <c r="C14" s="23"/>
      <c r="D14" s="14"/>
      <c r="E14" s="19">
        <v>2.5000000000000001E-2</v>
      </c>
      <c r="F14" s="14"/>
      <c r="G14" s="22" t="s">
        <v>25</v>
      </c>
      <c r="H14" s="14"/>
      <c r="I14" s="7">
        <f>SUM(I7:I10,I12)</f>
        <v>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x14ac:dyDescent="0.25">
      <c r="A15" s="14"/>
      <c r="B15" s="15"/>
      <c r="C15" s="15"/>
      <c r="D15" s="14"/>
      <c r="E15" s="14"/>
      <c r="F15" s="14"/>
      <c r="G15" s="22" t="s">
        <v>26</v>
      </c>
      <c r="H15" s="14"/>
      <c r="I15" s="11">
        <v>2.5000000000000001E-2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x14ac:dyDescent="0.25">
      <c r="B16"/>
      <c r="C16"/>
    </row>
    <row r="17" spans="1:20" x14ac:dyDescent="0.25">
      <c r="A17" s="29" t="s">
        <v>9</v>
      </c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s="2" customFormat="1" x14ac:dyDescent="0.25">
      <c r="A19" s="29" t="s">
        <v>10</v>
      </c>
      <c r="B19" s="30" t="s">
        <v>11</v>
      </c>
      <c r="C19" s="30" t="s">
        <v>63</v>
      </c>
      <c r="D19" s="30">
        <v>0</v>
      </c>
      <c r="E19" s="30">
        <v>1</v>
      </c>
      <c r="F19" s="30">
        <v>2</v>
      </c>
      <c r="G19" s="30">
        <v>3</v>
      </c>
      <c r="H19" s="30">
        <v>4</v>
      </c>
      <c r="I19" s="30">
        <v>5</v>
      </c>
      <c r="J19" s="30">
        <v>6</v>
      </c>
      <c r="K19" s="30">
        <v>7</v>
      </c>
      <c r="L19" s="30">
        <v>8</v>
      </c>
      <c r="M19" s="30">
        <v>9</v>
      </c>
      <c r="N19" s="30">
        <v>10</v>
      </c>
      <c r="O19" s="29"/>
      <c r="P19" s="29"/>
      <c r="Q19" s="29"/>
      <c r="R19" s="29"/>
      <c r="S19" s="29"/>
      <c r="T19" s="29"/>
    </row>
    <row r="20" spans="1:20" x14ac:dyDescent="0.25">
      <c r="A20" s="4"/>
      <c r="B20" s="5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s="2" customFormat="1" x14ac:dyDescent="0.25">
      <c r="A21" s="29" t="s">
        <v>2</v>
      </c>
      <c r="B21" s="30"/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0" x14ac:dyDescent="0.25">
      <c r="A22" s="6" t="s">
        <v>12</v>
      </c>
      <c r="B22" s="5"/>
      <c r="C22" s="21">
        <v>0.05</v>
      </c>
      <c r="D22" s="7"/>
      <c r="E22" s="7">
        <f>$E$7*(1+$E$8)^(E19-1)*(1+C22)</f>
        <v>3.1500000000000004</v>
      </c>
      <c r="F22" s="7">
        <f>$E$7*(1+$E$8)^(F19-1)*(1+C22)</f>
        <v>3.2287499999999998</v>
      </c>
      <c r="G22" s="7">
        <f>$E$7*(1+$E$8)^(G19-1)*(1+C22)</f>
        <v>3.3094687499999997</v>
      </c>
      <c r="H22" s="7">
        <f>$E$7*(1+$E$8)^(H19-1)*(1+C22)</f>
        <v>3.3922054687499998</v>
      </c>
      <c r="I22" s="7">
        <f>$E$7*(1+$E$8)^(I19-1)*(1+C22)</f>
        <v>3.4770106054687493</v>
      </c>
      <c r="J22" s="7">
        <f>$E$7*(1+$E$8)^(J19-1)*(1+C22)</f>
        <v>3.563935870605468</v>
      </c>
      <c r="K22" s="7">
        <f>$E$7*(1+$E$8)^(K19-1)*(1+C22)</f>
        <v>3.6530342673706047</v>
      </c>
      <c r="L22" s="7">
        <f>$E$7*(1+$E$8)^(L19-1)*(1+C22)</f>
        <v>3.7443601240548694</v>
      </c>
      <c r="M22" s="7">
        <f>$E$7*(1+$E$8)^(M19-1)*(1+C22)</f>
        <v>3.8379691271562408</v>
      </c>
      <c r="N22" s="7">
        <f>$E$7*(1+$E$8)^(N19-1)*(1+C22)</f>
        <v>3.9339183553351464</v>
      </c>
      <c r="O22" s="4"/>
      <c r="P22" s="4"/>
      <c r="Q22" s="4"/>
      <c r="R22" s="4"/>
      <c r="S22" s="4"/>
      <c r="T22" s="4"/>
    </row>
    <row r="23" spans="1:20" x14ac:dyDescent="0.25">
      <c r="A23" s="6" t="s">
        <v>13</v>
      </c>
      <c r="B23" s="5"/>
      <c r="C23" s="21">
        <v>0</v>
      </c>
      <c r="D23" s="4"/>
      <c r="E23" s="8">
        <f>$E$9*(1+$E$10)^(E19-1)*(1+$C$23)</f>
        <v>1000000</v>
      </c>
      <c r="F23" s="8">
        <f t="shared" ref="F23:N23" si="0">$E$9*(1+$E$10)^(F19-1)*(1+$C$23)</f>
        <v>1024999.9999999999</v>
      </c>
      <c r="G23" s="8">
        <f t="shared" si="0"/>
        <v>1050625</v>
      </c>
      <c r="H23" s="8">
        <f t="shared" si="0"/>
        <v>1076890.6249999998</v>
      </c>
      <c r="I23" s="8">
        <f t="shared" si="0"/>
        <v>1103812.8906249998</v>
      </c>
      <c r="J23" s="8">
        <f t="shared" si="0"/>
        <v>1131408.2128906248</v>
      </c>
      <c r="K23" s="8">
        <f t="shared" si="0"/>
        <v>1159693.4182128902</v>
      </c>
      <c r="L23" s="8">
        <f t="shared" si="0"/>
        <v>1188685.7536682126</v>
      </c>
      <c r="M23" s="8">
        <f t="shared" si="0"/>
        <v>1218402.8975099176</v>
      </c>
      <c r="N23" s="8">
        <f t="shared" si="0"/>
        <v>1248862.9699476655</v>
      </c>
      <c r="O23" s="4"/>
      <c r="P23" s="4"/>
      <c r="Q23" s="4"/>
      <c r="R23" s="4"/>
      <c r="S23" s="4"/>
      <c r="T23" s="4"/>
    </row>
    <row r="24" spans="1:20" s="2" customFormat="1" x14ac:dyDescent="0.25">
      <c r="A24" s="31" t="s">
        <v>14</v>
      </c>
      <c r="B24" s="30"/>
      <c r="C24" s="30"/>
      <c r="D24" s="29"/>
      <c r="E24" s="32">
        <f>(500000*E22)+((E23-500000)*(E22-E22*10%))</f>
        <v>2992500.0000000005</v>
      </c>
      <c r="F24" s="32">
        <f t="shared" ref="F24:N24" si="1">(500000*F22)+((F23-500000)*(F22-F22*10%))</f>
        <v>3139959.375</v>
      </c>
      <c r="G24" s="32">
        <f t="shared" si="1"/>
        <v>3294782.9824218745</v>
      </c>
      <c r="H24" s="32">
        <f t="shared" si="1"/>
        <v>3457341.1140710441</v>
      </c>
      <c r="I24" s="32">
        <f t="shared" si="1"/>
        <v>3628022.7447140543</v>
      </c>
      <c r="J24" s="32">
        <f t="shared" si="1"/>
        <v>3807236.4763269462</v>
      </c>
      <c r="K24" s="32">
        <f t="shared" si="1"/>
        <v>3995411.5301067838</v>
      </c>
      <c r="L24" s="32">
        <f t="shared" si="1"/>
        <v>4192998.7886633715</v>
      </c>
      <c r="M24" s="32">
        <f t="shared" si="1"/>
        <v>4400471.8909305073</v>
      </c>
      <c r="N24" s="32">
        <f t="shared" si="1"/>
        <v>4618328.3824646957</v>
      </c>
      <c r="O24" s="29"/>
      <c r="P24" s="29"/>
      <c r="Q24" s="29"/>
      <c r="R24" s="29"/>
      <c r="S24" s="29"/>
      <c r="T24" s="29"/>
    </row>
    <row r="25" spans="1:20" x14ac:dyDescent="0.25">
      <c r="A25" s="4"/>
      <c r="B25" s="5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s="2" customFormat="1" x14ac:dyDescent="0.25">
      <c r="A26" s="29" t="s">
        <v>15</v>
      </c>
      <c r="B26" s="30"/>
      <c r="C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x14ac:dyDescent="0.25">
      <c r="A27" s="6" t="s">
        <v>16</v>
      </c>
      <c r="B27" s="5"/>
      <c r="C27" s="21">
        <v>0</v>
      </c>
      <c r="D27" s="4"/>
      <c r="E27" s="7">
        <f>$I$14*(1+$I$15)^(E19-1)*(1+$C$27)</f>
        <v>2</v>
      </c>
      <c r="F27" s="7">
        <f t="shared" ref="F27:N27" si="2">$I$14*(1+$I$15)^(F19-1)*(1+$C$27)</f>
        <v>2.0499999999999998</v>
      </c>
      <c r="G27" s="7">
        <f t="shared" si="2"/>
        <v>2.1012499999999998</v>
      </c>
      <c r="H27" s="7">
        <f t="shared" si="2"/>
        <v>2.1537812499999998</v>
      </c>
      <c r="I27" s="7">
        <f t="shared" si="2"/>
        <v>2.2076257812499995</v>
      </c>
      <c r="J27" s="7">
        <f t="shared" si="2"/>
        <v>2.2628164257812493</v>
      </c>
      <c r="K27" s="7">
        <f t="shared" si="2"/>
        <v>2.3193868364257804</v>
      </c>
      <c r="L27" s="7">
        <f t="shared" si="2"/>
        <v>2.377371507336425</v>
      </c>
      <c r="M27" s="7">
        <f t="shared" si="2"/>
        <v>2.4368057950198354</v>
      </c>
      <c r="N27" s="7">
        <f t="shared" si="2"/>
        <v>2.4977259398953309</v>
      </c>
      <c r="O27" s="4"/>
      <c r="P27" s="4"/>
      <c r="Q27" s="4"/>
      <c r="R27" s="4"/>
      <c r="S27" s="4"/>
      <c r="T27" s="4"/>
    </row>
    <row r="28" spans="1:20" x14ac:dyDescent="0.25">
      <c r="A28" s="6" t="s">
        <v>13</v>
      </c>
      <c r="B28" s="5"/>
      <c r="C28" s="12">
        <f>C23</f>
        <v>0</v>
      </c>
      <c r="D28" s="4"/>
      <c r="E28" s="10">
        <f>$E$9*(1+$E$10)^(E19-1)*(1+$C$28)</f>
        <v>1000000</v>
      </c>
      <c r="F28" s="10">
        <f t="shared" ref="F28:N28" si="3">$E$9*(1+$E$10)^(F19-1)*(1+$C$28)</f>
        <v>1024999.9999999999</v>
      </c>
      <c r="G28" s="10">
        <f t="shared" si="3"/>
        <v>1050625</v>
      </c>
      <c r="H28" s="10">
        <f t="shared" si="3"/>
        <v>1076890.6249999998</v>
      </c>
      <c r="I28" s="10">
        <f t="shared" si="3"/>
        <v>1103812.8906249998</v>
      </c>
      <c r="J28" s="10">
        <f t="shared" si="3"/>
        <v>1131408.2128906248</v>
      </c>
      <c r="K28" s="10">
        <f t="shared" si="3"/>
        <v>1159693.4182128902</v>
      </c>
      <c r="L28" s="10">
        <f t="shared" si="3"/>
        <v>1188685.7536682126</v>
      </c>
      <c r="M28" s="10">
        <f t="shared" si="3"/>
        <v>1218402.8975099176</v>
      </c>
      <c r="N28" s="10">
        <f t="shared" si="3"/>
        <v>1248862.9699476655</v>
      </c>
      <c r="O28" s="4"/>
      <c r="P28" s="4"/>
      <c r="Q28" s="4"/>
      <c r="R28" s="4"/>
      <c r="S28" s="4"/>
      <c r="T28" s="4"/>
    </row>
    <row r="29" spans="1:20" s="2" customFormat="1" x14ac:dyDescent="0.25">
      <c r="A29" s="31" t="s">
        <v>17</v>
      </c>
      <c r="B29" s="30"/>
      <c r="C29" s="30"/>
      <c r="D29" s="29"/>
      <c r="E29" s="32">
        <f>E27*E28</f>
        <v>2000000</v>
      </c>
      <c r="F29" s="32">
        <f t="shared" ref="F29:N29" si="4">F27*F28</f>
        <v>2101249.9999999995</v>
      </c>
      <c r="G29" s="32">
        <f t="shared" si="4"/>
        <v>2207625.78125</v>
      </c>
      <c r="H29" s="32">
        <f t="shared" si="4"/>
        <v>2319386.8364257803</v>
      </c>
      <c r="I29" s="32">
        <f t="shared" si="4"/>
        <v>2436805.7950198352</v>
      </c>
      <c r="J29" s="32">
        <f t="shared" si="4"/>
        <v>2560169.0883927145</v>
      </c>
      <c r="K29" s="32">
        <f t="shared" si="4"/>
        <v>2689777.6484925947</v>
      </c>
      <c r="L29" s="32">
        <f t="shared" si="4"/>
        <v>2825947.641947533</v>
      </c>
      <c r="M29" s="32">
        <f t="shared" si="4"/>
        <v>2969011.241321126</v>
      </c>
      <c r="N29" s="32">
        <f t="shared" si="4"/>
        <v>3119317.4354130072</v>
      </c>
      <c r="O29" s="29"/>
      <c r="P29" s="29"/>
      <c r="Q29" s="29"/>
      <c r="R29" s="29"/>
      <c r="S29" s="29"/>
      <c r="T29" s="29"/>
    </row>
    <row r="30" spans="1:20" x14ac:dyDescent="0.25">
      <c r="A30" s="4"/>
      <c r="B30" s="5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s="2" customFormat="1" x14ac:dyDescent="0.25">
      <c r="A31" s="29" t="s">
        <v>27</v>
      </c>
      <c r="B31" s="30"/>
      <c r="C31" s="30"/>
      <c r="D31" s="29"/>
      <c r="E31" s="32">
        <f>E24-E29</f>
        <v>992500.00000000047</v>
      </c>
      <c r="F31" s="32">
        <f t="shared" ref="F31:N31" si="5">F24-F29</f>
        <v>1038709.3750000005</v>
      </c>
      <c r="G31" s="32">
        <f t="shared" si="5"/>
        <v>1087157.2011718745</v>
      </c>
      <c r="H31" s="32">
        <f t="shared" si="5"/>
        <v>1137954.2776452638</v>
      </c>
      <c r="I31" s="32">
        <f t="shared" si="5"/>
        <v>1191216.949694219</v>
      </c>
      <c r="J31" s="32">
        <f t="shared" si="5"/>
        <v>1247067.3879342317</v>
      </c>
      <c r="K31" s="32">
        <f t="shared" si="5"/>
        <v>1305633.8816141891</v>
      </c>
      <c r="L31" s="32">
        <f t="shared" si="5"/>
        <v>1367051.1467158385</v>
      </c>
      <c r="M31" s="32">
        <f t="shared" si="5"/>
        <v>1431460.6496093813</v>
      </c>
      <c r="N31" s="32">
        <f t="shared" si="5"/>
        <v>1499010.9470516886</v>
      </c>
      <c r="O31" s="29"/>
      <c r="P31" s="29"/>
      <c r="Q31" s="29"/>
      <c r="R31" s="29"/>
      <c r="S31" s="29"/>
      <c r="T31" s="29"/>
    </row>
    <row r="32" spans="1:20" x14ac:dyDescent="0.25">
      <c r="A32" s="6" t="s">
        <v>28</v>
      </c>
      <c r="B32" s="5"/>
      <c r="C32" s="5"/>
      <c r="D32" s="4"/>
      <c r="E32" s="11">
        <f>E31/E24</f>
        <v>0.33166248955722649</v>
      </c>
      <c r="F32" s="11">
        <f t="shared" ref="F32:N32" si="6">F31/F24</f>
        <v>0.33080344391398392</v>
      </c>
      <c r="G32" s="11">
        <f t="shared" si="6"/>
        <v>0.32996321972403325</v>
      </c>
      <c r="H32" s="11">
        <f t="shared" si="6"/>
        <v>0.32914145295467084</v>
      </c>
      <c r="I32" s="11">
        <f t="shared" si="6"/>
        <v>0.32833778438401323</v>
      </c>
      <c r="J32" s="11">
        <f t="shared" si="6"/>
        <v>0.32755185964632993</v>
      </c>
      <c r="K32" s="11">
        <f t="shared" si="6"/>
        <v>0.32678332927053799</v>
      </c>
      <c r="L32" s="11">
        <f t="shared" si="6"/>
        <v>0.32603184871217716</v>
      </c>
      <c r="M32" s="11">
        <f t="shared" si="6"/>
        <v>0.32529707837917582</v>
      </c>
      <c r="N32" s="11">
        <f t="shared" si="6"/>
        <v>0.32457868365170278</v>
      </c>
      <c r="O32" s="4"/>
      <c r="P32" s="4"/>
      <c r="Q32" s="4"/>
      <c r="R32" s="4"/>
      <c r="S32" s="4"/>
      <c r="T32" s="4"/>
    </row>
    <row r="33" spans="1:20" x14ac:dyDescent="0.25">
      <c r="A33" s="4"/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 t="s">
        <v>29</v>
      </c>
      <c r="B34" s="5"/>
      <c r="C34" s="21">
        <v>0</v>
      </c>
      <c r="D34" s="4"/>
      <c r="E34" s="9">
        <f>$E$13*(1+$E$14)^(E19-1)*(1+$C$34)</f>
        <v>500000</v>
      </c>
      <c r="F34" s="9">
        <f t="shared" ref="F34:N34" si="7">$E$13*(1+$E$14)^(F19-1)*(1+$C$34)</f>
        <v>512499.99999999994</v>
      </c>
      <c r="G34" s="9">
        <f t="shared" si="7"/>
        <v>525312.5</v>
      </c>
      <c r="H34" s="9">
        <f t="shared" si="7"/>
        <v>538445.31249999988</v>
      </c>
      <c r="I34" s="9">
        <f t="shared" si="7"/>
        <v>551906.44531249988</v>
      </c>
      <c r="J34" s="9">
        <f t="shared" si="7"/>
        <v>565704.10644531238</v>
      </c>
      <c r="K34" s="9">
        <f t="shared" si="7"/>
        <v>579846.70910644508</v>
      </c>
      <c r="L34" s="9">
        <f t="shared" si="7"/>
        <v>594342.87683410628</v>
      </c>
      <c r="M34" s="9">
        <f t="shared" si="7"/>
        <v>609201.44875495881</v>
      </c>
      <c r="N34" s="9">
        <f t="shared" si="7"/>
        <v>624431.48497383273</v>
      </c>
      <c r="O34" s="4"/>
      <c r="P34" s="4"/>
      <c r="Q34" s="4"/>
      <c r="R34" s="4"/>
      <c r="S34" s="4"/>
      <c r="T34" s="4"/>
    </row>
    <row r="35" spans="1:20" x14ac:dyDescent="0.25">
      <c r="A35" s="4"/>
      <c r="B35" s="5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 t="s">
        <v>30</v>
      </c>
      <c r="B36" s="5"/>
      <c r="C36" s="5"/>
      <c r="D36" s="4"/>
      <c r="E36" s="9">
        <f>M10*14.29%</f>
        <v>214350</v>
      </c>
      <c r="F36" s="9">
        <f>M10*24.49%</f>
        <v>367349.99999999994</v>
      </c>
      <c r="G36" s="9">
        <f>M10*17.49%</f>
        <v>262349.99999999994</v>
      </c>
      <c r="H36" s="9">
        <f>M10*12.49%</f>
        <v>187350</v>
      </c>
      <c r="I36" s="9">
        <f>M10*8.93%</f>
        <v>133950</v>
      </c>
      <c r="J36" s="9">
        <f>M10*8.92%</f>
        <v>133800</v>
      </c>
      <c r="K36" s="9">
        <f>M10*8.93%</f>
        <v>133950</v>
      </c>
      <c r="L36" s="9">
        <f>M10*4.46%</f>
        <v>66900</v>
      </c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5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s="2" customFormat="1" x14ac:dyDescent="0.25">
      <c r="A38" s="29" t="s">
        <v>35</v>
      </c>
      <c r="B38" s="30"/>
      <c r="C38" s="30"/>
      <c r="D38" s="29"/>
      <c r="E38" s="32">
        <f>E31-E34-E36</f>
        <v>278150.00000000047</v>
      </c>
      <c r="F38" s="32">
        <f t="shared" ref="F38:N38" si="8">F31-F34-F36</f>
        <v>158859.37500000052</v>
      </c>
      <c r="G38" s="32">
        <f t="shared" si="8"/>
        <v>299494.70117187459</v>
      </c>
      <c r="H38" s="32">
        <f t="shared" si="8"/>
        <v>412158.96514526394</v>
      </c>
      <c r="I38" s="32">
        <f t="shared" si="8"/>
        <v>505360.50438171916</v>
      </c>
      <c r="J38" s="32">
        <f t="shared" si="8"/>
        <v>547563.28148891928</v>
      </c>
      <c r="K38" s="32">
        <f t="shared" si="8"/>
        <v>591837.17250774405</v>
      </c>
      <c r="L38" s="32">
        <f t="shared" si="8"/>
        <v>705808.26988173218</v>
      </c>
      <c r="M38" s="32">
        <f t="shared" si="8"/>
        <v>822259.20085442252</v>
      </c>
      <c r="N38" s="32">
        <f t="shared" si="8"/>
        <v>874579.46207785583</v>
      </c>
      <c r="O38" s="29"/>
      <c r="P38" s="29"/>
      <c r="Q38" s="29"/>
      <c r="R38" s="29"/>
      <c r="S38" s="29"/>
      <c r="T38" s="29"/>
    </row>
    <row r="39" spans="1:20" x14ac:dyDescent="0.25">
      <c r="A39" s="4"/>
      <c r="B39" s="5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29" t="s">
        <v>36</v>
      </c>
      <c r="B40" s="33">
        <f>T11</f>
        <v>0.21</v>
      </c>
      <c r="C40" s="33"/>
      <c r="D40" s="4"/>
      <c r="E40" s="9">
        <f>E38*$B$40</f>
        <v>58411.500000000095</v>
      </c>
      <c r="F40" s="9">
        <f t="shared" ref="F40:N40" si="9">F38*$B$40</f>
        <v>33360.468750000109</v>
      </c>
      <c r="G40" s="9">
        <f t="shared" si="9"/>
        <v>62893.887246093662</v>
      </c>
      <c r="H40" s="9">
        <f t="shared" si="9"/>
        <v>86553.382680505427</v>
      </c>
      <c r="I40" s="9">
        <f t="shared" si="9"/>
        <v>106125.70592016102</v>
      </c>
      <c r="J40" s="9">
        <f t="shared" si="9"/>
        <v>114988.28911267304</v>
      </c>
      <c r="K40" s="9">
        <f t="shared" si="9"/>
        <v>124285.80622662624</v>
      </c>
      <c r="L40" s="9">
        <f t="shared" si="9"/>
        <v>148219.73667516376</v>
      </c>
      <c r="M40" s="9">
        <f t="shared" si="9"/>
        <v>172674.43217942872</v>
      </c>
      <c r="N40" s="9">
        <f t="shared" si="9"/>
        <v>183661.68703634973</v>
      </c>
      <c r="O40" s="4"/>
      <c r="P40" s="4"/>
      <c r="Q40" s="4"/>
      <c r="R40" s="4"/>
      <c r="S40" s="4"/>
      <c r="T40" s="4"/>
    </row>
    <row r="41" spans="1:20" x14ac:dyDescent="0.25">
      <c r="A41" s="4"/>
      <c r="B41" s="5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s="2" customFormat="1" x14ac:dyDescent="0.25">
      <c r="A42" s="29" t="s">
        <v>37</v>
      </c>
      <c r="B42" s="30"/>
      <c r="C42" s="30"/>
      <c r="D42" s="29"/>
      <c r="E42" s="32">
        <f>E38-E40</f>
        <v>219738.50000000038</v>
      </c>
      <c r="F42" s="32">
        <f t="shared" ref="F42:N42" si="10">F38-F40</f>
        <v>125498.90625000041</v>
      </c>
      <c r="G42" s="32">
        <f t="shared" si="10"/>
        <v>236600.81392578094</v>
      </c>
      <c r="H42" s="32">
        <f t="shared" si="10"/>
        <v>325605.58246475854</v>
      </c>
      <c r="I42" s="32">
        <f t="shared" si="10"/>
        <v>399234.79846155812</v>
      </c>
      <c r="J42" s="32">
        <f t="shared" si="10"/>
        <v>432574.99237624626</v>
      </c>
      <c r="K42" s="32">
        <f t="shared" si="10"/>
        <v>467551.36628111778</v>
      </c>
      <c r="L42" s="32">
        <f t="shared" si="10"/>
        <v>557588.53320656845</v>
      </c>
      <c r="M42" s="32">
        <f t="shared" si="10"/>
        <v>649584.76867499377</v>
      </c>
      <c r="N42" s="32">
        <f t="shared" si="10"/>
        <v>690917.77504150616</v>
      </c>
      <c r="O42" s="29"/>
      <c r="P42" s="29"/>
      <c r="Q42" s="29"/>
      <c r="R42" s="29"/>
      <c r="S42" s="29"/>
      <c r="T42" s="29"/>
    </row>
    <row r="43" spans="1:20" x14ac:dyDescent="0.25">
      <c r="A43" s="4"/>
      <c r="B43" s="5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29" t="s">
        <v>38</v>
      </c>
      <c r="B44" s="5"/>
      <c r="C44" s="5"/>
      <c r="D44" s="4"/>
      <c r="E44" s="34">
        <f>IF(E36="",0,E36)</f>
        <v>214350</v>
      </c>
      <c r="F44" s="34">
        <f t="shared" ref="F44:N44" si="11">IF(F36="",0,F36)</f>
        <v>367349.99999999994</v>
      </c>
      <c r="G44" s="34">
        <f t="shared" si="11"/>
        <v>262349.99999999994</v>
      </c>
      <c r="H44" s="34">
        <f t="shared" si="11"/>
        <v>187350</v>
      </c>
      <c r="I44" s="34">
        <f t="shared" si="11"/>
        <v>133950</v>
      </c>
      <c r="J44" s="34">
        <f t="shared" si="11"/>
        <v>133800</v>
      </c>
      <c r="K44" s="34">
        <f t="shared" si="11"/>
        <v>133950</v>
      </c>
      <c r="L44" s="34">
        <f t="shared" si="11"/>
        <v>66900</v>
      </c>
      <c r="M44" s="34">
        <f t="shared" si="11"/>
        <v>0</v>
      </c>
      <c r="N44" s="34">
        <f t="shared" si="11"/>
        <v>0</v>
      </c>
      <c r="O44" s="4"/>
      <c r="P44" s="4"/>
      <c r="Q44" s="4"/>
      <c r="R44" s="4"/>
      <c r="S44" s="4"/>
      <c r="T44" s="4"/>
    </row>
    <row r="45" spans="1:20" x14ac:dyDescent="0.25">
      <c r="A45" s="4"/>
      <c r="B45" s="5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29" t="s">
        <v>39</v>
      </c>
      <c r="B46" s="5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6" t="s">
        <v>33</v>
      </c>
      <c r="B47" s="5"/>
      <c r="C47" s="5"/>
      <c r="D47" s="13">
        <f>-M7</f>
        <v>-500000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6" t="s">
        <v>34</v>
      </c>
      <c r="B48" s="5"/>
      <c r="C48" s="5"/>
      <c r="D48" s="13">
        <f>-M8</f>
        <v>-1000000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A49" s="31" t="s">
        <v>40</v>
      </c>
      <c r="B49" s="5"/>
      <c r="C49" s="21">
        <v>0</v>
      </c>
      <c r="D49" s="13">
        <f>SUM(D47:D48)*(1+C49)</f>
        <v>-1500000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4"/>
      <c r="B50" s="5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A51" s="29" t="s">
        <v>41</v>
      </c>
      <c r="B51" s="5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5">
      <c r="A52" s="6" t="s">
        <v>42</v>
      </c>
      <c r="B52" s="33">
        <f>T7</f>
        <v>0.1</v>
      </c>
      <c r="C52" s="33"/>
      <c r="D52" s="13">
        <f>-($E$24*B52)</f>
        <v>-299250.00000000006</v>
      </c>
      <c r="E52" s="13">
        <f>-($F$24*B52+D52)</f>
        <v>-14745.937499999942</v>
      </c>
      <c r="F52" s="13">
        <f>-($G$24*B52+SUM(D52:E52))</f>
        <v>-15482.360742187477</v>
      </c>
      <c r="G52" s="13">
        <f>-($H$24*B52+SUM(D52:F52))</f>
        <v>-16255.813164916937</v>
      </c>
      <c r="H52" s="13">
        <f>-($I$24*B52+SUM(D52:G52))</f>
        <v>-17068.163064301014</v>
      </c>
      <c r="I52" s="13">
        <f>-($J$24*B52+SUM(D52:H52))</f>
        <v>-17921.373161289201</v>
      </c>
      <c r="J52" s="13">
        <f>-($K$24*B52+SUM(D52:I52))</f>
        <v>-18817.505377983791</v>
      </c>
      <c r="K52" s="13">
        <f>-($L$24*B52+SUM(D52:J52))</f>
        <v>-19758.725855658762</v>
      </c>
      <c r="L52" s="13">
        <f>-($M$24*B52+SUM(D52:K52))</f>
        <v>-20747.310226713598</v>
      </c>
      <c r="M52" s="13">
        <f>-($N$24*B52+SUM(D52:L52))</f>
        <v>-21785.649153418839</v>
      </c>
      <c r="N52" s="13">
        <f>-SUM(D52:M52)</f>
        <v>461832.83824646962</v>
      </c>
      <c r="O52" s="4"/>
      <c r="P52" s="4"/>
      <c r="Q52" s="4"/>
      <c r="R52" s="4"/>
      <c r="S52" s="4"/>
      <c r="T52" s="4"/>
    </row>
    <row r="53" spans="1:20" x14ac:dyDescent="0.25">
      <c r="A53" s="6"/>
      <c r="B53" s="12"/>
      <c r="C53" s="33">
        <f>C58</f>
        <v>0</v>
      </c>
      <c r="D53" s="49">
        <f>D52*(1+$C$53)</f>
        <v>-299250.00000000006</v>
      </c>
      <c r="E53" s="49">
        <f t="shared" ref="E53:N53" si="12">E52*(1+$C$53)</f>
        <v>-14745.937499999942</v>
      </c>
      <c r="F53" s="49">
        <f t="shared" si="12"/>
        <v>-15482.360742187477</v>
      </c>
      <c r="G53" s="49">
        <f t="shared" si="12"/>
        <v>-16255.813164916937</v>
      </c>
      <c r="H53" s="49">
        <f t="shared" si="12"/>
        <v>-17068.163064301014</v>
      </c>
      <c r="I53" s="49">
        <f t="shared" si="12"/>
        <v>-17921.373161289201</v>
      </c>
      <c r="J53" s="49">
        <f t="shared" si="12"/>
        <v>-18817.505377983791</v>
      </c>
      <c r="K53" s="49">
        <f t="shared" si="12"/>
        <v>-19758.725855658762</v>
      </c>
      <c r="L53" s="49">
        <f t="shared" si="12"/>
        <v>-20747.310226713598</v>
      </c>
      <c r="M53" s="49">
        <f t="shared" si="12"/>
        <v>-21785.649153418839</v>
      </c>
      <c r="N53" s="49">
        <f t="shared" si="12"/>
        <v>461832.83824646962</v>
      </c>
      <c r="O53" s="4"/>
      <c r="P53" s="4"/>
      <c r="Q53" s="4"/>
      <c r="R53" s="4"/>
      <c r="S53" s="4"/>
      <c r="T53" s="4"/>
    </row>
    <row r="54" spans="1:20" x14ac:dyDescent="0.25">
      <c r="A54" s="6" t="s">
        <v>43</v>
      </c>
      <c r="B54" s="33">
        <f>T8</f>
        <v>0.12</v>
      </c>
      <c r="C54" s="33"/>
      <c r="D54" s="13">
        <f>-($E$24*B54)</f>
        <v>-359100.00000000006</v>
      </c>
      <c r="E54" s="13">
        <f>-($F$24*B54+D54)</f>
        <v>-17695.124999999942</v>
      </c>
      <c r="F54" s="13">
        <f>-($G$24*B54+SUM(D54:E54))</f>
        <v>-18578.832890624937</v>
      </c>
      <c r="G54" s="13">
        <f>-($H$24*B54+SUM(D54:F54))</f>
        <v>-19506.975797900348</v>
      </c>
      <c r="H54" s="13">
        <f>-($I$24*B54+SUM(D54:G54))</f>
        <v>-20481.795677161193</v>
      </c>
      <c r="I54" s="13">
        <f>-($J$24*B54+SUM(D54:H54))</f>
        <v>-21505.647793547017</v>
      </c>
      <c r="J54" s="13">
        <f>-($K$24*B54+SUM(D54:I54))</f>
        <v>-22581.006453580572</v>
      </c>
      <c r="K54" s="13">
        <f>-($L$24*B54+SUM(D54:J54))</f>
        <v>-23710.471026790503</v>
      </c>
      <c r="L54" s="13">
        <f>-($M$24*B54+SUM(D54:K54))</f>
        <v>-24896.772272056318</v>
      </c>
      <c r="M54" s="13">
        <f>-($N$24*B54+SUM(D54:L54))</f>
        <v>-26142.778984102537</v>
      </c>
      <c r="N54" s="13">
        <f>-SUM(D54:M54)</f>
        <v>554199.40589576343</v>
      </c>
      <c r="O54" s="4"/>
      <c r="P54" s="4"/>
      <c r="Q54" s="4"/>
      <c r="R54" s="4"/>
      <c r="S54" s="4"/>
      <c r="T54" s="4"/>
    </row>
    <row r="55" spans="1:20" x14ac:dyDescent="0.25">
      <c r="A55" s="6"/>
      <c r="B55" s="33"/>
      <c r="C55" s="33">
        <f>C58</f>
        <v>0</v>
      </c>
      <c r="D55" s="49">
        <f>D54*(1+$C$55)</f>
        <v>-359100.00000000006</v>
      </c>
      <c r="E55" s="49">
        <f t="shared" ref="E55:N55" si="13">E54*(1+$C$55)</f>
        <v>-17695.124999999942</v>
      </c>
      <c r="F55" s="49">
        <f t="shared" si="13"/>
        <v>-18578.832890624937</v>
      </c>
      <c r="G55" s="49">
        <f t="shared" si="13"/>
        <v>-19506.975797900348</v>
      </c>
      <c r="H55" s="49">
        <f t="shared" si="13"/>
        <v>-20481.795677161193</v>
      </c>
      <c r="I55" s="49">
        <f t="shared" si="13"/>
        <v>-21505.647793547017</v>
      </c>
      <c r="J55" s="49">
        <f t="shared" si="13"/>
        <v>-22581.006453580572</v>
      </c>
      <c r="K55" s="49">
        <f t="shared" si="13"/>
        <v>-23710.471026790503</v>
      </c>
      <c r="L55" s="49">
        <f t="shared" si="13"/>
        <v>-24896.772272056318</v>
      </c>
      <c r="M55" s="49">
        <f t="shared" si="13"/>
        <v>-26142.778984102537</v>
      </c>
      <c r="N55" s="49">
        <f t="shared" si="13"/>
        <v>554199.40589576343</v>
      </c>
      <c r="O55" s="4"/>
      <c r="P55" s="4"/>
      <c r="Q55" s="4"/>
      <c r="R55" s="4"/>
      <c r="S55" s="4"/>
      <c r="T55" s="4"/>
    </row>
    <row r="56" spans="1:20" x14ac:dyDescent="0.25">
      <c r="A56" s="6" t="s">
        <v>44</v>
      </c>
      <c r="B56" s="33">
        <f>T9</f>
        <v>0.03</v>
      </c>
      <c r="C56" s="33"/>
      <c r="D56" s="13">
        <f>$E$24*B56</f>
        <v>89775.000000000015</v>
      </c>
      <c r="E56" s="13">
        <f>$F$24*B56-D56</f>
        <v>4423.7812499999854</v>
      </c>
      <c r="F56" s="13">
        <f>$G$24*B56-SUM(D56:E56)</f>
        <v>4644.7082226562343</v>
      </c>
      <c r="G56" s="13">
        <f>$H$24*B56-SUM(D56:F56)</f>
        <v>4876.743949475087</v>
      </c>
      <c r="H56" s="13">
        <f>$I$24*B56-SUM(D56:G56)</f>
        <v>5120.4489192902984</v>
      </c>
      <c r="I56" s="13">
        <f>$J$24*B56-SUM(D56:H56)</f>
        <v>5376.4119483867544</v>
      </c>
      <c r="J56" s="13">
        <f>$K$24*B56-SUM(D56:I56)</f>
        <v>5645.2516133951431</v>
      </c>
      <c r="K56" s="13">
        <f>$L$24*B56-SUM(D56:J56)</f>
        <v>5927.6177566976257</v>
      </c>
      <c r="L56" s="13">
        <f>$M$24*B56-SUM(D56:K56)</f>
        <v>6224.1930680140795</v>
      </c>
      <c r="M56" s="13">
        <f>$N$24*B56-SUM(D56:L56)</f>
        <v>6535.6947460256342</v>
      </c>
      <c r="N56" s="13">
        <f>-SUM(D56:M56)</f>
        <v>-138549.85147394086</v>
      </c>
      <c r="O56" s="4"/>
      <c r="P56" s="4"/>
      <c r="Q56" s="4"/>
      <c r="R56" s="4"/>
      <c r="S56" s="4"/>
      <c r="T56" s="4"/>
    </row>
    <row r="57" spans="1:20" x14ac:dyDescent="0.25">
      <c r="A57" s="6"/>
      <c r="B57" s="33"/>
      <c r="C57" s="33">
        <f>-C58</f>
        <v>0</v>
      </c>
      <c r="D57" s="49">
        <f>D56*(1+$C$57)</f>
        <v>89775.000000000015</v>
      </c>
      <c r="E57" s="49">
        <f t="shared" ref="E57:N57" si="14">E56*(1+$C$57)</f>
        <v>4423.7812499999854</v>
      </c>
      <c r="F57" s="49">
        <f t="shared" si="14"/>
        <v>4644.7082226562343</v>
      </c>
      <c r="G57" s="49">
        <f t="shared" si="14"/>
        <v>4876.743949475087</v>
      </c>
      <c r="H57" s="49">
        <f t="shared" si="14"/>
        <v>5120.4489192902984</v>
      </c>
      <c r="I57" s="49">
        <f t="shared" si="14"/>
        <v>5376.4119483867544</v>
      </c>
      <c r="J57" s="49">
        <f t="shared" si="14"/>
        <v>5645.2516133951431</v>
      </c>
      <c r="K57" s="49">
        <f t="shared" si="14"/>
        <v>5927.6177566976257</v>
      </c>
      <c r="L57" s="49">
        <f t="shared" si="14"/>
        <v>6224.1930680140795</v>
      </c>
      <c r="M57" s="49">
        <f t="shared" si="14"/>
        <v>6535.6947460256342</v>
      </c>
      <c r="N57" s="49">
        <f t="shared" si="14"/>
        <v>-138549.85147394086</v>
      </c>
      <c r="O57" s="4"/>
      <c r="P57" s="4"/>
      <c r="Q57" s="4"/>
      <c r="R57" s="4"/>
      <c r="S57" s="4"/>
      <c r="T57" s="4"/>
    </row>
    <row r="58" spans="1:20" s="2" customFormat="1" x14ac:dyDescent="0.25">
      <c r="A58" s="31" t="s">
        <v>45</v>
      </c>
      <c r="B58" s="30"/>
      <c r="C58" s="21">
        <v>0</v>
      </c>
      <c r="D58" s="35">
        <f>D53+D55+D57</f>
        <v>-568575.00000000012</v>
      </c>
      <c r="E58" s="35">
        <f t="shared" ref="E58:N58" si="15">E53+E55+E57</f>
        <v>-28017.281249999898</v>
      </c>
      <c r="F58" s="35">
        <f t="shared" si="15"/>
        <v>-29416.48541015618</v>
      </c>
      <c r="G58" s="35">
        <f t="shared" si="15"/>
        <v>-30886.045013342198</v>
      </c>
      <c r="H58" s="35">
        <f t="shared" si="15"/>
        <v>-32429.509822171909</v>
      </c>
      <c r="I58" s="35">
        <f t="shared" si="15"/>
        <v>-34050.609006449464</v>
      </c>
      <c r="J58" s="35">
        <f t="shared" si="15"/>
        <v>-35753.26021816922</v>
      </c>
      <c r="K58" s="35">
        <f t="shared" si="15"/>
        <v>-37541.579125751639</v>
      </c>
      <c r="L58" s="35">
        <f t="shared" si="15"/>
        <v>-39419.889430755837</v>
      </c>
      <c r="M58" s="35">
        <f t="shared" si="15"/>
        <v>-41392.733391495742</v>
      </c>
      <c r="N58" s="35">
        <f t="shared" si="15"/>
        <v>877482.39266829216</v>
      </c>
      <c r="O58" s="29"/>
      <c r="P58" s="29"/>
      <c r="Q58" s="29"/>
      <c r="R58" s="29"/>
      <c r="S58" s="29"/>
      <c r="T58" s="29"/>
    </row>
    <row r="59" spans="1:20" x14ac:dyDescent="0.25">
      <c r="A59" s="4"/>
      <c r="B59" s="5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5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29" t="s">
        <v>49</v>
      </c>
      <c r="B61" s="5"/>
      <c r="C61" s="5"/>
      <c r="D61" s="13">
        <f>SUM(D49,D58)</f>
        <v>-2068575</v>
      </c>
      <c r="E61" s="9">
        <f t="shared" ref="E61:N61" si="16">SUM(E42+E44+E58)</f>
        <v>406071.21875000047</v>
      </c>
      <c r="F61" s="9">
        <f t="shared" si="16"/>
        <v>463432.42083984416</v>
      </c>
      <c r="G61" s="9">
        <f t="shared" si="16"/>
        <v>468064.76891243865</v>
      </c>
      <c r="H61" s="9">
        <f t="shared" si="16"/>
        <v>480526.07264258666</v>
      </c>
      <c r="I61" s="9">
        <f t="shared" si="16"/>
        <v>499134.1894551086</v>
      </c>
      <c r="J61" s="9">
        <f t="shared" si="16"/>
        <v>530621.73215807707</v>
      </c>
      <c r="K61" s="9">
        <f t="shared" si="16"/>
        <v>563959.78715536615</v>
      </c>
      <c r="L61" s="9">
        <f t="shared" si="16"/>
        <v>585068.64377581258</v>
      </c>
      <c r="M61" s="9">
        <f t="shared" si="16"/>
        <v>608192.035283498</v>
      </c>
      <c r="N61" s="9">
        <f t="shared" si="16"/>
        <v>1568400.1677097983</v>
      </c>
      <c r="O61" s="4"/>
      <c r="P61" s="4"/>
      <c r="Q61" s="4"/>
      <c r="R61" s="4"/>
      <c r="S61" s="4"/>
      <c r="T61" s="4"/>
    </row>
    <row r="62" spans="1:20" x14ac:dyDescent="0.25">
      <c r="A62" s="4"/>
      <c r="B62" s="5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29" t="s">
        <v>50</v>
      </c>
      <c r="B63" s="5"/>
      <c r="C63" s="5"/>
      <c r="D63" s="13">
        <f t="shared" ref="D63:N63" si="17">-PV($T$13, D19, 0, D61)</f>
        <v>-2068575</v>
      </c>
      <c r="E63" s="13">
        <f t="shared" si="17"/>
        <v>369155.65340909129</v>
      </c>
      <c r="F63" s="13">
        <f t="shared" si="17"/>
        <v>383002.00069408602</v>
      </c>
      <c r="G63" s="13">
        <f t="shared" si="17"/>
        <v>351663.98866449174</v>
      </c>
      <c r="H63" s="13">
        <f t="shared" si="17"/>
        <v>328205.77326862002</v>
      </c>
      <c r="I63" s="13">
        <f t="shared" si="17"/>
        <v>309923.06130052492</v>
      </c>
      <c r="J63" s="13">
        <f t="shared" si="17"/>
        <v>299522.1345232125</v>
      </c>
      <c r="K63" s="13">
        <f t="shared" si="17"/>
        <v>289400.54313443741</v>
      </c>
      <c r="L63" s="13">
        <f t="shared" si="17"/>
        <v>272938.84025071596</v>
      </c>
      <c r="M63" s="13">
        <f t="shared" si="17"/>
        <v>257932.79367684567</v>
      </c>
      <c r="N63" s="13">
        <f t="shared" si="17"/>
        <v>604686.15980066452</v>
      </c>
      <c r="O63" s="4"/>
      <c r="P63" s="4"/>
      <c r="Q63" s="4"/>
      <c r="R63" s="4"/>
      <c r="S63" s="4"/>
      <c r="T63" s="4"/>
    </row>
    <row r="64" spans="1:20" x14ac:dyDescent="0.25">
      <c r="A64" s="4"/>
      <c r="B64" s="5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29" t="s">
        <v>51</v>
      </c>
      <c r="B65" s="5"/>
      <c r="C65" s="5"/>
      <c r="D65" s="13">
        <f>D61</f>
        <v>-2068575</v>
      </c>
      <c r="E65" s="13">
        <f>SUM(D61:E61)</f>
        <v>-1662503.7812499995</v>
      </c>
      <c r="F65" s="13">
        <f>SUM(D61:F61)</f>
        <v>-1199071.3604101553</v>
      </c>
      <c r="G65" s="13">
        <f>SUM(D61:G61)</f>
        <v>-731006.59149771661</v>
      </c>
      <c r="H65" s="13">
        <f>SUM(D61:H61)</f>
        <v>-250480.51885512995</v>
      </c>
      <c r="I65" s="13">
        <f>SUM(D61:I61)</f>
        <v>248653.67059997865</v>
      </c>
      <c r="J65" s="13">
        <f>SUM(D61:J61)</f>
        <v>779275.40275805572</v>
      </c>
      <c r="K65" s="13">
        <f>SUM(D61:K61)</f>
        <v>1343235.1899134219</v>
      </c>
      <c r="L65" s="13">
        <f>SUM(D61:L61)</f>
        <v>1928303.8336892345</v>
      </c>
      <c r="M65" s="13">
        <f>SUM(D61:M61)</f>
        <v>2536495.8689727327</v>
      </c>
      <c r="N65" s="13">
        <f>SUM(D61:N61)</f>
        <v>4104896.0366825312</v>
      </c>
      <c r="O65" s="4"/>
      <c r="P65" s="4"/>
      <c r="Q65" s="4"/>
      <c r="R65" s="4"/>
      <c r="S65" s="4"/>
      <c r="T65" s="4"/>
    </row>
    <row r="66" spans="1:20" s="39" customFormat="1" x14ac:dyDescent="0.25">
      <c r="A66" s="40" t="s">
        <v>59</v>
      </c>
      <c r="B66" s="38"/>
      <c r="C66" s="38"/>
      <c r="D66" s="37"/>
      <c r="E66" s="37">
        <f>IF(E65&lt;0, 1, 0)</f>
        <v>1</v>
      </c>
      <c r="F66" s="37">
        <f>IF(F65&lt;0, 1, 0)+E66</f>
        <v>2</v>
      </c>
      <c r="G66" s="37">
        <f>IF(G65&lt;0, 1, 0)+F66</f>
        <v>3</v>
      </c>
      <c r="H66" s="37">
        <f t="shared" ref="H66:N66" si="18">IF(H65&lt;0, 1, 0)+G66</f>
        <v>4</v>
      </c>
      <c r="I66" s="37">
        <f t="shared" si="18"/>
        <v>4</v>
      </c>
      <c r="J66" s="37">
        <f t="shared" si="18"/>
        <v>4</v>
      </c>
      <c r="K66" s="37">
        <f t="shared" si="18"/>
        <v>4</v>
      </c>
      <c r="L66" s="37">
        <f t="shared" si="18"/>
        <v>4</v>
      </c>
      <c r="M66" s="37">
        <f t="shared" si="18"/>
        <v>4</v>
      </c>
      <c r="N66" s="37">
        <f t="shared" si="18"/>
        <v>4</v>
      </c>
      <c r="O66" s="37"/>
      <c r="P66" s="37"/>
      <c r="Q66" s="37"/>
      <c r="R66" s="37"/>
      <c r="S66" s="37"/>
      <c r="T66" s="37"/>
    </row>
    <row r="67" spans="1:20" s="39" customFormat="1" x14ac:dyDescent="0.25">
      <c r="A67" s="41" t="s">
        <v>60</v>
      </c>
      <c r="B67" s="38"/>
      <c r="C67" s="38"/>
      <c r="D67" s="37"/>
      <c r="E67" s="36" t="b">
        <f>IF(E66=F66,ABS(E65/F61))</f>
        <v>0</v>
      </c>
      <c r="F67" s="36" t="b">
        <f t="shared" ref="F67:N67" si="19">IF(F66=G66,ABS(F65/G61))</f>
        <v>0</v>
      </c>
      <c r="G67" s="36" t="b">
        <f t="shared" si="19"/>
        <v>0</v>
      </c>
      <c r="H67" s="36">
        <f t="shared" si="19"/>
        <v>0.50183001715144537</v>
      </c>
      <c r="I67" s="36">
        <f t="shared" si="19"/>
        <v>0.46860815441668047</v>
      </c>
      <c r="J67" s="36">
        <f t="shared" si="19"/>
        <v>1.3817924974558016</v>
      </c>
      <c r="K67" s="36">
        <f t="shared" si="19"/>
        <v>2.2958591341431118</v>
      </c>
      <c r="L67" s="36">
        <f t="shared" si="19"/>
        <v>3.1705509474328935</v>
      </c>
      <c r="M67" s="36">
        <f t="shared" si="19"/>
        <v>1.6172504448762985</v>
      </c>
      <c r="N67" s="36" t="b">
        <f t="shared" si="19"/>
        <v>0</v>
      </c>
      <c r="O67" s="37"/>
      <c r="P67" s="37"/>
      <c r="Q67" s="37"/>
      <c r="R67" s="37"/>
      <c r="S67" s="37"/>
      <c r="T67" s="37"/>
    </row>
    <row r="68" spans="1:20" x14ac:dyDescent="0.25">
      <c r="A68" s="4"/>
      <c r="B68" s="5"/>
      <c r="C68" s="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4"/>
      <c r="P68" s="4"/>
      <c r="Q68" s="4"/>
      <c r="R68" s="4"/>
      <c r="S68" s="4"/>
      <c r="T68" s="4"/>
    </row>
    <row r="69" spans="1:20" x14ac:dyDescent="0.25">
      <c r="A69" s="29" t="s">
        <v>52</v>
      </c>
      <c r="B69" s="5"/>
      <c r="C69" s="5"/>
      <c r="D69" s="13">
        <f t="shared" ref="D69" si="20">D63</f>
        <v>-2068575</v>
      </c>
      <c r="E69" s="13">
        <f t="shared" ref="E69" si="21">SUM(D63:E63)</f>
        <v>-1699419.3465909087</v>
      </c>
      <c r="F69" s="13">
        <f t="shared" ref="F69" si="22">SUM(D63:F63)</f>
        <v>-1316417.3458968226</v>
      </c>
      <c r="G69" s="13">
        <f t="shared" ref="G69" si="23">SUM(D63:G63)</f>
        <v>-964753.35723233083</v>
      </c>
      <c r="H69" s="13">
        <f t="shared" ref="H69" si="24">SUM(D63:H63)</f>
        <v>-636547.58396371081</v>
      </c>
      <c r="I69" s="13">
        <f t="shared" ref="I69" si="25">SUM(D63:I63)</f>
        <v>-326624.5226631859</v>
      </c>
      <c r="J69" s="13">
        <f t="shared" ref="J69" si="26">SUM(D63:J63)</f>
        <v>-27102.388139973395</v>
      </c>
      <c r="K69" s="13">
        <f t="shared" ref="K69" si="27">SUM(D63:K63)</f>
        <v>262298.15499446401</v>
      </c>
      <c r="L69" s="13">
        <f t="shared" ref="L69" si="28">SUM(D63:L63)</f>
        <v>535236.99524517998</v>
      </c>
      <c r="M69" s="13">
        <f t="shared" ref="M69" si="29">SUM(D63:M63)</f>
        <v>793169.78892202559</v>
      </c>
      <c r="N69" s="13">
        <f t="shared" ref="N69" si="30">SUM(D63:N63)</f>
        <v>1397855.9487226901</v>
      </c>
      <c r="O69" s="4"/>
      <c r="P69" s="4"/>
      <c r="Q69" s="4"/>
      <c r="R69" s="4"/>
      <c r="S69" s="4"/>
      <c r="T69" s="4"/>
    </row>
    <row r="70" spans="1:20" x14ac:dyDescent="0.25">
      <c r="A70" s="40" t="s">
        <v>61</v>
      </c>
      <c r="B70" s="5"/>
      <c r="C70" s="5"/>
      <c r="D70" s="13"/>
      <c r="E70" s="42">
        <f>IF(E69&lt;0, 1, 0)</f>
        <v>1</v>
      </c>
      <c r="F70" s="42">
        <f>IF(F69&lt;0, 1, 0)+E70</f>
        <v>2</v>
      </c>
      <c r="G70" s="42">
        <f t="shared" ref="G70:N70" si="31">IF(G69&lt;0, 1, 0)+F70</f>
        <v>3</v>
      </c>
      <c r="H70" s="42">
        <f t="shared" si="31"/>
        <v>4</v>
      </c>
      <c r="I70" s="42">
        <f t="shared" si="31"/>
        <v>5</v>
      </c>
      <c r="J70" s="42">
        <f t="shared" si="31"/>
        <v>6</v>
      </c>
      <c r="K70" s="42">
        <f t="shared" si="31"/>
        <v>6</v>
      </c>
      <c r="L70" s="42">
        <f t="shared" si="31"/>
        <v>6</v>
      </c>
      <c r="M70" s="42">
        <f t="shared" si="31"/>
        <v>6</v>
      </c>
      <c r="N70" s="42">
        <f t="shared" si="31"/>
        <v>6</v>
      </c>
      <c r="O70" s="4"/>
      <c r="P70" s="4"/>
      <c r="Q70" s="4"/>
      <c r="R70" s="4"/>
      <c r="S70" s="4"/>
      <c r="T70" s="4"/>
    </row>
    <row r="71" spans="1:20" x14ac:dyDescent="0.25">
      <c r="A71" s="41" t="s">
        <v>62</v>
      </c>
      <c r="B71" s="5"/>
      <c r="C71" s="5"/>
      <c r="D71" s="13"/>
      <c r="E71" s="36" t="b">
        <f>IF(E70=F70,ABS(E69/F63))</f>
        <v>0</v>
      </c>
      <c r="F71" s="36" t="b">
        <f t="shared" ref="F71:N71" si="32">IF(F70=G70,ABS(F69/G63))</f>
        <v>0</v>
      </c>
      <c r="G71" s="36" t="b">
        <f t="shared" si="32"/>
        <v>0</v>
      </c>
      <c r="H71" s="36" t="b">
        <f t="shared" si="32"/>
        <v>0</v>
      </c>
      <c r="I71" s="36" t="b">
        <f t="shared" si="32"/>
        <v>0</v>
      </c>
      <c r="J71" s="36">
        <f t="shared" si="32"/>
        <v>9.3650094248037816E-2</v>
      </c>
      <c r="K71" s="36">
        <f t="shared" si="32"/>
        <v>0.96101439704778679</v>
      </c>
      <c r="L71" s="36">
        <f t="shared" si="32"/>
        <v>2.075102539755989</v>
      </c>
      <c r="M71" s="36">
        <f t="shared" si="32"/>
        <v>1.3117048837094187</v>
      </c>
      <c r="N71" s="36" t="b">
        <f t="shared" si="32"/>
        <v>0</v>
      </c>
      <c r="O71" s="4"/>
      <c r="P71" s="4"/>
      <c r="Q71" s="4"/>
      <c r="R71" s="4"/>
      <c r="S71" s="4"/>
      <c r="T71" s="4"/>
    </row>
    <row r="72" spans="1:20" x14ac:dyDescent="0.25">
      <c r="A72" s="4"/>
      <c r="B72" s="5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B73"/>
      <c r="C73"/>
    </row>
    <row r="74" spans="1:20" x14ac:dyDescent="0.25">
      <c r="A74" s="22" t="s">
        <v>53</v>
      </c>
      <c r="B74" s="23"/>
      <c r="C74"/>
    </row>
    <row r="75" spans="1:20" x14ac:dyDescent="0.25">
      <c r="A75" s="24" t="s">
        <v>54</v>
      </c>
      <c r="B75" s="25">
        <f>N69</f>
        <v>1397855.9487226901</v>
      </c>
      <c r="C75"/>
    </row>
    <row r="76" spans="1:20" x14ac:dyDescent="0.25">
      <c r="A76" s="24" t="s">
        <v>55</v>
      </c>
      <c r="B76" s="26">
        <f>IRR(D61:N61)</f>
        <v>0.21638831216784493</v>
      </c>
      <c r="C76"/>
    </row>
    <row r="77" spans="1:20" x14ac:dyDescent="0.25">
      <c r="A77" s="24" t="s">
        <v>56</v>
      </c>
      <c r="B77" s="27">
        <f>NPV(T13, E61:N61)/-D61</f>
        <v>1.6757579245242205</v>
      </c>
      <c r="C77"/>
    </row>
    <row r="78" spans="1:20" x14ac:dyDescent="0.25">
      <c r="A78" s="24" t="s">
        <v>57</v>
      </c>
      <c r="B78" s="27">
        <f>4+ABS(H65/I61)</f>
        <v>4.5018300171514456</v>
      </c>
      <c r="C78"/>
    </row>
    <row r="79" spans="1:20" x14ac:dyDescent="0.25">
      <c r="A79" s="24" t="s">
        <v>58</v>
      </c>
      <c r="B79" s="27">
        <f>5+ABS(I69/J63)</f>
        <v>6.0904854266717745</v>
      </c>
      <c r="C79"/>
      <c r="E79" s="3"/>
    </row>
    <row r="82" spans="1:14" x14ac:dyDescent="0.25">
      <c r="A82" s="28" t="s">
        <v>64</v>
      </c>
      <c r="B82" s="15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x14ac:dyDescent="0.25">
      <c r="A83" s="17" t="s">
        <v>65</v>
      </c>
      <c r="B83" s="15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x14ac:dyDescent="0.25">
      <c r="B84"/>
      <c r="C84"/>
    </row>
    <row r="85" spans="1:14" x14ac:dyDescent="0.25">
      <c r="C85" s="79" t="s">
        <v>70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1:14" x14ac:dyDescent="0.25">
      <c r="B86" s="46" t="s">
        <v>66</v>
      </c>
      <c r="C86" s="80" t="s">
        <v>67</v>
      </c>
      <c r="D86" s="80"/>
      <c r="E86" s="80" t="s">
        <v>68</v>
      </c>
      <c r="F86" s="80"/>
      <c r="G86" s="80" t="s">
        <v>15</v>
      </c>
      <c r="H86" s="80"/>
      <c r="I86" s="80" t="s">
        <v>69</v>
      </c>
      <c r="J86" s="80"/>
      <c r="K86" s="80" t="s">
        <v>39</v>
      </c>
      <c r="L86" s="80"/>
      <c r="M86" s="80" t="s">
        <v>41</v>
      </c>
      <c r="N86" s="80"/>
    </row>
    <row r="87" spans="1:14" x14ac:dyDescent="0.25">
      <c r="C87" s="44">
        <v>0.05</v>
      </c>
      <c r="D87" s="45">
        <v>-0.05</v>
      </c>
      <c r="E87" s="44">
        <v>0.05</v>
      </c>
      <c r="F87" s="45">
        <v>-0.05</v>
      </c>
      <c r="G87" s="44">
        <v>0.05</v>
      </c>
      <c r="H87" s="45">
        <v>-0.05</v>
      </c>
      <c r="I87" s="44">
        <v>0.05</v>
      </c>
      <c r="J87" s="45">
        <v>-0.05</v>
      </c>
      <c r="K87" s="44">
        <v>0.05</v>
      </c>
      <c r="L87" s="45">
        <v>-0.05</v>
      </c>
      <c r="M87" s="44">
        <v>0.05</v>
      </c>
      <c r="N87" s="45">
        <v>-0.05</v>
      </c>
    </row>
    <row r="88" spans="1:14" x14ac:dyDescent="0.25">
      <c r="A88" s="28" t="s">
        <v>54</v>
      </c>
      <c r="B88" s="77">
        <v>582533</v>
      </c>
      <c r="C88" s="77">
        <v>1397856</v>
      </c>
      <c r="D88" s="77">
        <v>-232789</v>
      </c>
      <c r="E88" s="77">
        <v>769619</v>
      </c>
      <c r="F88" s="77">
        <v>395447</v>
      </c>
      <c r="G88" s="77">
        <v>-6655</v>
      </c>
      <c r="H88" s="77">
        <v>1171721</v>
      </c>
      <c r="I88" s="77">
        <v>449162</v>
      </c>
      <c r="J88" s="77">
        <v>715904</v>
      </c>
      <c r="K88" s="77">
        <v>507533</v>
      </c>
      <c r="L88" s="77">
        <v>657533</v>
      </c>
      <c r="M88" s="77">
        <v>556096</v>
      </c>
      <c r="N88" s="77">
        <v>608970</v>
      </c>
    </row>
    <row r="89" spans="1:14" x14ac:dyDescent="0.25">
      <c r="A89" s="28" t="s">
        <v>55</v>
      </c>
      <c r="B89" s="47">
        <v>0.151</v>
      </c>
      <c r="C89" s="47">
        <v>0.216</v>
      </c>
      <c r="D89" s="47">
        <v>7.8E-2</v>
      </c>
      <c r="E89" s="47">
        <v>0.16600000000000001</v>
      </c>
      <c r="F89" s="47">
        <v>0.13600000000000001</v>
      </c>
      <c r="G89" s="47">
        <v>9.9000000000000005E-2</v>
      </c>
      <c r="H89" s="47">
        <v>0.2</v>
      </c>
      <c r="I89" s="47">
        <v>0.14000000000000001</v>
      </c>
      <c r="J89" s="47">
        <v>0.16300000000000001</v>
      </c>
      <c r="K89" s="47">
        <v>0.14399999999999999</v>
      </c>
      <c r="L89" s="47">
        <v>0.16</v>
      </c>
      <c r="M89" s="47">
        <v>0.14799999999999999</v>
      </c>
      <c r="N89" s="47">
        <v>0.155</v>
      </c>
    </row>
    <row r="90" spans="1:14" x14ac:dyDescent="0.25">
      <c r="A90" s="28" t="s">
        <v>56</v>
      </c>
      <c r="B90" s="48">
        <v>1.29</v>
      </c>
      <c r="C90" s="48">
        <v>1.68</v>
      </c>
      <c r="D90" s="48">
        <v>0.88</v>
      </c>
      <c r="E90" s="48">
        <v>1.37</v>
      </c>
      <c r="F90" s="48">
        <v>1.2</v>
      </c>
      <c r="G90" s="48">
        <v>1</v>
      </c>
      <c r="H90" s="48">
        <v>1.57</v>
      </c>
      <c r="I90" s="48">
        <v>1.22</v>
      </c>
      <c r="J90" s="48">
        <v>1.35</v>
      </c>
      <c r="K90" s="48">
        <v>1.24</v>
      </c>
      <c r="L90" s="48">
        <v>1.33</v>
      </c>
      <c r="M90" s="48">
        <v>1.27</v>
      </c>
      <c r="N90" s="48">
        <v>1.3</v>
      </c>
    </row>
    <row r="91" spans="1:14" x14ac:dyDescent="0.25">
      <c r="A91" s="28" t="s">
        <v>57</v>
      </c>
      <c r="B91" s="48">
        <v>5.87</v>
      </c>
      <c r="C91" s="48">
        <v>4.5</v>
      </c>
      <c r="D91" s="48">
        <v>8.49</v>
      </c>
      <c r="E91" s="48">
        <v>5.52</v>
      </c>
      <c r="F91" s="48">
        <v>6.27</v>
      </c>
      <c r="G91" s="48">
        <v>7.56</v>
      </c>
      <c r="H91" s="48">
        <v>4.79</v>
      </c>
      <c r="I91" s="48">
        <v>6.19</v>
      </c>
      <c r="J91" s="48">
        <v>5.57</v>
      </c>
      <c r="K91" s="48">
        <v>6.06</v>
      </c>
      <c r="L91" s="48">
        <v>5.68</v>
      </c>
      <c r="M91" s="48">
        <v>5.99</v>
      </c>
      <c r="N91" s="48">
        <v>5.75</v>
      </c>
    </row>
    <row r="92" spans="1:14" x14ac:dyDescent="0.25">
      <c r="A92" s="28" t="s">
        <v>58</v>
      </c>
      <c r="B92" s="48">
        <v>8.68</v>
      </c>
      <c r="C92" s="48">
        <v>6.09</v>
      </c>
      <c r="D92" s="48" t="s">
        <v>82</v>
      </c>
      <c r="E92" s="48">
        <v>7.95</v>
      </c>
      <c r="F92" s="48">
        <v>9.19</v>
      </c>
      <c r="G92" s="48" t="s">
        <v>82</v>
      </c>
      <c r="H92" s="48">
        <v>6.56</v>
      </c>
      <c r="I92" s="48">
        <v>9.1199999999999992</v>
      </c>
      <c r="J92" s="48">
        <v>8.07</v>
      </c>
      <c r="K92" s="48">
        <v>9.0299999999999994</v>
      </c>
      <c r="L92" s="48">
        <v>8.2799999999999994</v>
      </c>
      <c r="M92" s="48">
        <v>8.93</v>
      </c>
      <c r="N92" s="48">
        <v>8.43</v>
      </c>
    </row>
    <row r="93" spans="1:14" x14ac:dyDescent="0.25">
      <c r="M93" s="48"/>
      <c r="N93" s="48"/>
    </row>
    <row r="94" spans="1:14" x14ac:dyDescent="0.25">
      <c r="A94" s="28" t="s">
        <v>71</v>
      </c>
      <c r="B94" s="51"/>
      <c r="C94" s="79">
        <v>1</v>
      </c>
      <c r="D94" s="79"/>
      <c r="E94" s="79">
        <v>3</v>
      </c>
      <c r="F94" s="79"/>
      <c r="G94" s="79">
        <v>2</v>
      </c>
      <c r="H94" s="79"/>
      <c r="I94" s="79">
        <v>4</v>
      </c>
      <c r="J94" s="79"/>
      <c r="K94" s="79">
        <v>5</v>
      </c>
      <c r="L94" s="79"/>
      <c r="M94" s="79">
        <v>6</v>
      </c>
      <c r="N94" s="79"/>
    </row>
    <row r="95" spans="1:14" x14ac:dyDescent="0.25">
      <c r="A95" s="24" t="s">
        <v>72</v>
      </c>
      <c r="C95" s="78">
        <f>ABS(C88-$B$88)</f>
        <v>815323</v>
      </c>
      <c r="D95" s="78"/>
      <c r="E95" s="78">
        <f>ABS(E88-$B$88)</f>
        <v>187086</v>
      </c>
      <c r="F95" s="78"/>
      <c r="G95" s="78">
        <f>ABS(G88-$B$88)</f>
        <v>589188</v>
      </c>
      <c r="H95" s="78"/>
      <c r="I95" s="78">
        <f>ABS(I88-$B$88)</f>
        <v>133371</v>
      </c>
      <c r="J95" s="78"/>
      <c r="K95" s="78">
        <f>ABS(K88-$B$88)</f>
        <v>75000</v>
      </c>
      <c r="L95" s="78"/>
      <c r="M95" s="78">
        <f>ABS(M88-$B$88)</f>
        <v>26437</v>
      </c>
      <c r="N95" s="78"/>
    </row>
  </sheetData>
  <mergeCells count="19">
    <mergeCell ref="M94:N94"/>
    <mergeCell ref="C85:N85"/>
    <mergeCell ref="C94:D94"/>
    <mergeCell ref="M95:N95"/>
    <mergeCell ref="C86:D86"/>
    <mergeCell ref="E86:F86"/>
    <mergeCell ref="G86:H86"/>
    <mergeCell ref="I86:J86"/>
    <mergeCell ref="K86:L86"/>
    <mergeCell ref="M86:N86"/>
    <mergeCell ref="E94:F94"/>
    <mergeCell ref="G94:H94"/>
    <mergeCell ref="C95:D95"/>
    <mergeCell ref="E95:F95"/>
    <mergeCell ref="G95:H95"/>
    <mergeCell ref="I95:J95"/>
    <mergeCell ref="K95:L95"/>
    <mergeCell ref="I94:J94"/>
    <mergeCell ref="K94:L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AB65-6C7E-4974-936F-5C3FAE879139}">
  <dimension ref="A1:T101"/>
  <sheetViews>
    <sheetView topLeftCell="A10" zoomScale="85" zoomScaleNormal="100" workbookViewId="0">
      <selection activeCell="E8" sqref="E8"/>
    </sheetView>
  </sheetViews>
  <sheetFormatPr defaultColWidth="8.85546875" defaultRowHeight="15" x14ac:dyDescent="0.25"/>
  <cols>
    <col min="1" max="1" width="48.28515625" customWidth="1"/>
    <col min="2" max="2" width="12.42578125" style="1" customWidth="1"/>
    <col min="3" max="3" width="18.42578125" style="1" bestFit="1" customWidth="1"/>
    <col min="4" max="4" width="14.28515625" bestFit="1" customWidth="1"/>
    <col min="5" max="5" width="14.28515625" customWidth="1"/>
    <col min="6" max="7" width="14.28515625" bestFit="1" customWidth="1"/>
    <col min="8" max="8" width="14.28515625" customWidth="1"/>
    <col min="9" max="14" width="14.28515625" bestFit="1" customWidth="1"/>
  </cols>
  <sheetData>
    <row r="1" spans="1:20" x14ac:dyDescent="0.25">
      <c r="A1" s="2" t="s">
        <v>0</v>
      </c>
    </row>
    <row r="2" spans="1:20" x14ac:dyDescent="0.25">
      <c r="A2" s="2"/>
    </row>
    <row r="4" spans="1:20" x14ac:dyDescent="0.25">
      <c r="A4" s="14" t="s">
        <v>1</v>
      </c>
      <c r="B4" s="15"/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25">
      <c r="A5" s="14"/>
      <c r="B5" s="23" t="s">
        <v>2</v>
      </c>
      <c r="C5" s="23"/>
      <c r="D5" s="14"/>
      <c r="E5" s="14"/>
      <c r="F5" s="14"/>
      <c r="G5" s="22" t="s">
        <v>15</v>
      </c>
      <c r="H5" s="14"/>
      <c r="I5" s="14"/>
      <c r="J5" s="14"/>
      <c r="K5" s="22" t="s">
        <v>31</v>
      </c>
      <c r="L5" s="14"/>
      <c r="M5" s="14"/>
      <c r="N5" s="14"/>
      <c r="O5" s="22" t="s">
        <v>46</v>
      </c>
      <c r="P5" s="14"/>
      <c r="Q5" s="14"/>
      <c r="R5" s="14"/>
      <c r="S5" s="14"/>
      <c r="T5" s="14"/>
    </row>
    <row r="6" spans="1:20" x14ac:dyDescent="0.25">
      <c r="A6" s="14"/>
      <c r="B6" s="23"/>
      <c r="C6" s="23"/>
      <c r="D6" s="14"/>
      <c r="E6" s="14"/>
      <c r="F6" s="14"/>
      <c r="G6" s="2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x14ac:dyDescent="0.25">
      <c r="A7" s="14"/>
      <c r="B7" s="23" t="s">
        <v>3</v>
      </c>
      <c r="C7" s="23"/>
      <c r="D7" s="14"/>
      <c r="E7" s="7">
        <v>3</v>
      </c>
      <c r="F7" s="14"/>
      <c r="G7" s="22" t="s">
        <v>18</v>
      </c>
      <c r="H7" s="14" t="s">
        <v>19</v>
      </c>
      <c r="I7" s="7">
        <v>0.05</v>
      </c>
      <c r="J7" s="14"/>
      <c r="K7" s="14" t="s">
        <v>33</v>
      </c>
      <c r="L7" s="14"/>
      <c r="M7" s="9">
        <v>500000</v>
      </c>
      <c r="N7" s="14"/>
      <c r="O7" s="16" t="s">
        <v>42</v>
      </c>
      <c r="P7" s="14"/>
      <c r="Q7" s="14"/>
      <c r="R7" s="14"/>
      <c r="S7" s="14"/>
      <c r="T7" s="20">
        <v>0.1</v>
      </c>
    </row>
    <row r="8" spans="1:20" x14ac:dyDescent="0.25">
      <c r="A8" s="14"/>
      <c r="B8" s="23" t="s">
        <v>4</v>
      </c>
      <c r="C8" s="23"/>
      <c r="D8" s="14"/>
      <c r="E8" s="11">
        <v>2.5000000000000001E-2</v>
      </c>
      <c r="F8" s="14"/>
      <c r="G8" s="22"/>
      <c r="H8" s="14" t="s">
        <v>20</v>
      </c>
      <c r="I8" s="7">
        <v>0.15</v>
      </c>
      <c r="J8" s="14"/>
      <c r="K8" s="14" t="s">
        <v>34</v>
      </c>
      <c r="L8" s="14"/>
      <c r="M8" s="9">
        <v>1000000</v>
      </c>
      <c r="N8" s="14"/>
      <c r="O8" s="16" t="s">
        <v>43</v>
      </c>
      <c r="P8" s="14"/>
      <c r="Q8" s="14"/>
      <c r="R8" s="14"/>
      <c r="S8" s="14"/>
      <c r="T8" s="20">
        <v>0.12</v>
      </c>
    </row>
    <row r="9" spans="1:20" x14ac:dyDescent="0.25">
      <c r="A9" s="14"/>
      <c r="B9" s="23" t="s">
        <v>5</v>
      </c>
      <c r="C9" s="23"/>
      <c r="D9" s="14"/>
      <c r="E9" s="10">
        <v>1000000</v>
      </c>
      <c r="F9" s="14"/>
      <c r="G9" s="22"/>
      <c r="H9" s="14" t="s">
        <v>21</v>
      </c>
      <c r="I9" s="7">
        <v>1.25</v>
      </c>
      <c r="J9" s="14"/>
      <c r="K9" s="14"/>
      <c r="L9" s="14"/>
      <c r="M9" s="14"/>
      <c r="N9" s="14"/>
      <c r="O9" s="16" t="s">
        <v>44</v>
      </c>
      <c r="P9" s="14"/>
      <c r="Q9" s="14"/>
      <c r="R9" s="14"/>
      <c r="S9" s="14"/>
      <c r="T9" s="20">
        <v>0.03</v>
      </c>
    </row>
    <row r="10" spans="1:20" x14ac:dyDescent="0.25">
      <c r="A10" s="14"/>
      <c r="B10" s="23" t="s">
        <v>6</v>
      </c>
      <c r="C10" s="23"/>
      <c r="D10" s="14"/>
      <c r="E10" s="11">
        <v>2.5000000000000001E-2</v>
      </c>
      <c r="F10" s="14"/>
      <c r="G10" s="22"/>
      <c r="H10" s="14" t="s">
        <v>22</v>
      </c>
      <c r="I10" s="7">
        <v>0.2</v>
      </c>
      <c r="J10" s="14"/>
      <c r="K10" s="22" t="s">
        <v>32</v>
      </c>
      <c r="L10" s="14"/>
      <c r="M10" s="9">
        <f>SUM(M7:M8)</f>
        <v>1500000</v>
      </c>
      <c r="N10" s="14"/>
      <c r="O10" s="14"/>
      <c r="P10" s="14"/>
      <c r="Q10" s="14"/>
      <c r="R10" s="14"/>
      <c r="S10" s="14"/>
      <c r="T10" s="14"/>
    </row>
    <row r="11" spans="1:20" x14ac:dyDescent="0.25">
      <c r="A11" s="14"/>
      <c r="B11" s="23"/>
      <c r="C11" s="23"/>
      <c r="D11" s="14"/>
      <c r="E11" s="14"/>
      <c r="F11" s="14"/>
      <c r="G11" s="22"/>
      <c r="H11" s="14"/>
      <c r="I11" s="14"/>
      <c r="J11" s="14"/>
      <c r="K11" s="14"/>
      <c r="L11" s="14"/>
      <c r="M11" s="14"/>
      <c r="N11" s="14"/>
      <c r="O11" s="28" t="s">
        <v>47</v>
      </c>
      <c r="P11" s="14"/>
      <c r="Q11" s="14"/>
      <c r="R11" s="14"/>
      <c r="S11" s="14"/>
      <c r="T11" s="20">
        <v>0.21</v>
      </c>
    </row>
    <row r="12" spans="1:20" x14ac:dyDescent="0.25">
      <c r="A12" s="14"/>
      <c r="B12" s="23"/>
      <c r="C12" s="23"/>
      <c r="D12" s="14"/>
      <c r="E12" s="14"/>
      <c r="F12" s="14"/>
      <c r="G12" s="22" t="s">
        <v>23</v>
      </c>
      <c r="H12" s="14" t="s">
        <v>24</v>
      </c>
      <c r="I12" s="7">
        <v>0.35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x14ac:dyDescent="0.25">
      <c r="A13" s="14"/>
      <c r="B13" s="23" t="s">
        <v>7</v>
      </c>
      <c r="C13" s="23"/>
      <c r="D13" s="14"/>
      <c r="E13" s="18">
        <v>500000</v>
      </c>
      <c r="F13" s="14"/>
      <c r="G13" s="22"/>
      <c r="H13" s="14"/>
      <c r="I13" s="14"/>
      <c r="J13" s="14"/>
      <c r="K13" s="14"/>
      <c r="L13" s="14"/>
      <c r="M13" s="14"/>
      <c r="N13" s="14"/>
      <c r="O13" s="28" t="s">
        <v>48</v>
      </c>
      <c r="P13" s="14"/>
      <c r="Q13" s="14"/>
      <c r="R13" s="14"/>
      <c r="S13" s="14"/>
      <c r="T13" s="20">
        <v>0.1</v>
      </c>
    </row>
    <row r="14" spans="1:20" x14ac:dyDescent="0.25">
      <c r="A14" s="14"/>
      <c r="B14" s="23" t="s">
        <v>8</v>
      </c>
      <c r="C14" s="23"/>
      <c r="D14" s="14"/>
      <c r="E14" s="19">
        <v>2.5000000000000001E-2</v>
      </c>
      <c r="F14" s="14"/>
      <c r="G14" s="22" t="s">
        <v>25</v>
      </c>
      <c r="H14" s="14"/>
      <c r="I14" s="7">
        <f>SUM(I7:I10,I12)</f>
        <v>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x14ac:dyDescent="0.25">
      <c r="A15" s="14"/>
      <c r="B15" s="15"/>
      <c r="C15" s="15"/>
      <c r="D15" s="14"/>
      <c r="E15" s="14"/>
      <c r="F15" s="14"/>
      <c r="G15" s="22" t="s">
        <v>26</v>
      </c>
      <c r="H15" s="14"/>
      <c r="I15" s="11">
        <v>2.5000000000000001E-2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x14ac:dyDescent="0.25">
      <c r="B16"/>
      <c r="C16"/>
    </row>
    <row r="17" spans="1:20" x14ac:dyDescent="0.25">
      <c r="A17" s="29" t="s">
        <v>9</v>
      </c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s="2" customFormat="1" x14ac:dyDescent="0.25">
      <c r="A19" s="29" t="s">
        <v>10</v>
      </c>
      <c r="B19" s="30" t="s">
        <v>11</v>
      </c>
      <c r="C19" s="30" t="s">
        <v>63</v>
      </c>
      <c r="D19" s="30">
        <v>0</v>
      </c>
      <c r="E19" s="30">
        <v>1</v>
      </c>
      <c r="F19" s="30">
        <v>2</v>
      </c>
      <c r="G19" s="30">
        <v>3</v>
      </c>
      <c r="H19" s="30">
        <v>4</v>
      </c>
      <c r="I19" s="30">
        <v>5</v>
      </c>
      <c r="J19" s="30">
        <v>6</v>
      </c>
      <c r="K19" s="30">
        <v>7</v>
      </c>
      <c r="L19" s="30">
        <v>8</v>
      </c>
      <c r="M19" s="30">
        <v>9</v>
      </c>
      <c r="N19" s="30">
        <v>10</v>
      </c>
      <c r="O19" s="29"/>
      <c r="P19" s="29"/>
      <c r="Q19" s="29"/>
      <c r="R19" s="29"/>
      <c r="S19" s="29"/>
      <c r="T19" s="29"/>
    </row>
    <row r="20" spans="1:20" x14ac:dyDescent="0.25">
      <c r="A20" s="4"/>
      <c r="B20" s="5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s="2" customFormat="1" x14ac:dyDescent="0.25">
      <c r="A21" s="29" t="s">
        <v>2</v>
      </c>
      <c r="B21" s="30"/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0" x14ac:dyDescent="0.25">
      <c r="A22" s="6" t="s">
        <v>12</v>
      </c>
      <c r="B22" s="5"/>
      <c r="C22" s="54">
        <v>-0.1</v>
      </c>
      <c r="D22" s="7"/>
      <c r="E22" s="7">
        <f>$E$7*(1+$E$8)^(E19-1)*(1+C22)</f>
        <v>2.7</v>
      </c>
      <c r="F22" s="7">
        <f>$E$7*(1+$E$8)^(F19-1)*(1+C22)</f>
        <v>2.7674999999999996</v>
      </c>
      <c r="G22" s="7">
        <f>$E$7*(1+$E$8)^(G19-1)*(1+C22)</f>
        <v>2.8366874999999996</v>
      </c>
      <c r="H22" s="7">
        <f>$E$7*(1+$E$8)^(H19-1)*(1+C22)</f>
        <v>2.9076046874999997</v>
      </c>
      <c r="I22" s="7">
        <f>$E$7*(1+$E$8)^(I19-1)*(1+C22)</f>
        <v>2.9802948046874991</v>
      </c>
      <c r="J22" s="7">
        <f>$E$7*(1+$E$8)^(J19-1)*(1+C22)</f>
        <v>3.0548021748046867</v>
      </c>
      <c r="K22" s="7">
        <f>$E$7*(1+$E$8)^(K19-1)*(1+C22)</f>
        <v>3.1311722291748039</v>
      </c>
      <c r="L22" s="7">
        <f>$E$7*(1+$E$8)^(L19-1)*(1+C22)</f>
        <v>3.2094515349041735</v>
      </c>
      <c r="M22" s="7">
        <f>$E$7*(1+$E$8)^(M19-1)*(1+C22)</f>
        <v>3.2896878232767777</v>
      </c>
      <c r="N22" s="7">
        <f>$E$7*(1+$E$8)^(N19-1)*(1+C22)</f>
        <v>3.3719300188586971</v>
      </c>
      <c r="O22" s="4"/>
      <c r="P22" s="4"/>
      <c r="Q22" s="4"/>
      <c r="R22" s="4"/>
      <c r="S22" s="4"/>
      <c r="T22" s="4"/>
    </row>
    <row r="23" spans="1:20" x14ac:dyDescent="0.25">
      <c r="A23" s="6" t="s">
        <v>13</v>
      </c>
      <c r="B23" s="5"/>
      <c r="C23" s="54">
        <v>-0.1</v>
      </c>
      <c r="D23" s="4"/>
      <c r="E23" s="8">
        <f t="shared" ref="E23:N23" si="0">$E$9*(1+$E$10)^(E19-1)*(1+$C$23)</f>
        <v>900000</v>
      </c>
      <c r="F23" s="8">
        <f t="shared" si="0"/>
        <v>922499.99999999988</v>
      </c>
      <c r="G23" s="8">
        <f t="shared" si="0"/>
        <v>945562.5</v>
      </c>
      <c r="H23" s="8">
        <f t="shared" si="0"/>
        <v>969201.56249999977</v>
      </c>
      <c r="I23" s="8">
        <f t="shared" si="0"/>
        <v>993431.60156249977</v>
      </c>
      <c r="J23" s="8">
        <f t="shared" si="0"/>
        <v>1018267.3916015623</v>
      </c>
      <c r="K23" s="8">
        <f t="shared" si="0"/>
        <v>1043724.0763916011</v>
      </c>
      <c r="L23" s="8">
        <f t="shared" si="0"/>
        <v>1069817.1783013914</v>
      </c>
      <c r="M23" s="8">
        <f t="shared" si="0"/>
        <v>1096562.607758926</v>
      </c>
      <c r="N23" s="8">
        <f t="shared" si="0"/>
        <v>1123976.672952899</v>
      </c>
      <c r="O23" s="4"/>
      <c r="P23" s="4"/>
      <c r="Q23" s="4"/>
      <c r="R23" s="4"/>
      <c r="S23" s="4"/>
      <c r="T23" s="4"/>
    </row>
    <row r="24" spans="1:20" s="2" customFormat="1" x14ac:dyDescent="0.25">
      <c r="A24" s="31" t="s">
        <v>14</v>
      </c>
      <c r="B24" s="30"/>
      <c r="C24" s="30"/>
      <c r="D24" s="29"/>
      <c r="E24" s="32">
        <f t="shared" ref="E24:N24" si="1">(500000*E22)+((E23-500000)*(E22-E22*10%))</f>
        <v>2322000</v>
      </c>
      <c r="F24" s="32">
        <f t="shared" si="1"/>
        <v>2436091.8749999991</v>
      </c>
      <c r="G24" s="32">
        <f t="shared" si="1"/>
        <v>2555873.1667968747</v>
      </c>
      <c r="H24" s="32">
        <f t="shared" si="1"/>
        <v>2681629.7400065912</v>
      </c>
      <c r="I24" s="32">
        <f t="shared" si="1"/>
        <v>2813661.8770885644</v>
      </c>
      <c r="J24" s="32">
        <f t="shared" si="1"/>
        <v>2952285.0068976674</v>
      </c>
      <c r="K24" s="32">
        <f t="shared" si="1"/>
        <v>3097830.4700853927</v>
      </c>
      <c r="L24" s="32">
        <f t="shared" si="1"/>
        <v>3250646.323214836</v>
      </c>
      <c r="M24" s="32">
        <f t="shared" si="1"/>
        <v>3411098.1835484905</v>
      </c>
      <c r="N24" s="32">
        <f t="shared" si="1"/>
        <v>3579570.116567059</v>
      </c>
      <c r="O24" s="29"/>
      <c r="P24" s="29"/>
      <c r="Q24" s="29"/>
      <c r="R24" s="29"/>
      <c r="S24" s="29"/>
      <c r="T24" s="29"/>
    </row>
    <row r="25" spans="1:20" x14ac:dyDescent="0.25">
      <c r="A25" s="4"/>
      <c r="B25" s="5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s="2" customFormat="1" x14ac:dyDescent="0.25">
      <c r="A26" s="29" t="s">
        <v>15</v>
      </c>
      <c r="B26" s="30"/>
      <c r="C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x14ac:dyDescent="0.25">
      <c r="A27" s="6" t="s">
        <v>16</v>
      </c>
      <c r="B27" s="5"/>
      <c r="C27" s="54">
        <v>0.1</v>
      </c>
      <c r="D27" s="4"/>
      <c r="E27" s="7">
        <f t="shared" ref="E27:N27" si="2">$I$14*(1+$I$15)^(E19-1)*(1+$C$27)</f>
        <v>2.2000000000000002</v>
      </c>
      <c r="F27" s="7">
        <f t="shared" si="2"/>
        <v>2.2549999999999999</v>
      </c>
      <c r="G27" s="7">
        <f t="shared" si="2"/>
        <v>2.311375</v>
      </c>
      <c r="H27" s="7">
        <f t="shared" si="2"/>
        <v>2.3691593749999997</v>
      </c>
      <c r="I27" s="7">
        <f t="shared" si="2"/>
        <v>2.4283883593749995</v>
      </c>
      <c r="J27" s="7">
        <f t="shared" si="2"/>
        <v>2.4890980683593744</v>
      </c>
      <c r="K27" s="7">
        <f t="shared" si="2"/>
        <v>2.5513255200683584</v>
      </c>
      <c r="L27" s="7">
        <f t="shared" si="2"/>
        <v>2.6151086580700675</v>
      </c>
      <c r="M27" s="7">
        <f t="shared" si="2"/>
        <v>2.680486374521819</v>
      </c>
      <c r="N27" s="7">
        <f t="shared" si="2"/>
        <v>2.7474985338848641</v>
      </c>
      <c r="O27" s="4"/>
      <c r="P27" s="4"/>
      <c r="Q27" s="4"/>
      <c r="R27" s="4"/>
      <c r="S27" s="4"/>
      <c r="T27" s="4"/>
    </row>
    <row r="28" spans="1:20" x14ac:dyDescent="0.25">
      <c r="A28" s="6" t="s">
        <v>13</v>
      </c>
      <c r="B28" s="5"/>
      <c r="C28" s="55">
        <f>C23</f>
        <v>-0.1</v>
      </c>
      <c r="D28" s="4"/>
      <c r="E28" s="10">
        <f t="shared" ref="E28:N28" si="3">$E$9*(1+$E$10)^(E19-1)*(1+$C$28)</f>
        <v>900000</v>
      </c>
      <c r="F28" s="10">
        <f t="shared" si="3"/>
        <v>922499.99999999988</v>
      </c>
      <c r="G28" s="10">
        <f t="shared" si="3"/>
        <v>945562.5</v>
      </c>
      <c r="H28" s="10">
        <f t="shared" si="3"/>
        <v>969201.56249999977</v>
      </c>
      <c r="I28" s="10">
        <f t="shared" si="3"/>
        <v>993431.60156249977</v>
      </c>
      <c r="J28" s="10">
        <f t="shared" si="3"/>
        <v>1018267.3916015623</v>
      </c>
      <c r="K28" s="10">
        <f t="shared" si="3"/>
        <v>1043724.0763916011</v>
      </c>
      <c r="L28" s="10">
        <f t="shared" si="3"/>
        <v>1069817.1783013914</v>
      </c>
      <c r="M28" s="10">
        <f t="shared" si="3"/>
        <v>1096562.607758926</v>
      </c>
      <c r="N28" s="10">
        <f t="shared" si="3"/>
        <v>1123976.672952899</v>
      </c>
      <c r="O28" s="4"/>
      <c r="P28" s="4"/>
      <c r="Q28" s="4"/>
      <c r="R28" s="4"/>
      <c r="S28" s="4"/>
      <c r="T28" s="4"/>
    </row>
    <row r="29" spans="1:20" s="2" customFormat="1" x14ac:dyDescent="0.25">
      <c r="A29" s="31" t="s">
        <v>17</v>
      </c>
      <c r="B29" s="30"/>
      <c r="C29" s="30"/>
      <c r="D29" s="29"/>
      <c r="E29" s="32">
        <f>E27*E28</f>
        <v>1980000.0000000002</v>
      </c>
      <c r="F29" s="32">
        <f t="shared" ref="F29:N29" si="4">F27*F28</f>
        <v>2080237.4999999995</v>
      </c>
      <c r="G29" s="32">
        <f t="shared" si="4"/>
        <v>2185549.5234375</v>
      </c>
      <c r="H29" s="32">
        <f t="shared" si="4"/>
        <v>2296192.9680615226</v>
      </c>
      <c r="I29" s="32">
        <f t="shared" si="4"/>
        <v>2412437.737069637</v>
      </c>
      <c r="J29" s="32">
        <f t="shared" si="4"/>
        <v>2534567.3975087875</v>
      </c>
      <c r="K29" s="32">
        <f t="shared" si="4"/>
        <v>2662879.8720076689</v>
      </c>
      <c r="L29" s="32">
        <f t="shared" si="4"/>
        <v>2797688.1655280581</v>
      </c>
      <c r="M29" s="32">
        <f t="shared" si="4"/>
        <v>2939321.1289079152</v>
      </c>
      <c r="N29" s="32">
        <f t="shared" si="4"/>
        <v>3088124.2610588772</v>
      </c>
      <c r="O29" s="29"/>
      <c r="P29" s="29"/>
      <c r="Q29" s="29"/>
      <c r="R29" s="29"/>
      <c r="S29" s="29"/>
      <c r="T29" s="29"/>
    </row>
    <row r="30" spans="1:20" x14ac:dyDescent="0.25">
      <c r="A30" s="4"/>
      <c r="B30" s="5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s="2" customFormat="1" x14ac:dyDescent="0.25">
      <c r="A31" s="29" t="s">
        <v>27</v>
      </c>
      <c r="B31" s="30"/>
      <c r="C31" s="30"/>
      <c r="D31" s="29"/>
      <c r="E31" s="32">
        <f>E24-E29</f>
        <v>341999.99999999977</v>
      </c>
      <c r="F31" s="32">
        <f t="shared" ref="F31:N31" si="5">F24-F29</f>
        <v>355854.37499999953</v>
      </c>
      <c r="G31" s="32">
        <f t="shared" si="5"/>
        <v>370323.64335937472</v>
      </c>
      <c r="H31" s="32">
        <f t="shared" si="5"/>
        <v>385436.77194506861</v>
      </c>
      <c r="I31" s="32">
        <f t="shared" si="5"/>
        <v>401224.1400189274</v>
      </c>
      <c r="J31" s="32">
        <f t="shared" si="5"/>
        <v>417717.60938887997</v>
      </c>
      <c r="K31" s="32">
        <f t="shared" si="5"/>
        <v>434950.59807772376</v>
      </c>
      <c r="L31" s="32">
        <f t="shared" si="5"/>
        <v>452958.15768677788</v>
      </c>
      <c r="M31" s="32">
        <f t="shared" si="5"/>
        <v>471777.05464057531</v>
      </c>
      <c r="N31" s="32">
        <f t="shared" si="5"/>
        <v>491445.85550818173</v>
      </c>
      <c r="O31" s="29"/>
      <c r="P31" s="29"/>
      <c r="Q31" s="29"/>
      <c r="R31" s="29"/>
      <c r="S31" s="29"/>
      <c r="T31" s="29"/>
    </row>
    <row r="32" spans="1:20" x14ac:dyDescent="0.25">
      <c r="A32" s="6" t="s">
        <v>28</v>
      </c>
      <c r="B32" s="5"/>
      <c r="C32" s="5"/>
      <c r="D32" s="4"/>
      <c r="E32" s="11">
        <f>E31/E24</f>
        <v>0.14728682170542626</v>
      </c>
      <c r="F32" s="11">
        <f t="shared" ref="F32:N32" si="6">F31/F24</f>
        <v>0.14607592539998093</v>
      </c>
      <c r="G32" s="11">
        <f t="shared" si="6"/>
        <v>0.1448912442801219</v>
      </c>
      <c r="H32" s="11">
        <f t="shared" si="6"/>
        <v>0.14373228570478236</v>
      </c>
      <c r="I32" s="11">
        <f t="shared" si="6"/>
        <v>0.14259856285009409</v>
      </c>
      <c r="J32" s="11">
        <f t="shared" si="6"/>
        <v>0.14148959480975984</v>
      </c>
      <c r="K32" s="11">
        <f t="shared" si="6"/>
        <v>0.14040490668481745</v>
      </c>
      <c r="L32" s="11">
        <f t="shared" si="6"/>
        <v>0.13934402966324852</v>
      </c>
      <c r="M32" s="11">
        <f t="shared" si="6"/>
        <v>0.13830650108986192</v>
      </c>
      <c r="N32" s="11">
        <f t="shared" si="6"/>
        <v>0.13729186452687694</v>
      </c>
      <c r="O32" s="4"/>
      <c r="P32" s="4"/>
      <c r="Q32" s="4"/>
      <c r="R32" s="4"/>
      <c r="S32" s="4"/>
      <c r="T32" s="4"/>
    </row>
    <row r="33" spans="1:20" x14ac:dyDescent="0.25">
      <c r="A33" s="4"/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 t="s">
        <v>29</v>
      </c>
      <c r="B34" s="5"/>
      <c r="C34" s="54">
        <v>0.1</v>
      </c>
      <c r="D34" s="4"/>
      <c r="E34" s="9">
        <f t="shared" ref="E34:N34" si="7">$E$13*(1+$E$14)^(E19-1)*(1+$C$34)</f>
        <v>550000</v>
      </c>
      <c r="F34" s="9">
        <f t="shared" si="7"/>
        <v>563750</v>
      </c>
      <c r="G34" s="9">
        <f t="shared" si="7"/>
        <v>577843.75</v>
      </c>
      <c r="H34" s="9">
        <f t="shared" si="7"/>
        <v>592289.84374999988</v>
      </c>
      <c r="I34" s="9">
        <f t="shared" si="7"/>
        <v>607097.08984374988</v>
      </c>
      <c r="J34" s="9">
        <f t="shared" si="7"/>
        <v>622274.51708984363</v>
      </c>
      <c r="K34" s="9">
        <f t="shared" si="7"/>
        <v>637831.38001708966</v>
      </c>
      <c r="L34" s="9">
        <f t="shared" si="7"/>
        <v>653777.16451751697</v>
      </c>
      <c r="M34" s="9">
        <f t="shared" si="7"/>
        <v>670121.59363045474</v>
      </c>
      <c r="N34" s="9">
        <f t="shared" si="7"/>
        <v>686874.63347121608</v>
      </c>
      <c r="O34" s="4"/>
      <c r="P34" s="4"/>
      <c r="Q34" s="4"/>
      <c r="R34" s="4"/>
      <c r="S34" s="4"/>
      <c r="T34" s="4"/>
    </row>
    <row r="35" spans="1:20" x14ac:dyDescent="0.25">
      <c r="A35" s="4"/>
      <c r="B35" s="5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 t="s">
        <v>30</v>
      </c>
      <c r="B36" s="5"/>
      <c r="C36" s="5"/>
      <c r="D36" s="4"/>
      <c r="E36" s="9">
        <f>M10*14.29%</f>
        <v>214350</v>
      </c>
      <c r="F36" s="9">
        <f>M10*24.49%</f>
        <v>367349.99999999994</v>
      </c>
      <c r="G36" s="9">
        <f>M10*17.49%</f>
        <v>262349.99999999994</v>
      </c>
      <c r="H36" s="9">
        <f>M10*12.49%</f>
        <v>187350</v>
      </c>
      <c r="I36" s="9">
        <f>M10*8.93%</f>
        <v>133950</v>
      </c>
      <c r="J36" s="9">
        <f>M10*8.92%</f>
        <v>133800</v>
      </c>
      <c r="K36" s="9">
        <f>M10*8.93%</f>
        <v>133950</v>
      </c>
      <c r="L36" s="9">
        <f>M10*4.46%</f>
        <v>66900</v>
      </c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5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s="2" customFormat="1" x14ac:dyDescent="0.25">
      <c r="A38" s="29" t="s">
        <v>35</v>
      </c>
      <c r="B38" s="30"/>
      <c r="C38" s="30"/>
      <c r="D38" s="29"/>
      <c r="E38" s="32">
        <f>E31-E34-E36</f>
        <v>-422350.00000000023</v>
      </c>
      <c r="F38" s="32">
        <f t="shared" ref="F38:N38" si="8">F31-F34-F36</f>
        <v>-575245.62500000047</v>
      </c>
      <c r="G38" s="32">
        <f t="shared" si="8"/>
        <v>-469870.10664062522</v>
      </c>
      <c r="H38" s="32">
        <f t="shared" si="8"/>
        <v>-394203.07180493127</v>
      </c>
      <c r="I38" s="32">
        <f t="shared" si="8"/>
        <v>-339822.94982482248</v>
      </c>
      <c r="J38" s="32">
        <f t="shared" si="8"/>
        <v>-338356.90770096367</v>
      </c>
      <c r="K38" s="32">
        <f t="shared" si="8"/>
        <v>-336830.7819393659</v>
      </c>
      <c r="L38" s="32">
        <f t="shared" si="8"/>
        <v>-267719.00683073909</v>
      </c>
      <c r="M38" s="32">
        <f t="shared" si="8"/>
        <v>-198344.53898987942</v>
      </c>
      <c r="N38" s="32">
        <f t="shared" si="8"/>
        <v>-195428.77796303434</v>
      </c>
      <c r="O38" s="29"/>
      <c r="P38" s="29"/>
      <c r="Q38" s="29"/>
      <c r="R38" s="29"/>
      <c r="S38" s="29"/>
      <c r="T38" s="29"/>
    </row>
    <row r="39" spans="1:20" x14ac:dyDescent="0.25">
      <c r="A39" s="4"/>
      <c r="B39" s="5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29" t="s">
        <v>36</v>
      </c>
      <c r="B40" s="33">
        <f>T11</f>
        <v>0.21</v>
      </c>
      <c r="C40" s="33"/>
      <c r="D40" s="4"/>
      <c r="E40" s="9">
        <f>E38*$B$40</f>
        <v>-88693.500000000044</v>
      </c>
      <c r="F40" s="9">
        <f t="shared" ref="F40:N40" si="9">F38*$B$40</f>
        <v>-120801.58125000009</v>
      </c>
      <c r="G40" s="9">
        <f t="shared" si="9"/>
        <v>-98672.722394531287</v>
      </c>
      <c r="H40" s="9">
        <f t="shared" si="9"/>
        <v>-82782.645079035559</v>
      </c>
      <c r="I40" s="9">
        <f t="shared" si="9"/>
        <v>-71362.819463212712</v>
      </c>
      <c r="J40" s="9">
        <f t="shared" si="9"/>
        <v>-71054.950617202368</v>
      </c>
      <c r="K40" s="9">
        <f t="shared" si="9"/>
        <v>-70734.464207266836</v>
      </c>
      <c r="L40" s="9">
        <f t="shared" si="9"/>
        <v>-56220.991434455209</v>
      </c>
      <c r="M40" s="9">
        <f t="shared" si="9"/>
        <v>-41652.35318787468</v>
      </c>
      <c r="N40" s="9">
        <f t="shared" si="9"/>
        <v>-41040.043372237211</v>
      </c>
      <c r="O40" s="4"/>
      <c r="P40" s="4"/>
      <c r="Q40" s="4"/>
      <c r="R40" s="4"/>
      <c r="S40" s="4"/>
      <c r="T40" s="4"/>
    </row>
    <row r="41" spans="1:20" x14ac:dyDescent="0.25">
      <c r="A41" s="4"/>
      <c r="B41" s="5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s="2" customFormat="1" x14ac:dyDescent="0.25">
      <c r="A42" s="29" t="s">
        <v>37</v>
      </c>
      <c r="B42" s="30"/>
      <c r="C42" s="30"/>
      <c r="D42" s="29"/>
      <c r="E42" s="32">
        <f>E38-E40</f>
        <v>-333656.50000000017</v>
      </c>
      <c r="F42" s="32">
        <f t="shared" ref="F42:N42" si="10">F38-F40</f>
        <v>-454444.04375000036</v>
      </c>
      <c r="G42" s="32">
        <f t="shared" si="10"/>
        <v>-371197.38424609392</v>
      </c>
      <c r="H42" s="32">
        <f t="shared" si="10"/>
        <v>-311420.42672589573</v>
      </c>
      <c r="I42" s="32">
        <f t="shared" si="10"/>
        <v>-268460.13036160974</v>
      </c>
      <c r="J42" s="32">
        <f t="shared" si="10"/>
        <v>-267301.95708376128</v>
      </c>
      <c r="K42" s="32">
        <f t="shared" si="10"/>
        <v>-266096.31773209909</v>
      </c>
      <c r="L42" s="32">
        <f t="shared" si="10"/>
        <v>-211498.01539628388</v>
      </c>
      <c r="M42" s="32">
        <f t="shared" si="10"/>
        <v>-156692.18580200474</v>
      </c>
      <c r="N42" s="32">
        <f t="shared" si="10"/>
        <v>-154388.73459079713</v>
      </c>
      <c r="O42" s="29"/>
      <c r="P42" s="29"/>
      <c r="Q42" s="29"/>
      <c r="R42" s="29"/>
      <c r="S42" s="29"/>
      <c r="T42" s="29"/>
    </row>
    <row r="43" spans="1:20" x14ac:dyDescent="0.25">
      <c r="A43" s="4"/>
      <c r="B43" s="5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29" t="s">
        <v>38</v>
      </c>
      <c r="B44" s="5"/>
      <c r="C44" s="5"/>
      <c r="D44" s="4"/>
      <c r="E44" s="34">
        <f>IF(E36="",0,E36)</f>
        <v>214350</v>
      </c>
      <c r="F44" s="34">
        <f t="shared" ref="F44:N44" si="11">IF(F36="",0,F36)</f>
        <v>367349.99999999994</v>
      </c>
      <c r="G44" s="34">
        <f t="shared" si="11"/>
        <v>262349.99999999994</v>
      </c>
      <c r="H44" s="34">
        <f t="shared" si="11"/>
        <v>187350</v>
      </c>
      <c r="I44" s="34">
        <f t="shared" si="11"/>
        <v>133950</v>
      </c>
      <c r="J44" s="34">
        <f t="shared" si="11"/>
        <v>133800</v>
      </c>
      <c r="K44" s="34">
        <f t="shared" si="11"/>
        <v>133950</v>
      </c>
      <c r="L44" s="34">
        <f t="shared" si="11"/>
        <v>66900</v>
      </c>
      <c r="M44" s="34">
        <f t="shared" si="11"/>
        <v>0</v>
      </c>
      <c r="N44" s="34">
        <f t="shared" si="11"/>
        <v>0</v>
      </c>
      <c r="O44" s="4"/>
      <c r="P44" s="4"/>
      <c r="Q44" s="4"/>
      <c r="R44" s="4"/>
      <c r="S44" s="4"/>
      <c r="T44" s="4"/>
    </row>
    <row r="45" spans="1:20" x14ac:dyDescent="0.25">
      <c r="A45" s="4"/>
      <c r="B45" s="5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29" t="s">
        <v>39</v>
      </c>
      <c r="B46" s="5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6" t="s">
        <v>33</v>
      </c>
      <c r="B47" s="5"/>
      <c r="C47" s="5"/>
      <c r="D47" s="13">
        <f>-M7</f>
        <v>-500000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6" t="s">
        <v>34</v>
      </c>
      <c r="B48" s="5"/>
      <c r="C48" s="5"/>
      <c r="D48" s="13">
        <f>-M8</f>
        <v>-1000000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A49" s="31" t="s">
        <v>40</v>
      </c>
      <c r="B49" s="5"/>
      <c r="C49" s="54">
        <v>0.1</v>
      </c>
      <c r="D49" s="13">
        <f>SUM(D47:D48)*(1+C49)</f>
        <v>-1650000.0000000002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4"/>
      <c r="B50" s="5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A51" s="29" t="s">
        <v>41</v>
      </c>
      <c r="B51" s="5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5">
      <c r="A52" s="6" t="s">
        <v>42</v>
      </c>
      <c r="B52" s="33">
        <f>T7</f>
        <v>0.1</v>
      </c>
      <c r="C52" s="33"/>
      <c r="D52" s="13">
        <f>-($E$24*B52)</f>
        <v>-232200</v>
      </c>
      <c r="E52" s="13">
        <f>-($F$24*B52+D52)</f>
        <v>-11409.187499999913</v>
      </c>
      <c r="F52" s="13">
        <f>-($G$24*B52+SUM(D52:E52))</f>
        <v>-11978.129179687559</v>
      </c>
      <c r="G52" s="13">
        <f>-($H$24*B52+SUM(D52:F52))</f>
        <v>-12575.657320971659</v>
      </c>
      <c r="H52" s="13">
        <f>-($I$24*B52+SUM(D52:G52))</f>
        <v>-13203.213708197349</v>
      </c>
      <c r="I52" s="13">
        <f>-($J$24*B52+SUM(D52:H52))</f>
        <v>-13862.312980910297</v>
      </c>
      <c r="J52" s="13">
        <f>-($K$24*B52+SUM(D52:I52))</f>
        <v>-14554.546318772482</v>
      </c>
      <c r="K52" s="13">
        <f>-($L$24*B52+SUM(D52:J52))</f>
        <v>-15281.585312944371</v>
      </c>
      <c r="L52" s="13">
        <f>-($M$24*B52+SUM(D52:K52))</f>
        <v>-16045.186033365433</v>
      </c>
      <c r="M52" s="13">
        <f>-($N$24*B52+SUM(D52:L52))</f>
        <v>-16847.193301856867</v>
      </c>
      <c r="N52" s="13">
        <f>-SUM(D52:M52)</f>
        <v>357957.01165670593</v>
      </c>
      <c r="O52" s="4"/>
      <c r="P52" s="4"/>
      <c r="Q52" s="4"/>
      <c r="R52" s="4"/>
      <c r="S52" s="4"/>
      <c r="T52" s="4"/>
    </row>
    <row r="53" spans="1:20" x14ac:dyDescent="0.25">
      <c r="A53" s="6"/>
      <c r="B53" s="12"/>
      <c r="C53" s="56">
        <f>C58</f>
        <v>0.1</v>
      </c>
      <c r="D53" s="49">
        <f>D52*(1+$C$53)</f>
        <v>-255420.00000000003</v>
      </c>
      <c r="E53" s="49">
        <f t="shared" ref="E53:N53" si="12">E52*(1+$C$53)</f>
        <v>-12550.106249999904</v>
      </c>
      <c r="F53" s="49">
        <f t="shared" si="12"/>
        <v>-13175.942097656316</v>
      </c>
      <c r="G53" s="49">
        <f t="shared" si="12"/>
        <v>-13833.223053068827</v>
      </c>
      <c r="H53" s="49">
        <f t="shared" si="12"/>
        <v>-14523.535079017085</v>
      </c>
      <c r="I53" s="49">
        <f t="shared" si="12"/>
        <v>-15248.544279001328</v>
      </c>
      <c r="J53" s="49">
        <f t="shared" si="12"/>
        <v>-16010.000950649732</v>
      </c>
      <c r="K53" s="49">
        <f t="shared" si="12"/>
        <v>-16809.743844238808</v>
      </c>
      <c r="L53" s="49">
        <f t="shared" si="12"/>
        <v>-17649.704636701979</v>
      </c>
      <c r="M53" s="49">
        <f t="shared" si="12"/>
        <v>-18531.912632042557</v>
      </c>
      <c r="N53" s="49">
        <f t="shared" si="12"/>
        <v>393752.71282237658</v>
      </c>
      <c r="O53" s="4"/>
      <c r="P53" s="4"/>
      <c r="Q53" s="4"/>
      <c r="R53" s="4"/>
      <c r="S53" s="4"/>
      <c r="T53" s="4"/>
    </row>
    <row r="54" spans="1:20" x14ac:dyDescent="0.25">
      <c r="A54" s="6" t="s">
        <v>43</v>
      </c>
      <c r="B54" s="33">
        <f>T8</f>
        <v>0.12</v>
      </c>
      <c r="C54" s="33"/>
      <c r="D54" s="13">
        <f>-($E$24*B54)</f>
        <v>-278640</v>
      </c>
      <c r="E54" s="13">
        <f>-($F$24*B54+D54)</f>
        <v>-13691.024999999849</v>
      </c>
      <c r="F54" s="13">
        <f>-($G$24*B54+SUM(D54:E54))</f>
        <v>-14373.755015625095</v>
      </c>
      <c r="G54" s="13">
        <f>-($H$24*B54+SUM(D54:F54))</f>
        <v>-15090.788785165991</v>
      </c>
      <c r="H54" s="13">
        <f>-($I$24*B54+SUM(D54:G54))</f>
        <v>-15843.856449836807</v>
      </c>
      <c r="I54" s="13">
        <f>-($J$24*B54+SUM(D54:H54))</f>
        <v>-16634.77557709231</v>
      </c>
      <c r="J54" s="13">
        <f>-($K$24*B54+SUM(D54:I54))</f>
        <v>-17465.455582527036</v>
      </c>
      <c r="K54" s="13">
        <f>-($L$24*B54+SUM(D54:J54))</f>
        <v>-18337.902375533187</v>
      </c>
      <c r="L54" s="13">
        <f>-($M$24*B54+SUM(D54:K54))</f>
        <v>-19254.223240038555</v>
      </c>
      <c r="M54" s="13">
        <f>-($N$24*B54+SUM(D54:L54))</f>
        <v>-20216.631962228217</v>
      </c>
      <c r="N54" s="13">
        <f>-SUM(D54:M54)</f>
        <v>429548.41398804705</v>
      </c>
      <c r="O54" s="4"/>
      <c r="P54" s="4"/>
      <c r="Q54" s="4"/>
      <c r="R54" s="4"/>
      <c r="S54" s="4"/>
      <c r="T54" s="4"/>
    </row>
    <row r="55" spans="1:20" x14ac:dyDescent="0.25">
      <c r="A55" s="6"/>
      <c r="B55" s="33"/>
      <c r="C55" s="56">
        <f>C58</f>
        <v>0.1</v>
      </c>
      <c r="D55" s="49">
        <f>D54*(1+$C$55)</f>
        <v>-306504</v>
      </c>
      <c r="E55" s="49">
        <f t="shared" ref="E55:N55" si="13">E54*(1+$C$55)</f>
        <v>-15060.127499999835</v>
      </c>
      <c r="F55" s="49">
        <f t="shared" si="13"/>
        <v>-15811.130517187605</v>
      </c>
      <c r="G55" s="49">
        <f t="shared" si="13"/>
        <v>-16599.867663682591</v>
      </c>
      <c r="H55" s="49">
        <f t="shared" si="13"/>
        <v>-17428.242094820489</v>
      </c>
      <c r="I55" s="49">
        <f t="shared" si="13"/>
        <v>-18298.253134801544</v>
      </c>
      <c r="J55" s="49">
        <f t="shared" si="13"/>
        <v>-19212.001140779743</v>
      </c>
      <c r="K55" s="49">
        <f t="shared" si="13"/>
        <v>-20171.692613086507</v>
      </c>
      <c r="L55" s="49">
        <f t="shared" si="13"/>
        <v>-21179.64556404241</v>
      </c>
      <c r="M55" s="49">
        <f t="shared" si="13"/>
        <v>-22238.295158451041</v>
      </c>
      <c r="N55" s="49">
        <f t="shared" si="13"/>
        <v>472503.25538685179</v>
      </c>
      <c r="O55" s="4"/>
      <c r="P55" s="4"/>
      <c r="Q55" s="4"/>
      <c r="R55" s="4"/>
      <c r="S55" s="4"/>
      <c r="T55" s="4"/>
    </row>
    <row r="56" spans="1:20" x14ac:dyDescent="0.25">
      <c r="A56" s="6" t="s">
        <v>44</v>
      </c>
      <c r="B56" s="33">
        <f>T9</f>
        <v>0.03</v>
      </c>
      <c r="C56" s="33"/>
      <c r="D56" s="13">
        <f>$E$24*B56</f>
        <v>69660</v>
      </c>
      <c r="E56" s="13">
        <f>$F$24*B56-D56</f>
        <v>3422.7562499999622</v>
      </c>
      <c r="F56" s="13">
        <f>$G$24*B56-SUM(D56:E56)</f>
        <v>3593.4387539062736</v>
      </c>
      <c r="G56" s="13">
        <f>$H$24*B56-SUM(D56:F56)</f>
        <v>3772.6971962914977</v>
      </c>
      <c r="H56" s="13">
        <f>$I$24*B56-SUM(D56:G56)</f>
        <v>3960.9641124592017</v>
      </c>
      <c r="I56" s="13">
        <f>$J$24*B56-SUM(D56:H56)</f>
        <v>4158.6938942730776</v>
      </c>
      <c r="J56" s="13">
        <f>$K$24*B56-SUM(D56:I56)</f>
        <v>4366.3638956317591</v>
      </c>
      <c r="K56" s="13">
        <f>$L$24*B56-SUM(D56:J56)</f>
        <v>4584.4755938832968</v>
      </c>
      <c r="L56" s="13">
        <f>$M$24*B56-SUM(D56:K56)</f>
        <v>4813.5558100096387</v>
      </c>
      <c r="M56" s="13">
        <f>$N$24*B56-SUM(D56:L56)</f>
        <v>5054.1579905570543</v>
      </c>
      <c r="N56" s="13">
        <f>-SUM(D56:M56)</f>
        <v>-107387.10349701176</v>
      </c>
      <c r="O56" s="4"/>
      <c r="P56" s="4"/>
      <c r="Q56" s="4"/>
      <c r="R56" s="4"/>
      <c r="S56" s="4"/>
      <c r="T56" s="4"/>
    </row>
    <row r="57" spans="1:20" x14ac:dyDescent="0.25">
      <c r="A57" s="6"/>
      <c r="B57" s="33"/>
      <c r="C57" s="56">
        <f>-C58</f>
        <v>-0.1</v>
      </c>
      <c r="D57" s="49">
        <f>D56*(1+$C$57)</f>
        <v>62694</v>
      </c>
      <c r="E57" s="49">
        <f t="shared" ref="E57:N57" si="14">E56*(1+$C$57)</f>
        <v>3080.480624999966</v>
      </c>
      <c r="F57" s="49">
        <f t="shared" si="14"/>
        <v>3234.0948785156465</v>
      </c>
      <c r="G57" s="49">
        <f t="shared" si="14"/>
        <v>3395.427476662348</v>
      </c>
      <c r="H57" s="49">
        <f t="shared" si="14"/>
        <v>3564.8677012132816</v>
      </c>
      <c r="I57" s="49">
        <f t="shared" si="14"/>
        <v>3742.8245048457698</v>
      </c>
      <c r="J57" s="49">
        <f t="shared" si="14"/>
        <v>3929.7275060685834</v>
      </c>
      <c r="K57" s="49">
        <f t="shared" si="14"/>
        <v>4126.028034494967</v>
      </c>
      <c r="L57" s="49">
        <f t="shared" si="14"/>
        <v>4332.2002290086748</v>
      </c>
      <c r="M57" s="49">
        <f t="shared" si="14"/>
        <v>4548.7421915013492</v>
      </c>
      <c r="N57" s="49">
        <f t="shared" si="14"/>
        <v>-96648.393147310591</v>
      </c>
      <c r="O57" s="4"/>
      <c r="P57" s="4"/>
      <c r="Q57" s="4"/>
      <c r="R57" s="4"/>
      <c r="S57" s="4"/>
      <c r="T57" s="4"/>
    </row>
    <row r="58" spans="1:20" s="2" customFormat="1" x14ac:dyDescent="0.25">
      <c r="A58" s="31" t="s">
        <v>45</v>
      </c>
      <c r="B58" s="30"/>
      <c r="C58" s="54">
        <v>0.1</v>
      </c>
      <c r="D58" s="35">
        <f>D53+D55+D57</f>
        <v>-499230</v>
      </c>
      <c r="E58" s="35">
        <f t="shared" ref="E58:N58" si="15">E53+E55+E57</f>
        <v>-24529.75312499977</v>
      </c>
      <c r="F58" s="35">
        <f t="shared" si="15"/>
        <v>-25752.977736328274</v>
      </c>
      <c r="G58" s="35">
        <f t="shared" si="15"/>
        <v>-27037.663240089067</v>
      </c>
      <c r="H58" s="35">
        <f t="shared" si="15"/>
        <v>-28386.909472624291</v>
      </c>
      <c r="I58" s="35">
        <f t="shared" si="15"/>
        <v>-29803.972908957105</v>
      </c>
      <c r="J58" s="35">
        <f t="shared" si="15"/>
        <v>-31292.27458536089</v>
      </c>
      <c r="K58" s="35">
        <f t="shared" si="15"/>
        <v>-32855.408422830347</v>
      </c>
      <c r="L58" s="35">
        <f t="shared" si="15"/>
        <v>-34497.149971735715</v>
      </c>
      <c r="M58" s="35">
        <f t="shared" si="15"/>
        <v>-36221.465598992254</v>
      </c>
      <c r="N58" s="35">
        <f t="shared" si="15"/>
        <v>769607.57506191777</v>
      </c>
      <c r="O58" s="29"/>
      <c r="P58" s="29"/>
      <c r="Q58" s="29"/>
      <c r="R58" s="29"/>
      <c r="S58" s="29"/>
      <c r="T58" s="29"/>
    </row>
    <row r="59" spans="1:20" x14ac:dyDescent="0.25">
      <c r="A59" s="4"/>
      <c r="B59" s="5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5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29" t="s">
        <v>49</v>
      </c>
      <c r="B61" s="5"/>
      <c r="C61" s="5"/>
      <c r="D61" s="13">
        <f>SUM(D49,D58)</f>
        <v>-2149230</v>
      </c>
      <c r="E61" s="9">
        <f t="shared" ref="E61:N61" si="16">SUM(E42+E44+E58)</f>
        <v>-143836.25312499993</v>
      </c>
      <c r="F61" s="9">
        <f t="shared" si="16"/>
        <v>-112847.0214863287</v>
      </c>
      <c r="G61" s="9">
        <f t="shared" si="16"/>
        <v>-135885.04748618306</v>
      </c>
      <c r="H61" s="9">
        <f t="shared" si="16"/>
        <v>-152457.33619852003</v>
      </c>
      <c r="I61" s="9">
        <f t="shared" si="16"/>
        <v>-164314.10327056685</v>
      </c>
      <c r="J61" s="9">
        <f t="shared" si="16"/>
        <v>-164794.23166912218</v>
      </c>
      <c r="K61" s="9">
        <f t="shared" si="16"/>
        <v>-165001.72615492943</v>
      </c>
      <c r="L61" s="9">
        <f t="shared" si="16"/>
        <v>-179095.1653680196</v>
      </c>
      <c r="M61" s="9">
        <f t="shared" si="16"/>
        <v>-192913.65140099698</v>
      </c>
      <c r="N61" s="9">
        <f t="shared" si="16"/>
        <v>615218.84047112067</v>
      </c>
      <c r="O61" s="4"/>
      <c r="P61" s="4"/>
      <c r="Q61" s="4"/>
      <c r="R61" s="4"/>
      <c r="S61" s="4"/>
      <c r="T61" s="4"/>
    </row>
    <row r="62" spans="1:20" x14ac:dyDescent="0.25">
      <c r="A62" s="4"/>
      <c r="B62" s="5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29" t="s">
        <v>50</v>
      </c>
      <c r="B63" s="5"/>
      <c r="C63" s="5"/>
      <c r="D63" s="13">
        <f t="shared" ref="D63:N63" si="17">-PV($T$13, D19, 0, D61)</f>
        <v>-2149230</v>
      </c>
      <c r="E63" s="13">
        <f t="shared" si="17"/>
        <v>-130760.23011363629</v>
      </c>
      <c r="F63" s="13">
        <f t="shared" si="17"/>
        <v>-93262.001228370806</v>
      </c>
      <c r="G63" s="13">
        <f t="shared" si="17"/>
        <v>-102092.44739758303</v>
      </c>
      <c r="H63" s="13">
        <f t="shared" si="17"/>
        <v>-104130.41199270541</v>
      </c>
      <c r="I63" s="13">
        <f t="shared" si="17"/>
        <v>-102026.13040003899</v>
      </c>
      <c r="J63" s="13">
        <f t="shared" si="17"/>
        <v>-93022.047600462029</v>
      </c>
      <c r="K63" s="13">
        <f t="shared" si="17"/>
        <v>-84671.975298481921</v>
      </c>
      <c r="L63" s="13">
        <f t="shared" si="17"/>
        <v>-83549.216404063758</v>
      </c>
      <c r="M63" s="13">
        <f t="shared" si="17"/>
        <v>-81814.220110702561</v>
      </c>
      <c r="N63" s="13">
        <f t="shared" si="17"/>
        <v>237193.49547425803</v>
      </c>
      <c r="O63" s="4"/>
      <c r="P63" s="4"/>
      <c r="Q63" s="4"/>
      <c r="R63" s="4"/>
      <c r="S63" s="4"/>
      <c r="T63" s="4"/>
    </row>
    <row r="64" spans="1:20" x14ac:dyDescent="0.25">
      <c r="A64" s="4"/>
      <c r="B64" s="5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29" t="s">
        <v>51</v>
      </c>
      <c r="B65" s="5"/>
      <c r="C65" s="5"/>
      <c r="D65" s="13">
        <f>D61</f>
        <v>-2149230</v>
      </c>
      <c r="E65" s="13">
        <f>SUM(D61:E61)</f>
        <v>-2293066.2531249998</v>
      </c>
      <c r="F65" s="13">
        <f>SUM(D61:F61)</f>
        <v>-2405913.2746113287</v>
      </c>
      <c r="G65" s="13">
        <f>SUM(D61:G61)</f>
        <v>-2541798.322097512</v>
      </c>
      <c r="H65" s="13">
        <f>SUM(D61:H61)</f>
        <v>-2694255.6582960319</v>
      </c>
      <c r="I65" s="13">
        <f>SUM(D61:I61)</f>
        <v>-2858569.7615665989</v>
      </c>
      <c r="J65" s="13">
        <f>SUM(D61:J61)</f>
        <v>-3023363.9932357213</v>
      </c>
      <c r="K65" s="13">
        <f>SUM(D61:K61)</f>
        <v>-3188365.7193906507</v>
      </c>
      <c r="L65" s="13">
        <f>SUM(D61:L61)</f>
        <v>-3367460.8847586703</v>
      </c>
      <c r="M65" s="13">
        <f>SUM(D61:M61)</f>
        <v>-3560374.5361596672</v>
      </c>
      <c r="N65" s="13">
        <f>SUM(D61:N61)</f>
        <v>-2945155.6956885466</v>
      </c>
      <c r="O65" s="4"/>
      <c r="P65" s="4"/>
      <c r="Q65" s="4"/>
      <c r="R65" s="4"/>
      <c r="S65" s="4"/>
      <c r="T65" s="4"/>
    </row>
    <row r="66" spans="1:20" s="39" customFormat="1" x14ac:dyDescent="0.25">
      <c r="A66" s="40" t="s">
        <v>59</v>
      </c>
      <c r="B66" s="38"/>
      <c r="C66" s="38"/>
      <c r="D66" s="37"/>
      <c r="E66" s="37">
        <f>IF(E65&lt;0, 1, 0)</f>
        <v>1</v>
      </c>
      <c r="F66" s="37">
        <f>IF(F65&lt;0, 1, 0)+E66</f>
        <v>2</v>
      </c>
      <c r="G66" s="37">
        <f>IF(G65&lt;0, 1, 0)+F66</f>
        <v>3</v>
      </c>
      <c r="H66" s="37">
        <f t="shared" ref="H66:N66" si="18">IF(H65&lt;0, 1, 0)+G66</f>
        <v>4</v>
      </c>
      <c r="I66" s="37">
        <f t="shared" si="18"/>
        <v>5</v>
      </c>
      <c r="J66" s="37">
        <f t="shared" si="18"/>
        <v>6</v>
      </c>
      <c r="K66" s="37">
        <f t="shared" si="18"/>
        <v>7</v>
      </c>
      <c r="L66" s="37">
        <f t="shared" si="18"/>
        <v>8</v>
      </c>
      <c r="M66" s="37">
        <f t="shared" si="18"/>
        <v>9</v>
      </c>
      <c r="N66" s="37">
        <f t="shared" si="18"/>
        <v>10</v>
      </c>
      <c r="O66" s="37"/>
      <c r="P66" s="37"/>
      <c r="Q66" s="37"/>
      <c r="R66" s="37"/>
      <c r="S66" s="37"/>
      <c r="T66" s="37"/>
    </row>
    <row r="67" spans="1:20" s="39" customFormat="1" x14ac:dyDescent="0.25">
      <c r="A67" s="41" t="s">
        <v>60</v>
      </c>
      <c r="B67" s="38"/>
      <c r="C67" s="38"/>
      <c r="D67" s="37"/>
      <c r="E67" s="36" t="b">
        <f>IF(E66=F66,ABS(E65/F61))</f>
        <v>0</v>
      </c>
      <c r="F67" s="36" t="b">
        <f t="shared" ref="F67:N67" si="19">IF(F66=G66,ABS(F65/G61))</f>
        <v>0</v>
      </c>
      <c r="G67" s="36" t="b">
        <f t="shared" si="19"/>
        <v>0</v>
      </c>
      <c r="H67" s="36" t="b">
        <f t="shared" si="19"/>
        <v>0</v>
      </c>
      <c r="I67" s="36" t="b">
        <f t="shared" si="19"/>
        <v>0</v>
      </c>
      <c r="J67" s="36" t="b">
        <f t="shared" si="19"/>
        <v>0</v>
      </c>
      <c r="K67" s="36" t="b">
        <f t="shared" si="19"/>
        <v>0</v>
      </c>
      <c r="L67" s="36" t="b">
        <f t="shared" si="19"/>
        <v>0</v>
      </c>
      <c r="M67" s="36" t="b">
        <f t="shared" si="19"/>
        <v>0</v>
      </c>
      <c r="N67" s="36" t="b">
        <f t="shared" si="19"/>
        <v>0</v>
      </c>
      <c r="O67" s="37"/>
      <c r="P67" s="37"/>
      <c r="Q67" s="37"/>
      <c r="R67" s="37"/>
      <c r="S67" s="37"/>
      <c r="T67" s="37"/>
    </row>
    <row r="68" spans="1:20" x14ac:dyDescent="0.25">
      <c r="A68" s="4"/>
      <c r="B68" s="5"/>
      <c r="C68" s="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4"/>
      <c r="P68" s="4"/>
      <c r="Q68" s="4"/>
      <c r="R68" s="4"/>
      <c r="S68" s="4"/>
      <c r="T68" s="4"/>
    </row>
    <row r="69" spans="1:20" x14ac:dyDescent="0.25">
      <c r="A69" s="29" t="s">
        <v>52</v>
      </c>
      <c r="B69" s="5"/>
      <c r="C69" s="5"/>
      <c r="D69" s="13">
        <f t="shared" ref="D69" si="20">D63</f>
        <v>-2149230</v>
      </c>
      <c r="E69" s="13">
        <f t="shared" ref="E69" si="21">SUM(D63:E63)</f>
        <v>-2279990.2301136362</v>
      </c>
      <c r="F69" s="13">
        <f t="shared" ref="F69" si="22">SUM(D63:F63)</f>
        <v>-2373252.2313420069</v>
      </c>
      <c r="G69" s="13">
        <f t="shared" ref="G69" si="23">SUM(D63:G63)</f>
        <v>-2475344.6787395901</v>
      </c>
      <c r="H69" s="13">
        <f t="shared" ref="H69" si="24">SUM(D63:H63)</f>
        <v>-2579475.0907322955</v>
      </c>
      <c r="I69" s="13">
        <f t="shared" ref="I69" si="25">SUM(D63:I63)</f>
        <v>-2681501.2211323343</v>
      </c>
      <c r="J69" s="13">
        <f t="shared" ref="J69" si="26">SUM(D63:J63)</f>
        <v>-2774523.2687327964</v>
      </c>
      <c r="K69" s="13">
        <f t="shared" ref="K69" si="27">SUM(D63:K63)</f>
        <v>-2859195.2440312784</v>
      </c>
      <c r="L69" s="13">
        <f t="shared" ref="L69" si="28">SUM(D63:L63)</f>
        <v>-2942744.460435342</v>
      </c>
      <c r="M69" s="13">
        <f t="shared" ref="M69" si="29">SUM(D63:M63)</f>
        <v>-3024558.6805460444</v>
      </c>
      <c r="N69" s="13">
        <f t="shared" ref="N69" si="30">SUM(D63:N63)</f>
        <v>-2787365.1850717864</v>
      </c>
      <c r="O69" s="4"/>
      <c r="P69" s="4"/>
      <c r="Q69" s="4"/>
      <c r="R69" s="4"/>
      <c r="S69" s="4"/>
      <c r="T69" s="4"/>
    </row>
    <row r="70" spans="1:20" x14ac:dyDescent="0.25">
      <c r="A70" s="40" t="s">
        <v>61</v>
      </c>
      <c r="B70" s="5"/>
      <c r="C70" s="5"/>
      <c r="D70" s="13"/>
      <c r="E70" s="42">
        <f>IF(E69&lt;0, 1, 0)</f>
        <v>1</v>
      </c>
      <c r="F70" s="42">
        <f>IF(F69&lt;0, 1, 0)+E70</f>
        <v>2</v>
      </c>
      <c r="G70" s="42">
        <f t="shared" ref="G70:N70" si="31">IF(G69&lt;0, 1, 0)+F70</f>
        <v>3</v>
      </c>
      <c r="H70" s="42">
        <f t="shared" si="31"/>
        <v>4</v>
      </c>
      <c r="I70" s="42">
        <f t="shared" si="31"/>
        <v>5</v>
      </c>
      <c r="J70" s="42">
        <f t="shared" si="31"/>
        <v>6</v>
      </c>
      <c r="K70" s="42">
        <f t="shared" si="31"/>
        <v>7</v>
      </c>
      <c r="L70" s="42">
        <f t="shared" si="31"/>
        <v>8</v>
      </c>
      <c r="M70" s="42">
        <f t="shared" si="31"/>
        <v>9</v>
      </c>
      <c r="N70" s="42">
        <f t="shared" si="31"/>
        <v>10</v>
      </c>
      <c r="O70" s="4"/>
      <c r="P70" s="4"/>
      <c r="Q70" s="4"/>
      <c r="R70" s="4"/>
      <c r="S70" s="4"/>
      <c r="T70" s="4"/>
    </row>
    <row r="71" spans="1:20" x14ac:dyDescent="0.25">
      <c r="A71" s="41" t="s">
        <v>62</v>
      </c>
      <c r="B71" s="5"/>
      <c r="C71" s="5"/>
      <c r="D71" s="13"/>
      <c r="E71" s="36" t="b">
        <f>IF(E70=F70,ABS(E69/F63))</f>
        <v>0</v>
      </c>
      <c r="F71" s="36" t="b">
        <f t="shared" ref="F71:N71" si="32">IF(F70=G70,ABS(F69/G63))</f>
        <v>0</v>
      </c>
      <c r="G71" s="36" t="b">
        <f t="shared" si="32"/>
        <v>0</v>
      </c>
      <c r="H71" s="36" t="b">
        <f t="shared" si="32"/>
        <v>0</v>
      </c>
      <c r="I71" s="36" t="b">
        <f t="shared" si="32"/>
        <v>0</v>
      </c>
      <c r="J71" s="36" t="b">
        <f t="shared" si="32"/>
        <v>0</v>
      </c>
      <c r="K71" s="36" t="b">
        <f t="shared" si="32"/>
        <v>0</v>
      </c>
      <c r="L71" s="36" t="b">
        <f t="shared" si="32"/>
        <v>0</v>
      </c>
      <c r="M71" s="36" t="b">
        <f t="shared" si="32"/>
        <v>0</v>
      </c>
      <c r="N71" s="36" t="b">
        <f t="shared" si="32"/>
        <v>0</v>
      </c>
      <c r="O71" s="4"/>
      <c r="P71" s="4"/>
      <c r="Q71" s="4"/>
      <c r="R71" s="4"/>
      <c r="S71" s="4"/>
      <c r="T71" s="4"/>
    </row>
    <row r="72" spans="1:20" x14ac:dyDescent="0.25">
      <c r="A72" s="4"/>
      <c r="B72" s="5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B73"/>
      <c r="C73"/>
    </row>
    <row r="74" spans="1:20" x14ac:dyDescent="0.25">
      <c r="A74" s="22" t="s">
        <v>53</v>
      </c>
      <c r="B74" s="23"/>
      <c r="C74"/>
    </row>
    <row r="75" spans="1:20" x14ac:dyDescent="0.25">
      <c r="A75" s="24" t="s">
        <v>54</v>
      </c>
      <c r="B75" s="25">
        <f>N69</f>
        <v>-2787365.1850717864</v>
      </c>
      <c r="C75"/>
    </row>
    <row r="76" spans="1:20" x14ac:dyDescent="0.25">
      <c r="A76" s="24" t="s">
        <v>55</v>
      </c>
      <c r="B76" s="26">
        <f>IRR(D61:N61)</f>
        <v>-0.24428128689769546</v>
      </c>
      <c r="C76"/>
    </row>
    <row r="77" spans="1:20" x14ac:dyDescent="0.25">
      <c r="A77" s="24" t="s">
        <v>56</v>
      </c>
      <c r="B77" s="27">
        <f>NPV(T13, E61:N61)/-D61</f>
        <v>-0.29691339925079524</v>
      </c>
      <c r="C77"/>
    </row>
    <row r="78" spans="1:20" x14ac:dyDescent="0.25">
      <c r="A78" s="24" t="s">
        <v>57</v>
      </c>
      <c r="B78" s="27">
        <f>4+ABS(H65/I61)</f>
        <v>20.396983610466787</v>
      </c>
      <c r="C78"/>
    </row>
    <row r="79" spans="1:20" x14ac:dyDescent="0.25">
      <c r="A79" s="24" t="s">
        <v>58</v>
      </c>
      <c r="B79" s="27">
        <f>5+ABS(I69/J63)</f>
        <v>33.826512534422164</v>
      </c>
      <c r="C79"/>
      <c r="E79" s="3"/>
    </row>
    <row r="82" spans="1:14" x14ac:dyDescent="0.25">
      <c r="A82" s="28" t="s">
        <v>73</v>
      </c>
      <c r="B82" s="15"/>
      <c r="C82"/>
    </row>
    <row r="83" spans="1:14" x14ac:dyDescent="0.25">
      <c r="B83"/>
      <c r="C83"/>
    </row>
    <row r="84" spans="1:14" x14ac:dyDescent="0.25">
      <c r="B84"/>
      <c r="C84"/>
    </row>
    <row r="85" spans="1:14" ht="15.75" thickBot="1" x14ac:dyDescent="0.3">
      <c r="B85" s="93" t="s">
        <v>74</v>
      </c>
      <c r="C85" s="93"/>
      <c r="D85" s="93"/>
      <c r="E85" s="93"/>
      <c r="F85" s="93"/>
    </row>
    <row r="86" spans="1:14" x14ac:dyDescent="0.25">
      <c r="B86" s="91" t="s">
        <v>75</v>
      </c>
      <c r="C86" s="92"/>
      <c r="D86" s="62" t="s">
        <v>66</v>
      </c>
      <c r="E86" s="91" t="s">
        <v>76</v>
      </c>
      <c r="F86" s="92"/>
    </row>
    <row r="87" spans="1:14" x14ac:dyDescent="0.25">
      <c r="A87" s="53" t="s">
        <v>77</v>
      </c>
      <c r="B87" s="57"/>
      <c r="C87" s="58"/>
      <c r="D87" s="63"/>
      <c r="E87" s="57"/>
      <c r="F87" s="71"/>
      <c r="H87" s="43"/>
      <c r="J87" s="43"/>
      <c r="L87" s="43"/>
      <c r="N87" s="43"/>
    </row>
    <row r="88" spans="1:14" x14ac:dyDescent="0.25">
      <c r="A88" s="17" t="s">
        <v>67</v>
      </c>
      <c r="B88" s="59">
        <f>D88*(1+C88)</f>
        <v>2.7</v>
      </c>
      <c r="C88" s="95">
        <v>-0.1</v>
      </c>
      <c r="D88" s="64">
        <v>3</v>
      </c>
      <c r="E88" s="94">
        <v>0.1</v>
      </c>
      <c r="F88" s="72">
        <f>D88*(1+E88)</f>
        <v>3.3000000000000003</v>
      </c>
    </row>
    <row r="89" spans="1:14" x14ac:dyDescent="0.25">
      <c r="A89" s="17" t="s">
        <v>78</v>
      </c>
      <c r="B89" s="60">
        <f>D89*(1+C88)</f>
        <v>900000</v>
      </c>
      <c r="C89" s="95"/>
      <c r="D89" s="65">
        <v>1000000</v>
      </c>
      <c r="E89" s="94"/>
      <c r="F89" s="73">
        <f>D89*(1+E88)</f>
        <v>1100000</v>
      </c>
    </row>
    <row r="90" spans="1:14" x14ac:dyDescent="0.25">
      <c r="A90" s="17" t="s">
        <v>15</v>
      </c>
      <c r="B90" s="59">
        <f>D90*(1+C90)</f>
        <v>2.2000000000000002</v>
      </c>
      <c r="C90" s="95">
        <v>0.1</v>
      </c>
      <c r="D90" s="64">
        <v>2</v>
      </c>
      <c r="E90" s="94">
        <v>-0.1</v>
      </c>
      <c r="F90" s="72">
        <f>D90*(1+E90)</f>
        <v>1.8</v>
      </c>
    </row>
    <row r="91" spans="1:14" x14ac:dyDescent="0.25">
      <c r="A91" s="17" t="s">
        <v>69</v>
      </c>
      <c r="B91" s="60">
        <f>D91*(1+C90)</f>
        <v>550000</v>
      </c>
      <c r="C91" s="95"/>
      <c r="D91" s="65">
        <v>500000</v>
      </c>
      <c r="E91" s="94"/>
      <c r="F91" s="74">
        <f>D91*(1+E90)</f>
        <v>450000</v>
      </c>
    </row>
    <row r="92" spans="1:14" x14ac:dyDescent="0.25">
      <c r="A92" s="17" t="s">
        <v>79</v>
      </c>
      <c r="B92" s="60">
        <f>D92*(1+C90)</f>
        <v>1650000.0000000002</v>
      </c>
      <c r="C92" s="95"/>
      <c r="D92" s="65">
        <v>1500000</v>
      </c>
      <c r="E92" s="94"/>
      <c r="F92" s="74">
        <f>D92*(1+E90)</f>
        <v>1350000</v>
      </c>
    </row>
    <row r="93" spans="1:14" x14ac:dyDescent="0.25">
      <c r="A93" s="17" t="s">
        <v>80</v>
      </c>
      <c r="B93" s="61">
        <f>D93*(1+C90)</f>
        <v>0.20900000000000002</v>
      </c>
      <c r="C93" s="95"/>
      <c r="D93" s="50">
        <v>0.19</v>
      </c>
      <c r="E93" s="94"/>
      <c r="F93" s="75">
        <f>D93*(1+E90)</f>
        <v>0.17100000000000001</v>
      </c>
    </row>
    <row r="94" spans="1:14" x14ac:dyDescent="0.25">
      <c r="B94" s="57"/>
      <c r="C94" s="58"/>
      <c r="D94" s="66"/>
      <c r="E94" s="57"/>
      <c r="F94" s="58"/>
    </row>
    <row r="95" spans="1:14" x14ac:dyDescent="0.25">
      <c r="B95" s="57"/>
      <c r="C95" s="58"/>
      <c r="D95" s="66"/>
      <c r="E95" s="57"/>
      <c r="F95" s="58"/>
    </row>
    <row r="96" spans="1:14" x14ac:dyDescent="0.25">
      <c r="A96" s="52" t="s">
        <v>81</v>
      </c>
      <c r="B96" s="57"/>
      <c r="C96" s="58"/>
      <c r="D96" s="66"/>
      <c r="E96" s="57"/>
      <c r="F96" s="58"/>
    </row>
    <row r="97" spans="1:6" x14ac:dyDescent="0.25">
      <c r="A97" s="17" t="s">
        <v>54</v>
      </c>
      <c r="B97" s="81">
        <v>-2787365</v>
      </c>
      <c r="C97" s="82"/>
      <c r="D97" s="67">
        <v>582533</v>
      </c>
      <c r="E97" s="81">
        <v>4519260</v>
      </c>
      <c r="F97" s="82"/>
    </row>
    <row r="98" spans="1:6" x14ac:dyDescent="0.25">
      <c r="A98" s="17" t="s">
        <v>55</v>
      </c>
      <c r="B98" s="87">
        <v>-0.24399999999999999</v>
      </c>
      <c r="C98" s="88"/>
      <c r="D98" s="68">
        <v>0.151</v>
      </c>
      <c r="E98" s="87">
        <v>0.46700000000000003</v>
      </c>
      <c r="F98" s="88"/>
    </row>
    <row r="99" spans="1:6" x14ac:dyDescent="0.25">
      <c r="A99" s="17" t="s">
        <v>56</v>
      </c>
      <c r="B99" s="89">
        <v>-0.3</v>
      </c>
      <c r="C99" s="90"/>
      <c r="D99" s="69">
        <v>1.29</v>
      </c>
      <c r="E99" s="83">
        <v>3.36</v>
      </c>
      <c r="F99" s="84"/>
    </row>
    <row r="100" spans="1:6" x14ac:dyDescent="0.25">
      <c r="A100" s="17" t="s">
        <v>57</v>
      </c>
      <c r="B100" s="83" t="s">
        <v>82</v>
      </c>
      <c r="C100" s="84"/>
      <c r="D100" s="69">
        <v>5.87</v>
      </c>
      <c r="E100" s="83">
        <v>2.2400000000000002</v>
      </c>
      <c r="F100" s="84"/>
    </row>
    <row r="101" spans="1:6" ht="15.75" thickBot="1" x14ac:dyDescent="0.3">
      <c r="A101" s="17" t="s">
        <v>58</v>
      </c>
      <c r="B101" s="85" t="s">
        <v>82</v>
      </c>
      <c r="C101" s="86"/>
      <c r="D101" s="70">
        <v>8.68</v>
      </c>
      <c r="E101" s="85">
        <v>2.66</v>
      </c>
      <c r="F101" s="86"/>
    </row>
  </sheetData>
  <mergeCells count="17">
    <mergeCell ref="E86:F86"/>
    <mergeCell ref="B85:F85"/>
    <mergeCell ref="B86:C86"/>
    <mergeCell ref="E90:E93"/>
    <mergeCell ref="E88:E89"/>
    <mergeCell ref="C88:C89"/>
    <mergeCell ref="C90:C93"/>
    <mergeCell ref="B97:C97"/>
    <mergeCell ref="B100:C100"/>
    <mergeCell ref="B101:C101"/>
    <mergeCell ref="E97:F97"/>
    <mergeCell ref="E98:F98"/>
    <mergeCell ref="E99:F99"/>
    <mergeCell ref="E100:F100"/>
    <mergeCell ref="E101:F101"/>
    <mergeCell ref="B98:C98"/>
    <mergeCell ref="B99:C99"/>
  </mergeCells>
  <pageMargins left="0.7" right="0.7" top="0.75" bottom="0.75" header="0.3" footer="0.3"/>
  <ignoredErrors>
    <ignoredError sqref="F89 B8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Capital Budgeting</vt:lpstr>
      <vt:lpstr>Sensitivity Analysis</vt:lpstr>
      <vt:lpstr>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cheng.felix</cp:lastModifiedBy>
  <dcterms:created xsi:type="dcterms:W3CDTF">2022-11-29T21:35:31Z</dcterms:created>
  <dcterms:modified xsi:type="dcterms:W3CDTF">2022-12-13T06:52:52Z</dcterms:modified>
</cp:coreProperties>
</file>