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irpalani\Downloads\"/>
    </mc:Choice>
  </mc:AlternateContent>
  <xr:revisionPtr revIDLastSave="0" documentId="13_ncr:1_{E24A19F3-BA4A-4AA1-9DAA-A025B218EC84}" xr6:coauthVersionLast="36" xr6:coauthVersionMax="36" xr10:uidLastSave="{00000000-0000-0000-0000-000000000000}"/>
  <bookViews>
    <workbookView xWindow="0" yWindow="0" windowWidth="28800" windowHeight="12225" tabRatio="571" activeTab="3" xr2:uid="{00000000-000D-0000-FFFF-FFFF00000000}"/>
  </bookViews>
  <sheets>
    <sheet name="YTM" sheetId="1" r:id="rId1"/>
    <sheet name="YTC" sheetId="2" r:id="rId2"/>
    <sheet name="Call Schedule" sheetId="3" r:id="rId3"/>
    <sheet name="Price Yield Curve" sheetId="4" r:id="rId4"/>
  </sheets>
  <definedNames>
    <definedName name="solver_adj" localSheetId="1" hidden="1">YTC!$K$17</definedName>
    <definedName name="solver_adj" localSheetId="0" hidden="1">YTM!$K$17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YTC!$I$20</definedName>
    <definedName name="solver_opt" localSheetId="0" hidden="1">YTM!$I$21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9985.25</definedName>
    <definedName name="solver_val" localSheetId="0" hidden="1">9985.25</definedName>
    <definedName name="solver_ver" localSheetId="1" hidden="1">3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D44" i="4" l="1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3" i="4"/>
  <c r="D13" i="4"/>
  <c r="C12" i="4"/>
  <c r="D12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M24" i="3"/>
  <c r="M25" i="3" s="1"/>
  <c r="M20" i="3"/>
  <c r="M21" i="3" s="1"/>
  <c r="M22" i="3" s="1"/>
  <c r="M23" i="3" s="1"/>
  <c r="M16" i="3"/>
  <c r="M17" i="3"/>
  <c r="M18" i="3" s="1"/>
  <c r="M19" i="3" s="1"/>
  <c r="M14" i="3"/>
  <c r="M15" i="3" s="1"/>
  <c r="M13" i="3"/>
  <c r="M12" i="3"/>
  <c r="M11" i="3"/>
  <c r="M10" i="3"/>
  <c r="M9" i="3"/>
  <c r="M8" i="3"/>
  <c r="M7" i="3"/>
  <c r="M5" i="3"/>
  <c r="I72" i="2"/>
  <c r="G72" i="2"/>
  <c r="G73" i="1"/>
  <c r="I13" i="1"/>
  <c r="O18" i="1"/>
  <c r="B5" i="4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47" i="2"/>
  <c r="I48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47" i="2"/>
  <c r="G48" i="2"/>
  <c r="G49" i="2"/>
  <c r="G50" i="2"/>
  <c r="G51" i="2"/>
  <c r="G46" i="2"/>
  <c r="G45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B66" i="2"/>
  <c r="B67" i="2"/>
  <c r="B68" i="2"/>
  <c r="B69" i="2"/>
  <c r="B70" i="2"/>
  <c r="B71" i="2"/>
  <c r="B72" i="2"/>
  <c r="B60" i="2"/>
  <c r="B61" i="2"/>
  <c r="B62" i="2"/>
  <c r="B63" i="2"/>
  <c r="B64" i="2"/>
  <c r="B65" i="2"/>
  <c r="B51" i="2"/>
  <c r="B52" i="2"/>
  <c r="B53" i="2"/>
  <c r="B54" i="2"/>
  <c r="B55" i="2"/>
  <c r="B56" i="2"/>
  <c r="B57" i="2"/>
  <c r="B58" i="2"/>
  <c r="B59" i="2"/>
  <c r="B50" i="2"/>
  <c r="B49" i="2"/>
  <c r="B48" i="2"/>
  <c r="B47" i="2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B73" i="1"/>
  <c r="B69" i="1"/>
  <c r="B70" i="1"/>
  <c r="B71" i="1"/>
  <c r="B72" i="1"/>
  <c r="B63" i="1"/>
  <c r="B64" i="1"/>
  <c r="B65" i="1"/>
  <c r="B66" i="1"/>
  <c r="B67" i="1"/>
  <c r="B6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G49" i="1"/>
  <c r="G48" i="1"/>
  <c r="D49" i="1"/>
  <c r="B49" i="1"/>
  <c r="O7" i="1"/>
  <c r="Q5" i="3" l="1"/>
  <c r="O19" i="1" l="1"/>
  <c r="I51" i="1" l="1"/>
  <c r="I66" i="1"/>
  <c r="I69" i="1"/>
  <c r="I53" i="1"/>
  <c r="I62" i="1"/>
  <c r="I50" i="1"/>
  <c r="I60" i="1"/>
  <c r="I65" i="1"/>
  <c r="I64" i="1"/>
  <c r="I61" i="1"/>
  <c r="I55" i="1"/>
  <c r="I73" i="1"/>
  <c r="I52" i="1"/>
  <c r="I58" i="1"/>
  <c r="I72" i="1"/>
  <c r="I63" i="1"/>
  <c r="I49" i="1"/>
  <c r="I67" i="1"/>
  <c r="I56" i="1"/>
  <c r="I71" i="1"/>
  <c r="I68" i="1"/>
  <c r="I59" i="1"/>
  <c r="I48" i="1"/>
  <c r="I57" i="1"/>
  <c r="I70" i="1"/>
  <c r="I54" i="1"/>
  <c r="P11" i="1"/>
  <c r="P4" i="1"/>
  <c r="I5" i="3" l="1"/>
  <c r="I6" i="3"/>
  <c r="I7" i="3"/>
  <c r="D11" i="3" l="1"/>
  <c r="D12" i="3"/>
  <c r="P5" i="3" s="1"/>
  <c r="I10" i="2"/>
  <c r="I7" i="2"/>
  <c r="I6" i="2"/>
  <c r="I5" i="2"/>
  <c r="D9" i="2"/>
  <c r="D9" i="3" s="1"/>
  <c r="D8" i="2"/>
  <c r="D8" i="3" s="1"/>
  <c r="D7" i="2"/>
  <c r="D7" i="3" s="1"/>
  <c r="D6" i="2"/>
  <c r="D6" i="3" s="1"/>
  <c r="D5" i="2"/>
  <c r="D5" i="3" s="1"/>
  <c r="I11" i="1"/>
  <c r="P8" i="1"/>
  <c r="O6" i="1"/>
  <c r="P5" i="1"/>
  <c r="D23" i="1" s="1"/>
  <c r="D48" i="1" l="1"/>
  <c r="D24" i="1"/>
  <c r="D36" i="1"/>
  <c r="D47" i="1"/>
  <c r="D46" i="1"/>
  <c r="D45" i="1"/>
  <c r="D28" i="1"/>
  <c r="D44" i="1"/>
  <c r="D42" i="1"/>
  <c r="D34" i="1"/>
  <c r="D41" i="1"/>
  <c r="D33" i="1"/>
  <c r="D32" i="1"/>
  <c r="D39" i="1"/>
  <c r="D30" i="1"/>
  <c r="D25" i="1"/>
  <c r="D43" i="1"/>
  <c r="D31" i="1"/>
  <c r="D35" i="1"/>
  <c r="D37" i="1"/>
  <c r="D40" i="1"/>
  <c r="D27" i="1"/>
  <c r="D29" i="1"/>
  <c r="D38" i="1"/>
  <c r="D26" i="1"/>
  <c r="G27" i="1"/>
  <c r="G47" i="1"/>
  <c r="G44" i="1"/>
  <c r="I44" i="1" s="1"/>
  <c r="G46" i="1"/>
  <c r="G42" i="1"/>
  <c r="G43" i="1"/>
  <c r="G41" i="1"/>
  <c r="G45" i="1"/>
  <c r="B24" i="1"/>
  <c r="B42" i="1"/>
  <c r="B43" i="1"/>
  <c r="B44" i="1"/>
  <c r="B45" i="1"/>
  <c r="B46" i="1"/>
  <c r="B41" i="1"/>
  <c r="B47" i="1"/>
  <c r="B48" i="1"/>
  <c r="Q6" i="3"/>
  <c r="Q8" i="3"/>
  <c r="Q9" i="3"/>
  <c r="Q10" i="3"/>
  <c r="R10" i="3" s="1"/>
  <c r="Q7" i="3"/>
  <c r="G26" i="1"/>
  <c r="G36" i="1"/>
  <c r="G32" i="1"/>
  <c r="G31" i="1"/>
  <c r="G38" i="1"/>
  <c r="P5" i="2"/>
  <c r="D22" i="2" s="1"/>
  <c r="B23" i="1"/>
  <c r="B26" i="1"/>
  <c r="B38" i="1"/>
  <c r="B34" i="1"/>
  <c r="B30" i="1"/>
  <c r="B37" i="1"/>
  <c r="B33" i="1"/>
  <c r="B29" i="1"/>
  <c r="B25" i="1"/>
  <c r="G40" i="1"/>
  <c r="G35" i="1"/>
  <c r="G30" i="1"/>
  <c r="G24" i="1"/>
  <c r="B40" i="1"/>
  <c r="B36" i="1"/>
  <c r="B32" i="1"/>
  <c r="B28" i="1"/>
  <c r="O6" i="2"/>
  <c r="G39" i="1"/>
  <c r="G34" i="1"/>
  <c r="I34" i="1" s="1"/>
  <c r="G28" i="1"/>
  <c r="I28" i="1" s="1"/>
  <c r="B39" i="1"/>
  <c r="B35" i="1"/>
  <c r="B31" i="1"/>
  <c r="B27" i="1"/>
  <c r="I12" i="1"/>
  <c r="P14" i="1" s="1"/>
  <c r="G23" i="1"/>
  <c r="I23" i="1" s="1"/>
  <c r="G37" i="1"/>
  <c r="G33" i="1"/>
  <c r="G29" i="1"/>
  <c r="G25" i="1"/>
  <c r="I11" i="2"/>
  <c r="O7" i="2"/>
  <c r="P4" i="2"/>
  <c r="P8" i="2"/>
  <c r="R9" i="3" l="1"/>
  <c r="I47" i="1"/>
  <c r="I31" i="1"/>
  <c r="I42" i="1"/>
  <c r="I43" i="1"/>
  <c r="I29" i="1"/>
  <c r="I46" i="1"/>
  <c r="I37" i="1"/>
  <c r="I27" i="1"/>
  <c r="I36" i="1"/>
  <c r="I45" i="1"/>
  <c r="I35" i="1"/>
  <c r="I33" i="1"/>
  <c r="I24" i="1"/>
  <c r="I30" i="1"/>
  <c r="R7" i="3"/>
  <c r="R6" i="3"/>
  <c r="I39" i="1"/>
  <c r="R5" i="3"/>
  <c r="D35" i="2"/>
  <c r="D34" i="2"/>
  <c r="D33" i="2"/>
  <c r="D27" i="2"/>
  <c r="D32" i="2"/>
  <c r="D43" i="2"/>
  <c r="D39" i="2"/>
  <c r="D31" i="2"/>
  <c r="D46" i="2"/>
  <c r="D30" i="2"/>
  <c r="D40" i="2"/>
  <c r="D45" i="2"/>
  <c r="D29" i="2"/>
  <c r="D44" i="2"/>
  <c r="D28" i="2"/>
  <c r="I28" i="2" s="1"/>
  <c r="D23" i="2"/>
  <c r="D42" i="2"/>
  <c r="D26" i="2"/>
  <c r="D41" i="2"/>
  <c r="D25" i="2"/>
  <c r="D37" i="2"/>
  <c r="D24" i="2"/>
  <c r="D38" i="2"/>
  <c r="D36" i="2"/>
  <c r="G36" i="2"/>
  <c r="G37" i="2"/>
  <c r="G31" i="2"/>
  <c r="G33" i="2"/>
  <c r="G38" i="2"/>
  <c r="G39" i="2"/>
  <c r="G40" i="2"/>
  <c r="G28" i="2"/>
  <c r="G41" i="2"/>
  <c r="I41" i="2" s="1"/>
  <c r="G42" i="2"/>
  <c r="G43" i="2"/>
  <c r="G29" i="2"/>
  <c r="G32" i="2"/>
  <c r="G44" i="2"/>
  <c r="G30" i="2"/>
  <c r="G34" i="2"/>
  <c r="G35" i="2"/>
  <c r="I38" i="1"/>
  <c r="B43" i="2"/>
  <c r="B33" i="2"/>
  <c r="B44" i="2"/>
  <c r="B45" i="2"/>
  <c r="B35" i="2"/>
  <c r="B46" i="2"/>
  <c r="B38" i="2"/>
  <c r="B39" i="2"/>
  <c r="B40" i="2"/>
  <c r="B29" i="2"/>
  <c r="B30" i="2"/>
  <c r="B34" i="2"/>
  <c r="B31" i="2"/>
  <c r="B32" i="2"/>
  <c r="B41" i="2"/>
  <c r="B36" i="2"/>
  <c r="B37" i="2"/>
  <c r="B42" i="2"/>
  <c r="I25" i="1"/>
  <c r="I32" i="1"/>
  <c r="R8" i="3"/>
  <c r="I40" i="1"/>
  <c r="I26" i="1"/>
  <c r="B9" i="4"/>
  <c r="B4" i="4"/>
  <c r="G24" i="2"/>
  <c r="I24" i="2" s="1"/>
  <c r="I12" i="2"/>
  <c r="I13" i="2" s="1"/>
  <c r="G25" i="2"/>
  <c r="G27" i="2"/>
  <c r="G22" i="2"/>
  <c r="I22" i="2" s="1"/>
  <c r="G26" i="2"/>
  <c r="G23" i="2"/>
  <c r="B28" i="2"/>
  <c r="B26" i="2"/>
  <c r="B24" i="2"/>
  <c r="B22" i="2"/>
  <c r="B27" i="2"/>
  <c r="B25" i="2"/>
  <c r="B23" i="2"/>
  <c r="I36" i="2" l="1"/>
  <c r="I33" i="2"/>
  <c r="I23" i="2"/>
  <c r="I35" i="2"/>
  <c r="I37" i="2"/>
  <c r="I34" i="2"/>
  <c r="I30" i="2"/>
  <c r="I43" i="2"/>
  <c r="I25" i="2"/>
  <c r="I44" i="2"/>
  <c r="I26" i="2"/>
  <c r="I32" i="2"/>
  <c r="I39" i="2"/>
  <c r="I31" i="2"/>
  <c r="I27" i="2"/>
  <c r="I46" i="2"/>
  <c r="I29" i="2"/>
  <c r="I42" i="2"/>
  <c r="I40" i="2"/>
  <c r="I45" i="2"/>
  <c r="I38" i="2"/>
  <c r="I20" i="2" l="1"/>
  <c r="I41" i="1"/>
  <c r="I21" i="1" s="1"/>
  <c r="N51" i="1" l="1"/>
  <c r="P51" i="1" s="1"/>
  <c r="N58" i="1"/>
  <c r="P58" i="1" s="1"/>
  <c r="N61" i="1"/>
  <c r="P61" i="1" s="1"/>
  <c r="N56" i="1"/>
  <c r="P56" i="1" s="1"/>
  <c r="N54" i="1"/>
  <c r="P54" i="1" s="1"/>
  <c r="N60" i="1"/>
  <c r="P60" i="1" s="1"/>
  <c r="N62" i="1"/>
  <c r="P62" i="1" s="1"/>
  <c r="N53" i="1"/>
  <c r="P53" i="1" s="1"/>
  <c r="N52" i="1"/>
  <c r="P52" i="1" s="1"/>
  <c r="N65" i="1"/>
  <c r="P65" i="1" s="1"/>
  <c r="N69" i="1"/>
  <c r="P69" i="1" s="1"/>
  <c r="N68" i="1"/>
  <c r="P68" i="1" s="1"/>
  <c r="N49" i="1"/>
  <c r="P49" i="1" s="1"/>
  <c r="N55" i="1"/>
  <c r="P55" i="1" s="1"/>
  <c r="N72" i="1"/>
  <c r="P72" i="1" s="1"/>
  <c r="N59" i="1"/>
  <c r="P59" i="1" s="1"/>
  <c r="N50" i="1"/>
  <c r="P50" i="1" s="1"/>
  <c r="N67" i="1"/>
  <c r="P67" i="1" s="1"/>
  <c r="N70" i="1"/>
  <c r="P70" i="1" s="1"/>
  <c r="N66" i="1"/>
  <c r="P66" i="1" s="1"/>
  <c r="N71" i="1"/>
  <c r="P71" i="1" s="1"/>
  <c r="N63" i="1"/>
  <c r="P63" i="1" s="1"/>
  <c r="N73" i="1"/>
  <c r="P73" i="1" s="1"/>
  <c r="N57" i="1"/>
  <c r="P57" i="1" s="1"/>
  <c r="N64" i="1"/>
  <c r="P64" i="1" s="1"/>
  <c r="N40" i="1"/>
  <c r="P40" i="1" s="1"/>
  <c r="N46" i="1"/>
  <c r="P46" i="1" s="1"/>
  <c r="N47" i="1"/>
  <c r="P47" i="1" s="1"/>
  <c r="N45" i="1"/>
  <c r="P45" i="1" s="1"/>
  <c r="N43" i="1"/>
  <c r="P43" i="1" s="1"/>
  <c r="N44" i="1"/>
  <c r="P44" i="1" s="1"/>
  <c r="N42" i="1"/>
  <c r="P42" i="1" s="1"/>
  <c r="N48" i="1"/>
  <c r="P48" i="1" s="1"/>
  <c r="N41" i="1"/>
  <c r="P41" i="1" s="1"/>
  <c r="N29" i="1"/>
  <c r="P29" i="1" s="1"/>
  <c r="N24" i="1"/>
  <c r="P24" i="1" s="1"/>
  <c r="N39" i="1"/>
  <c r="P39" i="1" s="1"/>
  <c r="N27" i="1"/>
  <c r="P27" i="1" s="1"/>
  <c r="N32" i="1"/>
  <c r="P32" i="1" s="1"/>
  <c r="N28" i="1"/>
  <c r="P28" i="1" s="1"/>
  <c r="N36" i="1"/>
  <c r="P36" i="1" s="1"/>
  <c r="N35" i="1"/>
  <c r="P35" i="1" s="1"/>
  <c r="N33" i="1"/>
  <c r="P33" i="1" s="1"/>
  <c r="N31" i="1"/>
  <c r="P31" i="1" s="1"/>
  <c r="N30" i="1"/>
  <c r="P30" i="1" s="1"/>
  <c r="N25" i="1"/>
  <c r="P25" i="1" s="1"/>
  <c r="N23" i="1"/>
  <c r="P23" i="1" s="1"/>
  <c r="N26" i="1"/>
  <c r="P26" i="1" s="1"/>
  <c r="N37" i="1"/>
  <c r="P37" i="1" s="1"/>
  <c r="N34" i="1"/>
  <c r="P34" i="1" s="1"/>
  <c r="N38" i="1"/>
  <c r="P38" i="1" s="1"/>
  <c r="P21" i="1" l="1"/>
  <c r="P10" i="1" s="1"/>
  <c r="P12" i="1" s="1"/>
  <c r="B8" i="4" s="1"/>
</calcChain>
</file>

<file path=xl/sharedStrings.xml><?xml version="1.0" encoding="utf-8"?>
<sst xmlns="http://schemas.openxmlformats.org/spreadsheetml/2006/main" count="110" uniqueCount="60">
  <si>
    <t>YIELD TO MATURITY</t>
  </si>
  <si>
    <t>Bond Particulars</t>
  </si>
  <si>
    <t>Symbol:</t>
  </si>
  <si>
    <t>CUSIP:</t>
  </si>
  <si>
    <t>Issuer:</t>
  </si>
  <si>
    <t>Coupon:</t>
  </si>
  <si>
    <t>Maturity:</t>
  </si>
  <si>
    <t>Market Data</t>
  </si>
  <si>
    <t>Price Date: (NASD)</t>
  </si>
  <si>
    <t>Settlement:</t>
  </si>
  <si>
    <t>Price:</t>
  </si>
  <si>
    <t>Price Calculations</t>
  </si>
  <si>
    <t>Principal:</t>
  </si>
  <si>
    <t>Base price:</t>
  </si>
  <si>
    <t>Accrued interest:</t>
  </si>
  <si>
    <t>Invoice Price:</t>
  </si>
  <si>
    <t>Date Calculations</t>
  </si>
  <si>
    <t>Days to Accrue</t>
  </si>
  <si>
    <t>Days to Next Coupon</t>
  </si>
  <si>
    <t>Coupon</t>
  </si>
  <si>
    <t>Date of Next Coupon</t>
  </si>
  <si>
    <t>Coupons Remaining</t>
  </si>
  <si>
    <t>Duration (calculated)</t>
  </si>
  <si>
    <t>Duration (excel)</t>
  </si>
  <si>
    <t>Modified Duration</t>
  </si>
  <si>
    <t>Yield to Maturity</t>
  </si>
  <si>
    <t>days</t>
  </si>
  <si>
    <t>Total Payments</t>
  </si>
  <si>
    <t>Price</t>
  </si>
  <si>
    <t>Date</t>
  </si>
  <si>
    <t>Time</t>
  </si>
  <si>
    <t>NPV</t>
  </si>
  <si>
    <t>NPV/Price</t>
  </si>
  <si>
    <t>Duration</t>
  </si>
  <si>
    <t>YIELD TO CALL</t>
  </si>
  <si>
    <t>First Call Date:</t>
  </si>
  <si>
    <t>Call Price</t>
  </si>
  <si>
    <t>Yield to First Call</t>
  </si>
  <si>
    <t>CALL SCHEDULE</t>
  </si>
  <si>
    <t>Call Schedule</t>
  </si>
  <si>
    <t>Call</t>
  </si>
  <si>
    <t>YTC</t>
  </si>
  <si>
    <t>Yield to Worst</t>
  </si>
  <si>
    <t>PRICE YIELD CURVE</t>
  </si>
  <si>
    <t>Yield</t>
  </si>
  <si>
    <t>YTM:</t>
  </si>
  <si>
    <t>years</t>
  </si>
  <si>
    <t>Duration Only</t>
  </si>
  <si>
    <t>Modified duration</t>
  </si>
  <si>
    <t>Delta yield</t>
  </si>
  <si>
    <t>Y_</t>
  </si>
  <si>
    <t>Y+</t>
  </si>
  <si>
    <t>PV_</t>
  </si>
  <si>
    <t>PV+</t>
  </si>
  <si>
    <t>Effective convexity</t>
  </si>
  <si>
    <t>convexity</t>
  </si>
  <si>
    <t>Duration and convexity</t>
  </si>
  <si>
    <t>037833DQ0</t>
  </si>
  <si>
    <t>Apple Incorporation</t>
  </si>
  <si>
    <t>AAPL4880748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</si>
</sst>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[$-F800]dddd\,\ mmmm\ dd\,\ yyyy"/>
    <numFmt numFmtId="165" formatCode="[$-409]mmmm\ d\,\ yyyy;@"/>
    <numFmt numFmtId="166" formatCode="0.000"/>
    <numFmt numFmtId="167" formatCode="0.000%"/>
    <numFmt numFmtId="168" formatCode="#\ ??/180"/>
    <numFmt numFmtId="169" formatCode="#\ ???/180"/>
    <numFmt numFmtId="170" formatCode="0.0000"/>
    <numFmt numFmtId="171" formatCode="0.00000%"/>
    <numFmt numFmtId="172" formatCode="0.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/>
    <xf numFmtId="44" fontId="0" fillId="0" borderId="0" xfId="0" applyNumberFormat="1"/>
    <xf numFmtId="0" fontId="3" fillId="2" borderId="0" xfId="0" applyFont="1" applyFill="1" applyAlignment="1">
      <alignment horizontal="left"/>
    </xf>
    <xf numFmtId="167" fontId="0" fillId="0" borderId="0" xfId="2" applyNumberFormat="1" applyFont="1"/>
    <xf numFmtId="10" fontId="0" fillId="0" borderId="0" xfId="0" applyNumberFormat="1"/>
    <xf numFmtId="0" fontId="0" fillId="0" borderId="2" xfId="0" applyFont="1" applyBorder="1" applyAlignment="1">
      <alignment horizontal="center"/>
    </xf>
    <xf numFmtId="166" fontId="6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7" fontId="6" fillId="0" borderId="0" xfId="2" applyNumberFormat="1" applyFont="1"/>
    <xf numFmtId="167" fontId="0" fillId="0" borderId="0" xfId="2" applyNumberFormat="1" applyFont="1" applyAlignment="1"/>
    <xf numFmtId="170" fontId="0" fillId="0" borderId="0" xfId="0" applyNumberFormat="1"/>
    <xf numFmtId="10" fontId="8" fillId="0" borderId="0" xfId="0" applyNumberFormat="1" applyFont="1"/>
    <xf numFmtId="2" fontId="7" fillId="0" borderId="0" xfId="0" applyNumberFormat="1" applyFont="1"/>
    <xf numFmtId="2" fontId="0" fillId="0" borderId="0" xfId="0" applyNumberFormat="1"/>
    <xf numFmtId="2" fontId="8" fillId="0" borderId="0" xfId="0" applyNumberFormat="1" applyFont="1"/>
    <xf numFmtId="44" fontId="6" fillId="0" borderId="0" xfId="0" applyNumberFormat="1" applyFont="1"/>
    <xf numFmtId="167" fontId="0" fillId="0" borderId="0" xfId="0" applyNumberFormat="1"/>
    <xf numFmtId="167" fontId="0" fillId="3" borderId="0" xfId="2" applyNumberFormat="1" applyFont="1" applyFill="1"/>
    <xf numFmtId="171" fontId="6" fillId="0" borderId="0" xfId="2" applyNumberFormat="1" applyFont="1"/>
    <xf numFmtId="171" fontId="0" fillId="0" borderId="0" xfId="2" applyNumberFormat="1" applyFont="1"/>
    <xf numFmtId="172" fontId="0" fillId="0" borderId="0" xfId="0" applyNumberFormat="1"/>
    <xf numFmtId="0" fontId="0" fillId="0" borderId="0" xfId="0" applyFill="1"/>
    <xf numFmtId="10" fontId="0" fillId="0" borderId="0" xfId="0" applyNumberFormat="1" applyFont="1"/>
    <xf numFmtId="2" fontId="0" fillId="0" borderId="0" xfId="0" applyNumberFormat="1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5" fontId="0" fillId="0" borderId="0" xfId="0" applyNumberFormat="1" applyAlignment="1">
      <alignment horizontal="right"/>
    </xf>
    <xf numFmtId="0" fontId="3" fillId="2" borderId="0" xfId="0" applyFont="1" applyFill="1" applyAlignment="1">
      <alignment horizontal="left"/>
    </xf>
    <xf numFmtId="44" fontId="5" fillId="0" borderId="0" xfId="0" applyNumberFormat="1" applyFont="1" applyAlignment="1">
      <alignment horizontal="right"/>
    </xf>
    <xf numFmtId="4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0" fontId="6" fillId="0" borderId="0" xfId="0" applyFont="1" applyAlignment="1">
      <alignment horizontal="left"/>
    </xf>
    <xf numFmtId="1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right"/>
    </xf>
    <xf numFmtId="4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5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66" fontId="6" fillId="0" borderId="0" xfId="0" applyNumberFormat="1" applyFont="1" applyAlignment="1">
      <alignment horizontal="right"/>
    </xf>
    <xf numFmtId="167" fontId="6" fillId="0" borderId="0" xfId="2" applyNumberFormat="1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'Call Schedule'!$N$4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'Call Schedule'!$M$5:$M$10</c:f>
              <c:numCache>
                <c:formatCode>[$-409]mmmm\ d\,\ yyyy;@</c:formatCode>
                <c:ptCount val="6"/>
                <c:pt idx="0">
                  <c:v>47241</c:v>
                </c:pt>
                <c:pt idx="1">
                  <c:v>47606</c:v>
                </c:pt>
                <c:pt idx="2">
                  <c:v>47971</c:v>
                </c:pt>
                <c:pt idx="3">
                  <c:v>48337</c:v>
                </c:pt>
                <c:pt idx="4">
                  <c:v>48702</c:v>
                </c:pt>
                <c:pt idx="5">
                  <c:v>49067</c:v>
                </c:pt>
              </c:numCache>
            </c:numRef>
          </c:cat>
          <c:val>
            <c:numRef>
              <c:f>'Call Schedule'!$N$5:$N$10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5-4F77-AD88-F0AE3BAD9F00}"/>
            </c:ext>
          </c:extLst>
        </c:ser>
        <c:ser>
          <c:idx val="1"/>
          <c:order val="1"/>
          <c:tx>
            <c:strRef>
              <c:f>'Call Schedule'!$O$4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'Call Schedule'!$M$5:$M$10</c:f>
              <c:numCache>
                <c:formatCode>[$-409]mmmm\ d\,\ yyyy;@</c:formatCode>
                <c:ptCount val="6"/>
                <c:pt idx="0">
                  <c:v>47241</c:v>
                </c:pt>
                <c:pt idx="1">
                  <c:v>47606</c:v>
                </c:pt>
                <c:pt idx="2">
                  <c:v>47971</c:v>
                </c:pt>
                <c:pt idx="3">
                  <c:v>48337</c:v>
                </c:pt>
                <c:pt idx="4">
                  <c:v>48702</c:v>
                </c:pt>
                <c:pt idx="5">
                  <c:v>49067</c:v>
                </c:pt>
              </c:numCache>
            </c:numRef>
          </c:cat>
          <c:val>
            <c:numRef>
              <c:f>'Call Schedule'!$O$5:$O$10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5-4F77-AD88-F0AE3BAD9F00}"/>
            </c:ext>
          </c:extLst>
        </c:ser>
        <c:ser>
          <c:idx val="2"/>
          <c:order val="2"/>
          <c:tx>
            <c:strRef>
              <c:f>'Call Schedule'!$Q$4</c:f>
              <c:strCache>
                <c:ptCount val="1"/>
                <c:pt idx="0">
                  <c:v>YTC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'Call Schedule'!$M$5:$M$10</c:f>
              <c:numCache>
                <c:formatCode>[$-409]mmmm\ d\,\ yyyy;@</c:formatCode>
                <c:ptCount val="6"/>
                <c:pt idx="0">
                  <c:v>47241</c:v>
                </c:pt>
                <c:pt idx="1">
                  <c:v>47606</c:v>
                </c:pt>
                <c:pt idx="2">
                  <c:v>47971</c:v>
                </c:pt>
                <c:pt idx="3">
                  <c:v>48337</c:v>
                </c:pt>
                <c:pt idx="4">
                  <c:v>48702</c:v>
                </c:pt>
                <c:pt idx="5">
                  <c:v>49067</c:v>
                </c:pt>
              </c:numCache>
            </c:numRef>
          </c:cat>
          <c:val>
            <c:numRef>
              <c:f>'Call Schedule'!$Q$5:$Q$10</c:f>
              <c:numCache>
                <c:formatCode>0.00000%</c:formatCode>
                <c:ptCount val="6"/>
                <c:pt idx="0">
                  <c:v>5.3171974145602499E-2</c:v>
                </c:pt>
                <c:pt idx="1">
                  <c:v>0.10375995565951827</c:v>
                </c:pt>
                <c:pt idx="2">
                  <c:v>9.4029452527919014E-2</c:v>
                </c:pt>
                <c:pt idx="3">
                  <c:v>8.6775647164770112E-2</c:v>
                </c:pt>
                <c:pt idx="4">
                  <c:v>8.1163057954052806E-2</c:v>
                </c:pt>
                <c:pt idx="5">
                  <c:v>7.6693999519608202E-2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5-4F77-AD88-F0AE3BAD9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04848"/>
        <c:axId val="362901520"/>
      </c:lineChart>
      <c:dateAx>
        <c:axId val="36290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m\ d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1520"/>
        <c:crosses val="autoZero"/>
        <c:auto val="1"/>
        <c:lblOffset val="100"/>
        <c:baseTimeUnit val="months"/>
      </c:dateAx>
      <c:valAx>
        <c:axId val="3629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to 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89223781387903E-2"/>
          <c:y val="5.7954739629537962E-2"/>
          <c:w val="0.90321270694879796"/>
          <c:h val="0.92089075460648384"/>
        </c:manualLayout>
      </c:layout>
      <c:scatterChart>
        <c:scatterStyle val="smoothMarker"/>
        <c:varyColors val="0"/>
        <c:ser>
          <c:idx val="1"/>
          <c:order val="0"/>
          <c:tx>
            <c:v>Duration Only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'Price Yield Curve'!$A$12:$A$43</c:f>
              <c:numCache>
                <c:formatCode>0.00%</c:formatCode>
                <c:ptCount val="3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5.3170000000000002E-2</c:v>
                </c:pt>
                <c:pt idx="12">
                  <c:v>5.5E-2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0.14499999999999999</c:v>
                </c:pt>
                <c:pt idx="31">
                  <c:v>0.15</c:v>
                </c:pt>
              </c:numCache>
            </c:numRef>
          </c:xVal>
          <c:yVal>
            <c:numRef>
              <c:f>'Price Yield Curve'!$C$12:$C$43</c:f>
              <c:numCache>
                <c:formatCode>General</c:formatCode>
                <c:ptCount val="32"/>
                <c:pt idx="0">
                  <c:v>76.107818412032017</c:v>
                </c:pt>
                <c:pt idx="1">
                  <c:v>75.318081515618317</c:v>
                </c:pt>
                <c:pt idx="2">
                  <c:v>74.528344619204603</c:v>
                </c:pt>
                <c:pt idx="3">
                  <c:v>73.738607722790917</c:v>
                </c:pt>
                <c:pt idx="4">
                  <c:v>72.948870826377203</c:v>
                </c:pt>
                <c:pt idx="5">
                  <c:v>72.159133929963502</c:v>
                </c:pt>
                <c:pt idx="6">
                  <c:v>71.369397033549802</c:v>
                </c:pt>
                <c:pt idx="7">
                  <c:v>70.579660137136102</c:v>
                </c:pt>
                <c:pt idx="8">
                  <c:v>69.789923240722388</c:v>
                </c:pt>
                <c:pt idx="9">
                  <c:v>69.000186344308688</c:v>
                </c:pt>
                <c:pt idx="10">
                  <c:v>68.210449447894987</c:v>
                </c:pt>
                <c:pt idx="11">
                  <c:v>67.709756255568692</c:v>
                </c:pt>
                <c:pt idx="12">
                  <c:v>67.420712551481273</c:v>
                </c:pt>
                <c:pt idx="13">
                  <c:v>66.630975655067573</c:v>
                </c:pt>
                <c:pt idx="14">
                  <c:v>65.841238758653873</c:v>
                </c:pt>
                <c:pt idx="15">
                  <c:v>65.051501862240173</c:v>
                </c:pt>
                <c:pt idx="16">
                  <c:v>64.261764965826472</c:v>
                </c:pt>
                <c:pt idx="17">
                  <c:v>63.472028069412765</c:v>
                </c:pt>
                <c:pt idx="18">
                  <c:v>62.682291172999051</c:v>
                </c:pt>
                <c:pt idx="19">
                  <c:v>61.892554276585358</c:v>
                </c:pt>
                <c:pt idx="20">
                  <c:v>61.102817380171643</c:v>
                </c:pt>
                <c:pt idx="21">
                  <c:v>60.313080483757943</c:v>
                </c:pt>
                <c:pt idx="22">
                  <c:v>59.523343587344236</c:v>
                </c:pt>
                <c:pt idx="23">
                  <c:v>58.733606690930536</c:v>
                </c:pt>
                <c:pt idx="24">
                  <c:v>57.943869794516836</c:v>
                </c:pt>
                <c:pt idx="25">
                  <c:v>57.154132898103128</c:v>
                </c:pt>
                <c:pt idx="26">
                  <c:v>56.364396001689428</c:v>
                </c:pt>
                <c:pt idx="27">
                  <c:v>55.574659105275721</c:v>
                </c:pt>
                <c:pt idx="28">
                  <c:v>54.784922208862021</c:v>
                </c:pt>
                <c:pt idx="29">
                  <c:v>53.995185312448314</c:v>
                </c:pt>
                <c:pt idx="30">
                  <c:v>53.205448416034614</c:v>
                </c:pt>
                <c:pt idx="31">
                  <c:v>52.415711519620913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BF-4AE7-8FBE-F98936792F0D}"/>
            </c:ext>
          </c:extLst>
        </c:ser>
        <c:ser>
          <c:idx val="2"/>
          <c:order val="1"/>
          <c:tx>
            <c:v>Duration and Convexity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'Price Yield Curve'!$A$12:$A$43</c:f>
              <c:numCache>
                <c:formatCode>0.00%</c:formatCode>
                <c:ptCount val="3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5.3170000000000002E-2</c:v>
                </c:pt>
                <c:pt idx="12">
                  <c:v>5.5E-2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0.14499999999999999</c:v>
                </c:pt>
                <c:pt idx="31">
                  <c:v>0.15</c:v>
                </c:pt>
              </c:numCache>
            </c:numRef>
          </c:xVal>
          <c:yVal>
            <c:numRef>
              <c:f>'Price Yield Curve'!$D$12:$D$43</c:f>
              <c:numCache>
                <c:formatCode>0.0000</c:formatCode>
                <c:ptCount val="32"/>
                <c:pt idx="0">
                  <c:v>107.93018729410814</c:v>
                </c:pt>
                <c:pt idx="1">
                  <c:v>101.43703819664499</c:v>
                </c:pt>
                <c:pt idx="2">
                  <c:v>95.506666876959031</c:v>
                </c:pt>
                <c:pt idx="3">
                  <c:v>90.139073335050327</c:v>
                </c:pt>
                <c:pt idx="4">
                  <c:v>85.334257570918837</c:v>
                </c:pt>
                <c:pt idx="5">
                  <c:v>81.092219584564575</c:v>
                </c:pt>
                <c:pt idx="6">
                  <c:v>77.412959375987541</c:v>
                </c:pt>
                <c:pt idx="7">
                  <c:v>74.296476945187763</c:v>
                </c:pt>
                <c:pt idx="8">
                  <c:v>71.742772292165171</c:v>
                </c:pt>
                <c:pt idx="9">
                  <c:v>69.751845416919835</c:v>
                </c:pt>
                <c:pt idx="10">
                  <c:v>68.323696319451713</c:v>
                </c:pt>
                <c:pt idx="11">
                  <c:v>67.709756299434417</c:v>
                </c:pt>
                <c:pt idx="12">
                  <c:v>67.458324999760819</c:v>
                </c:pt>
                <c:pt idx="13">
                  <c:v>67.155731457847168</c:v>
                </c:pt>
                <c:pt idx="14">
                  <c:v>67.41591569371073</c:v>
                </c:pt>
                <c:pt idx="15">
                  <c:v>68.238877707351534</c:v>
                </c:pt>
                <c:pt idx="16">
                  <c:v>69.624617498769553</c:v>
                </c:pt>
                <c:pt idx="17">
                  <c:v>71.573135067964799</c:v>
                </c:pt>
                <c:pt idx="18">
                  <c:v>74.084430414937273</c:v>
                </c:pt>
                <c:pt idx="19">
                  <c:v>77.15850353968699</c:v>
                </c:pt>
                <c:pt idx="20">
                  <c:v>80.79535444221392</c:v>
                </c:pt>
                <c:pt idx="21">
                  <c:v>84.994983122518093</c:v>
                </c:pt>
                <c:pt idx="22">
                  <c:v>89.757389580599479</c:v>
                </c:pt>
                <c:pt idx="23">
                  <c:v>95.082573816458094</c:v>
                </c:pt>
                <c:pt idx="24">
                  <c:v>100.97053583009395</c:v>
                </c:pt>
                <c:pt idx="25">
                  <c:v>107.42127562150704</c:v>
                </c:pt>
                <c:pt idx="26">
                  <c:v>114.43479319069733</c:v>
                </c:pt>
                <c:pt idx="27">
                  <c:v>122.01108853766488</c:v>
                </c:pt>
                <c:pt idx="28">
                  <c:v>130.15016166240963</c:v>
                </c:pt>
                <c:pt idx="29">
                  <c:v>138.85201256493164</c:v>
                </c:pt>
                <c:pt idx="30">
                  <c:v>148.11664124523082</c:v>
                </c:pt>
                <c:pt idx="31">
                  <c:v>157.94404770330726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BF-4AE7-8FBE-F98936792F0D}"/>
            </c:ext>
          </c:extLst>
        </c:ser>
        <c:ser>
          <c:idx val="0"/>
          <c:order val="2"/>
          <c:tx>
            <c:v>Price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'Price Yield Curve'!$A$12:$A$43</c:f>
              <c:numCache>
                <c:formatCode>0.00%</c:formatCode>
                <c:ptCount val="3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5.3170000000000002E-2</c:v>
                </c:pt>
                <c:pt idx="12">
                  <c:v>5.5E-2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0.14499999999999999</c:v>
                </c:pt>
                <c:pt idx="31">
                  <c:v>0.15</c:v>
                </c:pt>
              </c:numCache>
            </c:numRef>
          </c:xVal>
          <c:yVal>
            <c:numRef>
              <c:f>'Price Yield Curve'!$B$12:$B$43</c:f>
              <c:numCache>
                <c:formatCode>0.00</c:formatCode>
                <c:ptCount val="32"/>
                <c:pt idx="0">
                  <c:v>144.86000000000001</c:v>
                </c:pt>
                <c:pt idx="1">
                  <c:v>141.11000000000001</c:v>
                </c:pt>
                <c:pt idx="2">
                  <c:v>137.44999999999999</c:v>
                </c:pt>
                <c:pt idx="3">
                  <c:v>133.88999999999999</c:v>
                </c:pt>
                <c:pt idx="4">
                  <c:v>130.41999999999999</c:v>
                </c:pt>
                <c:pt idx="5">
                  <c:v>127.05</c:v>
                </c:pt>
                <c:pt idx="6">
                  <c:v>123.76</c:v>
                </c:pt>
                <c:pt idx="7">
                  <c:v>120.55</c:v>
                </c:pt>
                <c:pt idx="8">
                  <c:v>117.43</c:v>
                </c:pt>
                <c:pt idx="9">
                  <c:v>114.39</c:v>
                </c:pt>
                <c:pt idx="10">
                  <c:v>111.43</c:v>
                </c:pt>
                <c:pt idx="11">
                  <c:v>108.54</c:v>
                </c:pt>
                <c:pt idx="12">
                  <c:v>105.73</c:v>
                </c:pt>
                <c:pt idx="13">
                  <c:v>102.99</c:v>
                </c:pt>
                <c:pt idx="14">
                  <c:v>100.32</c:v>
                </c:pt>
                <c:pt idx="15">
                  <c:v>97.73</c:v>
                </c:pt>
                <c:pt idx="16">
                  <c:v>95.2</c:v>
                </c:pt>
                <c:pt idx="17">
                  <c:v>92.73</c:v>
                </c:pt>
                <c:pt idx="18">
                  <c:v>87.99</c:v>
                </c:pt>
                <c:pt idx="19">
                  <c:v>85.71</c:v>
                </c:pt>
                <c:pt idx="20">
                  <c:v>83.49</c:v>
                </c:pt>
                <c:pt idx="21">
                  <c:v>81.33</c:v>
                </c:pt>
                <c:pt idx="22">
                  <c:v>79.22</c:v>
                </c:pt>
                <c:pt idx="23">
                  <c:v>77.17</c:v>
                </c:pt>
                <c:pt idx="24">
                  <c:v>75.17</c:v>
                </c:pt>
                <c:pt idx="25">
                  <c:v>73.23</c:v>
                </c:pt>
                <c:pt idx="26">
                  <c:v>71.33</c:v>
                </c:pt>
                <c:pt idx="27">
                  <c:v>69.48</c:v>
                </c:pt>
                <c:pt idx="28">
                  <c:v>67.680000000000007</c:v>
                </c:pt>
                <c:pt idx="29">
                  <c:v>65.930000000000007</c:v>
                </c:pt>
                <c:pt idx="30">
                  <c:v>64.22</c:v>
                </c:pt>
                <c:pt idx="31">
                  <c:v>62.56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BF-4AE7-8FBE-F9893679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14815"/>
        <c:axId val="658215759"/>
      </c:scatterChart>
      <c:valAx>
        <c:axId val="658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15759"/>
        <c:crosses val="autoZero"/>
        <c:crossBetween val="midCat"/>
      </c:valAx>
      <c:valAx>
        <c:axId val="6582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1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100108</xdr:colOff>
      <xdr:row>13</xdr:row>
      <xdr:rowOff>18270</xdr:rowOff>
    </xdr:from>
    <xdr:to>
      <xdr:col>10</xdr:col>
      <xdr:colOff>485968</xdr:colOff>
      <xdr:row>29</xdr:row>
      <xdr:rowOff>48596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58049</xdr:colOff>
      <xdr:row>1</xdr:row>
      <xdr:rowOff>46996</xdr:rowOff>
    </xdr:from>
    <xdr:to>
      <xdr:col>20</xdr:col>
      <xdr:colOff>200025</xdr:colOff>
      <xdr:row>36</xdr:row>
      <xdr:rowOff>22574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35571-2E39-9E46-A3E1-31700CEB6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zoomScale="105" zoomScaleNormal="105" workbookViewId="0">
      <selection activeCell="AC38" sqref="AC38"/>
    </sheetView>
  </sheetViews>
  <sheetFormatPr defaultColWidth="8.85546875" defaultRowHeight="15" x14ac:dyDescent="0.25"/>
  <cols>
    <col min="1" max="1" width="3" customWidth="1"/>
    <col min="3" max="3" width="11.85546875" customWidth="1"/>
    <col min="6" max="6" width="2.7109375" customWidth="1"/>
    <col min="8" max="8" width="7.85546875" customWidth="1"/>
    <col min="9" max="9" width="10.42578125" bestFit="1" customWidth="1"/>
    <col min="11" max="11" width="10.7109375" customWidth="1"/>
    <col min="12" max="12" width="2.42578125" customWidth="1"/>
    <col min="13" max="13" width="8.85546875" customWidth="1"/>
    <col min="14" max="14" width="10.7109375" customWidth="1"/>
    <col min="16" max="16" width="10.85546875" customWidth="1"/>
    <col min="18" max="18" width="11.85546875" customWidth="1"/>
    <col min="19" max="19" width="14.7109375" customWidth="1"/>
  </cols>
  <sheetData>
    <row r="1" spans="1:19" s="3" customFormat="1" x14ac:dyDescent="0.25">
      <c r="A1" s="39" t="s">
        <v>0</v>
      </c>
      <c r="B1" s="39"/>
      <c r="C1" s="39"/>
    </row>
    <row r="3" spans="1:19" x14ac:dyDescent="0.25">
      <c r="A3" s="1"/>
      <c r="B3" s="7" t="s">
        <v>1</v>
      </c>
      <c r="C3" s="7"/>
      <c r="D3" s="7"/>
      <c r="E3" s="7"/>
      <c r="G3" s="7" t="s">
        <v>7</v>
      </c>
      <c r="H3" s="7"/>
      <c r="I3" s="7"/>
      <c r="J3" s="7"/>
      <c r="K3" s="7"/>
      <c r="M3" s="2" t="s">
        <v>16</v>
      </c>
      <c r="N3" s="2"/>
      <c r="O3" s="2"/>
      <c r="P3" s="2"/>
      <c r="Q3" s="2"/>
      <c r="R3" s="2"/>
      <c r="S3" s="2"/>
    </row>
    <row r="4" spans="1:19" x14ac:dyDescent="0.25">
      <c r="A4" s="1"/>
      <c r="M4" t="s">
        <v>17</v>
      </c>
      <c r="P4">
        <f>COUPDAYBS(I6,C9,2,0)</f>
        <v>56</v>
      </c>
      <c r="Q4" t="s">
        <v>26</v>
      </c>
    </row>
    <row r="5" spans="1:19" x14ac:dyDescent="0.25">
      <c r="A5" s="1"/>
      <c r="B5" t="s">
        <v>2</v>
      </c>
      <c r="C5" s="35" t="s">
        <v>59</v>
      </c>
      <c r="D5" s="35"/>
      <c r="E5" s="35"/>
      <c r="G5" t="s">
        <v>8</v>
      </c>
      <c r="I5" s="38">
        <v>45415</v>
      </c>
      <c r="J5" s="38"/>
      <c r="K5" s="38"/>
      <c r="M5" t="s">
        <v>18</v>
      </c>
      <c r="P5">
        <f>COUPDAYSNC(I6,C9,2,0)</f>
        <v>124</v>
      </c>
      <c r="Q5" t="s">
        <v>26</v>
      </c>
    </row>
    <row r="6" spans="1:19" x14ac:dyDescent="0.25">
      <c r="A6" s="1"/>
      <c r="B6" t="s">
        <v>3</v>
      </c>
      <c r="C6" s="35" t="s">
        <v>57</v>
      </c>
      <c r="D6" s="35"/>
      <c r="E6" s="35"/>
      <c r="G6" t="s">
        <v>9</v>
      </c>
      <c r="I6" s="38">
        <v>45419</v>
      </c>
      <c r="J6" s="38"/>
      <c r="K6" s="38"/>
      <c r="M6" t="s">
        <v>19</v>
      </c>
      <c r="O6" s="30">
        <f>I10*(C8/2)</f>
        <v>147.5</v>
      </c>
      <c r="P6" s="30"/>
    </row>
    <row r="7" spans="1:19" x14ac:dyDescent="0.25">
      <c r="A7" s="1"/>
      <c r="B7" t="s">
        <v>4</v>
      </c>
      <c r="C7" s="35" t="s">
        <v>58</v>
      </c>
      <c r="D7" s="35"/>
      <c r="E7" s="35"/>
      <c r="G7" t="s">
        <v>10</v>
      </c>
      <c r="I7" s="35">
        <v>67.48</v>
      </c>
      <c r="J7" s="35"/>
      <c r="K7" s="35"/>
      <c r="M7" t="s">
        <v>20</v>
      </c>
      <c r="O7" s="41">
        <f>COUPNCD(I6,C9,2,0)</f>
        <v>45546</v>
      </c>
      <c r="P7" s="41"/>
    </row>
    <row r="8" spans="1:19" x14ac:dyDescent="0.25">
      <c r="A8" s="1"/>
      <c r="B8" t="s">
        <v>5</v>
      </c>
      <c r="C8" s="36">
        <v>2.9499999999999998E-2</v>
      </c>
      <c r="D8" s="35"/>
      <c r="E8" s="35"/>
      <c r="M8" t="s">
        <v>21</v>
      </c>
      <c r="P8">
        <f>COUPNUM(I6,C9,2,0)</f>
        <v>51</v>
      </c>
    </row>
    <row r="9" spans="1:19" x14ac:dyDescent="0.25">
      <c r="A9" s="1"/>
      <c r="B9" t="s">
        <v>6</v>
      </c>
      <c r="C9" s="37">
        <v>54677</v>
      </c>
      <c r="D9" s="37"/>
      <c r="E9" s="37"/>
      <c r="G9" s="2" t="s">
        <v>11</v>
      </c>
      <c r="H9" s="2"/>
      <c r="I9" s="2"/>
      <c r="J9" s="2"/>
      <c r="K9" s="2"/>
    </row>
    <row r="10" spans="1:19" x14ac:dyDescent="0.25">
      <c r="A10" s="1"/>
      <c r="G10" t="s">
        <v>12</v>
      </c>
      <c r="I10" s="43">
        <v>10000</v>
      </c>
      <c r="J10" s="43"/>
      <c r="K10" s="43"/>
      <c r="M10" t="s">
        <v>22</v>
      </c>
      <c r="P10">
        <f>P21/2</f>
        <v>2.3947407573189539</v>
      </c>
      <c r="Q10" t="s">
        <v>46</v>
      </c>
    </row>
    <row r="11" spans="1:19" x14ac:dyDescent="0.25">
      <c r="A11" s="1"/>
      <c r="G11" t="s">
        <v>13</v>
      </c>
      <c r="I11" s="30">
        <f>I10*I7%</f>
        <v>6748.0000000000009</v>
      </c>
      <c r="J11" s="31"/>
      <c r="K11" s="31"/>
      <c r="M11" t="s">
        <v>23</v>
      </c>
      <c r="P11">
        <f>DURATION(I6,C9,C8,K17,2,0)</f>
        <v>16.044344590828008</v>
      </c>
      <c r="Q11" t="s">
        <v>46</v>
      </c>
    </row>
    <row r="12" spans="1:19" x14ac:dyDescent="0.25">
      <c r="A12" s="1"/>
      <c r="G12" t="s">
        <v>14</v>
      </c>
      <c r="I12" s="44">
        <f>(P4/360)*O6</f>
        <v>22.944444444444446</v>
      </c>
      <c r="J12" s="45"/>
      <c r="K12" s="45"/>
      <c r="M12" t="s">
        <v>24</v>
      </c>
      <c r="P12">
        <f>P10/(1+K17/2)</f>
        <v>2.3327230134392321</v>
      </c>
    </row>
    <row r="13" spans="1:19" ht="15.75" thickBot="1" x14ac:dyDescent="0.3">
      <c r="A13" s="1"/>
      <c r="G13" t="s">
        <v>15</v>
      </c>
      <c r="I13" s="46">
        <f>I11+I12</f>
        <v>6770.9444444444453</v>
      </c>
      <c r="J13" s="47"/>
      <c r="K13" s="47"/>
    </row>
    <row r="14" spans="1:19" ht="15.75" thickTop="1" x14ac:dyDescent="0.25">
      <c r="A14" s="1"/>
      <c r="M14" t="s">
        <v>54</v>
      </c>
      <c r="P14">
        <f>(S18+S19-2*I13)/(I13*O17^2)</f>
        <v>332.46633901359911</v>
      </c>
    </row>
    <row r="15" spans="1:19" x14ac:dyDescent="0.25">
      <c r="A15" s="1"/>
    </row>
    <row r="16" spans="1:19" x14ac:dyDescent="0.25">
      <c r="A16" s="1"/>
    </row>
    <row r="17" spans="1:19" x14ac:dyDescent="0.25">
      <c r="A17" s="1"/>
      <c r="G17" s="42" t="s">
        <v>25</v>
      </c>
      <c r="H17" s="42"/>
      <c r="K17" s="23">
        <v>5.3171974145602499E-2</v>
      </c>
      <c r="M17" s="22">
        <v>5.3171974145602499E-2</v>
      </c>
      <c r="N17" t="s">
        <v>49</v>
      </c>
      <c r="O17" s="22">
        <v>1E-3</v>
      </c>
    </row>
    <row r="18" spans="1:19" x14ac:dyDescent="0.25">
      <c r="A18" s="1"/>
      <c r="K18" s="8"/>
      <c r="N18" t="s">
        <v>50</v>
      </c>
      <c r="O18">
        <f>M17-O17</f>
        <v>5.2171974145602498E-2</v>
      </c>
      <c r="P18" t="s">
        <v>52</v>
      </c>
      <c r="S18" s="6">
        <v>6877.9</v>
      </c>
    </row>
    <row r="19" spans="1:19" x14ac:dyDescent="0.25">
      <c r="A19" s="1"/>
      <c r="N19" t="s">
        <v>51</v>
      </c>
      <c r="O19">
        <f>M17+O17</f>
        <v>5.41719741456025E-2</v>
      </c>
      <c r="P19" t="s">
        <v>53</v>
      </c>
      <c r="S19" s="6">
        <v>6666.24</v>
      </c>
    </row>
    <row r="20" spans="1:19" x14ac:dyDescent="0.25">
      <c r="A20" s="1"/>
      <c r="B20" s="2"/>
      <c r="C20" s="2"/>
      <c r="D20" s="2"/>
      <c r="E20" s="2"/>
      <c r="F20" s="2"/>
      <c r="G20" s="42" t="s">
        <v>27</v>
      </c>
      <c r="H20" s="42"/>
      <c r="I20" s="40" t="s">
        <v>28</v>
      </c>
      <c r="J20" s="40"/>
      <c r="K20" s="40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1"/>
      <c r="I21" s="48">
        <f>SUM(I23:K73)</f>
        <v>6770.9400349723519</v>
      </c>
      <c r="J21" s="49"/>
      <c r="K21" s="49"/>
      <c r="P21" s="16">
        <f>SUM(P23:P48)</f>
        <v>4.7894815146379077</v>
      </c>
      <c r="R21" s="16"/>
    </row>
    <row r="22" spans="1:19" x14ac:dyDescent="0.25">
      <c r="A22" s="1"/>
      <c r="B22" s="40" t="s">
        <v>29</v>
      </c>
      <c r="C22" s="40"/>
      <c r="D22" s="40" t="s">
        <v>30</v>
      </c>
      <c r="E22" s="40"/>
      <c r="F22" s="2"/>
      <c r="G22" s="40" t="s">
        <v>19</v>
      </c>
      <c r="H22" s="40"/>
      <c r="I22" s="40" t="s">
        <v>31</v>
      </c>
      <c r="J22" s="40"/>
      <c r="K22" s="40"/>
      <c r="L22" s="1"/>
      <c r="M22" s="40" t="s">
        <v>32</v>
      </c>
      <c r="N22" s="40"/>
      <c r="O22" s="40"/>
      <c r="P22" s="40" t="s">
        <v>33</v>
      </c>
      <c r="Q22" s="40"/>
      <c r="R22" s="40"/>
      <c r="S22" s="40"/>
    </row>
    <row r="23" spans="1:19" x14ac:dyDescent="0.25">
      <c r="A23" s="2">
        <v>1</v>
      </c>
      <c r="B23" s="34">
        <f>EDATE($O$7,6*(A23-1))</f>
        <v>45546</v>
      </c>
      <c r="C23" s="31"/>
      <c r="D23" s="33">
        <f>P5/180</f>
        <v>0.68888888888888888</v>
      </c>
      <c r="E23" s="33"/>
      <c r="G23" s="30">
        <f>$O$6</f>
        <v>147.5</v>
      </c>
      <c r="H23" s="31"/>
      <c r="I23" s="32">
        <f>G23/(1+$K$17/2)^D23</f>
        <v>144.85780589648428</v>
      </c>
      <c r="J23" s="32"/>
      <c r="K23" s="32"/>
      <c r="N23">
        <f>I23/$I$21</f>
        <v>2.1394046491075708E-2</v>
      </c>
      <c r="P23" s="16">
        <f>N23*D23</f>
        <v>1.4738120916074376E-2</v>
      </c>
      <c r="R23" s="16"/>
    </row>
    <row r="24" spans="1:19" x14ac:dyDescent="0.25">
      <c r="A24" s="2">
        <v>2</v>
      </c>
      <c r="B24" s="34">
        <f>EDATE($O$7,6*(A24-1))</f>
        <v>45727</v>
      </c>
      <c r="C24" s="31"/>
      <c r="D24" s="33">
        <f>1+$D$23</f>
        <v>1.6888888888888889</v>
      </c>
      <c r="E24" s="33"/>
      <c r="G24" s="30">
        <f t="shared" ref="G24:G47" si="0">$O$6</f>
        <v>147.5</v>
      </c>
      <c r="H24" s="31"/>
      <c r="I24" s="32">
        <f t="shared" ref="I24:I41" si="1">G24/(1+$K$17/2)^D24</f>
        <v>141.10635418814803</v>
      </c>
      <c r="J24" s="32"/>
      <c r="K24" s="32"/>
      <c r="N24">
        <f t="shared" ref="N24:N73" si="2">I24/$I$21</f>
        <v>2.0839994662384308E-2</v>
      </c>
      <c r="P24" s="16">
        <f t="shared" ref="P24:P73" si="3">N24*D24</f>
        <v>3.5196435429804607E-2</v>
      </c>
      <c r="R24" s="16"/>
    </row>
    <row r="25" spans="1:19" x14ac:dyDescent="0.25">
      <c r="A25" s="2">
        <v>3</v>
      </c>
      <c r="B25" s="34">
        <f t="shared" ref="B25:B40" si="4">EDATE($O$7,6*(A25-1))</f>
        <v>45911</v>
      </c>
      <c r="C25" s="31"/>
      <c r="D25" s="33">
        <f>2+$D$23</f>
        <v>2.6888888888888891</v>
      </c>
      <c r="E25" s="33"/>
      <c r="G25" s="30">
        <f t="shared" si="0"/>
        <v>147.5</v>
      </c>
      <c r="H25" s="31"/>
      <c r="I25" s="32">
        <f t="shared" si="1"/>
        <v>137.45205561445223</v>
      </c>
      <c r="J25" s="32"/>
      <c r="K25" s="32"/>
      <c r="N25">
        <f t="shared" si="2"/>
        <v>2.030029137822862E-2</v>
      </c>
      <c r="P25" s="16">
        <f t="shared" si="3"/>
        <v>5.4585227928125847E-2</v>
      </c>
      <c r="R25" s="16"/>
    </row>
    <row r="26" spans="1:19" x14ac:dyDescent="0.25">
      <c r="A26" s="2">
        <v>4</v>
      </c>
      <c r="B26" s="34">
        <f t="shared" si="4"/>
        <v>46092</v>
      </c>
      <c r="C26" s="31"/>
      <c r="D26" s="33">
        <f>3+D23</f>
        <v>3.6888888888888891</v>
      </c>
      <c r="E26" s="33"/>
      <c r="G26" s="30">
        <f t="shared" si="0"/>
        <v>147.5</v>
      </c>
      <c r="H26" s="31"/>
      <c r="I26" s="32">
        <f t="shared" si="1"/>
        <v>133.89239415431911</v>
      </c>
      <c r="J26" s="32"/>
      <c r="K26" s="32"/>
      <c r="N26">
        <f t="shared" si="2"/>
        <v>1.9774565047505376E-2</v>
      </c>
      <c r="P26" s="16">
        <f t="shared" si="3"/>
        <v>7.2946173286353166E-2</v>
      </c>
      <c r="R26" s="16"/>
    </row>
    <row r="27" spans="1:19" x14ac:dyDescent="0.25">
      <c r="A27" s="2">
        <v>5</v>
      </c>
      <c r="B27" s="34">
        <f t="shared" si="4"/>
        <v>46276</v>
      </c>
      <c r="C27" s="31"/>
      <c r="D27" s="33">
        <f>4+D23</f>
        <v>4.6888888888888891</v>
      </c>
      <c r="E27" s="33"/>
      <c r="G27" s="30">
        <f t="shared" si="0"/>
        <v>147.5</v>
      </c>
      <c r="H27" s="31"/>
      <c r="I27" s="32">
        <f t="shared" si="1"/>
        <v>130.42491894526898</v>
      </c>
      <c r="J27" s="32"/>
      <c r="K27" s="32"/>
      <c r="N27">
        <f t="shared" si="2"/>
        <v>1.9262453702383373E-2</v>
      </c>
      <c r="P27" s="16">
        <f t="shared" si="3"/>
        <v>9.0319505137842038E-2</v>
      </c>
      <c r="R27" s="16"/>
    </row>
    <row r="28" spans="1:19" x14ac:dyDescent="0.25">
      <c r="A28" s="2">
        <v>6</v>
      </c>
      <c r="B28" s="34">
        <f t="shared" si="4"/>
        <v>46457</v>
      </c>
      <c r="C28" s="31"/>
      <c r="D28" s="33">
        <f>5+$D$23</f>
        <v>5.6888888888888891</v>
      </c>
      <c r="E28" s="33"/>
      <c r="G28" s="30">
        <f t="shared" si="0"/>
        <v>147.5</v>
      </c>
      <c r="H28" s="31"/>
      <c r="I28" s="32">
        <f t="shared" si="1"/>
        <v>127.04724259597728</v>
      </c>
      <c r="J28" s="32"/>
      <c r="K28" s="32"/>
      <c r="N28">
        <f t="shared" si="2"/>
        <v>1.8763604749085044E-2</v>
      </c>
      <c r="P28" s="16">
        <f t="shared" si="3"/>
        <v>0.1067440625725727</v>
      </c>
      <c r="R28" s="16"/>
    </row>
    <row r="29" spans="1:19" x14ac:dyDescent="0.25">
      <c r="A29" s="2">
        <v>7</v>
      </c>
      <c r="B29" s="34">
        <f t="shared" si="4"/>
        <v>46641</v>
      </c>
      <c r="C29" s="31"/>
      <c r="D29" s="33">
        <f>6+D23</f>
        <v>6.6888888888888891</v>
      </c>
      <c r="E29" s="33"/>
      <c r="G29" s="30">
        <f t="shared" si="0"/>
        <v>147.5</v>
      </c>
      <c r="H29" s="31"/>
      <c r="I29" s="32">
        <f t="shared" si="1"/>
        <v>123.75703954253139</v>
      </c>
      <c r="J29" s="32"/>
      <c r="K29" s="32"/>
      <c r="N29">
        <f t="shared" si="2"/>
        <v>1.8277674725122081E-2</v>
      </c>
      <c r="P29" s="16">
        <f t="shared" si="3"/>
        <v>0.12225733538359437</v>
      </c>
      <c r="R29" s="16"/>
    </row>
    <row r="30" spans="1:19" x14ac:dyDescent="0.25">
      <c r="A30" s="2">
        <v>8</v>
      </c>
      <c r="B30" s="34">
        <f t="shared" si="4"/>
        <v>46823</v>
      </c>
      <c r="C30" s="31"/>
      <c r="D30" s="33">
        <f>7+D23</f>
        <v>7.6888888888888891</v>
      </c>
      <c r="E30" s="33"/>
      <c r="G30" s="30">
        <f t="shared" si="0"/>
        <v>147.5</v>
      </c>
      <c r="H30" s="31"/>
      <c r="I30" s="32">
        <f t="shared" si="1"/>
        <v>120.55204444725685</v>
      </c>
      <c r="J30" s="32"/>
      <c r="K30" s="32"/>
      <c r="N30">
        <f t="shared" si="2"/>
        <v>1.7804329062818099E-2</v>
      </c>
      <c r="P30" s="16">
        <f t="shared" si="3"/>
        <v>0.13689550790522362</v>
      </c>
      <c r="R30" s="16"/>
    </row>
    <row r="31" spans="1:19" x14ac:dyDescent="0.25">
      <c r="A31" s="2">
        <v>9</v>
      </c>
      <c r="B31" s="34">
        <f t="shared" si="4"/>
        <v>47007</v>
      </c>
      <c r="C31" s="31"/>
      <c r="D31" s="33">
        <f>8+D23</f>
        <v>8.6888888888888882</v>
      </c>
      <c r="E31" s="33"/>
      <c r="G31" s="30">
        <f t="shared" si="0"/>
        <v>147.5</v>
      </c>
      <c r="H31" s="31"/>
      <c r="I31" s="32">
        <f t="shared" si="1"/>
        <v>117.43005063900972</v>
      </c>
      <c r="J31" s="32"/>
      <c r="K31" s="32"/>
      <c r="N31">
        <f t="shared" si="2"/>
        <v>1.7343241858955444E-2</v>
      </c>
      <c r="P31" s="16">
        <f t="shared" si="3"/>
        <v>0.15069350148559063</v>
      </c>
      <c r="R31" s="16"/>
    </row>
    <row r="32" spans="1:19" x14ac:dyDescent="0.25">
      <c r="A32" s="2">
        <v>10</v>
      </c>
      <c r="B32" s="34">
        <f t="shared" si="4"/>
        <v>47188</v>
      </c>
      <c r="C32" s="31"/>
      <c r="D32" s="33">
        <f>9+D23</f>
        <v>9.6888888888888882</v>
      </c>
      <c r="E32" s="33"/>
      <c r="G32" s="30">
        <f t="shared" si="0"/>
        <v>147.5</v>
      </c>
      <c r="H32" s="31"/>
      <c r="I32" s="32">
        <f t="shared" si="1"/>
        <v>114.38890859386147</v>
      </c>
      <c r="J32" s="32"/>
      <c r="K32" s="32"/>
      <c r="N32">
        <f t="shared" si="2"/>
        <v>1.6894095650387572E-2</v>
      </c>
      <c r="P32" s="16">
        <f t="shared" si="3"/>
        <v>0.16368501563486623</v>
      </c>
      <c r="R32" s="16"/>
    </row>
    <row r="33" spans="1:18" x14ac:dyDescent="0.25">
      <c r="A33" s="2">
        <v>11</v>
      </c>
      <c r="B33" s="34">
        <f t="shared" si="4"/>
        <v>47372</v>
      </c>
      <c r="C33" s="31"/>
      <c r="D33" s="33">
        <f>10+D23</f>
        <v>10.688888888888888</v>
      </c>
      <c r="E33" s="33"/>
      <c r="G33" s="30">
        <f t="shared" si="0"/>
        <v>147.5</v>
      </c>
      <c r="H33" s="31"/>
      <c r="I33" s="32">
        <f t="shared" si="1"/>
        <v>111.42652445513018</v>
      </c>
      <c r="J33" s="32"/>
      <c r="K33" s="32"/>
      <c r="N33">
        <f t="shared" si="2"/>
        <v>1.6456581195462495E-2</v>
      </c>
      <c r="P33" s="16">
        <f t="shared" si="3"/>
        <v>0.17590256788927688</v>
      </c>
      <c r="R33" s="16"/>
    </row>
    <row r="34" spans="1:18" x14ac:dyDescent="0.25">
      <c r="A34" s="2">
        <v>12</v>
      </c>
      <c r="B34" s="34">
        <f t="shared" si="4"/>
        <v>47553</v>
      </c>
      <c r="C34" s="31"/>
      <c r="D34" s="33">
        <f>11+D23</f>
        <v>11.688888888888888</v>
      </c>
      <c r="E34" s="33"/>
      <c r="G34" s="30">
        <f t="shared" si="0"/>
        <v>147.5</v>
      </c>
      <c r="H34" s="31"/>
      <c r="I34" s="32">
        <f t="shared" si="1"/>
        <v>108.54085859173945</v>
      </c>
      <c r="J34" s="32"/>
      <c r="K34" s="32"/>
      <c r="N34">
        <f t="shared" si="2"/>
        <v>1.6030397261106843E-2</v>
      </c>
      <c r="P34" s="16">
        <f t="shared" si="3"/>
        <v>0.18737753242982663</v>
      </c>
      <c r="R34" s="16"/>
    </row>
    <row r="35" spans="1:18" x14ac:dyDescent="0.25">
      <c r="A35" s="2">
        <v>13</v>
      </c>
      <c r="B35" s="34">
        <f t="shared" si="4"/>
        <v>47737</v>
      </c>
      <c r="C35" s="31"/>
      <c r="D35" s="33">
        <f>12+$D$23</f>
        <v>12.688888888888888</v>
      </c>
      <c r="E35" s="33"/>
      <c r="G35" s="30">
        <f t="shared" si="0"/>
        <v>147.5</v>
      </c>
      <c r="H35" s="31"/>
      <c r="I35" s="32">
        <f t="shared" si="1"/>
        <v>105.72992419391183</v>
      </c>
      <c r="J35" s="32"/>
      <c r="K35" s="32"/>
      <c r="N35">
        <f t="shared" si="2"/>
        <v>1.5615250415423824E-2</v>
      </c>
      <c r="P35" s="16">
        <f t="shared" si="3"/>
        <v>0.19814017749348897</v>
      </c>
      <c r="R35" s="16"/>
    </row>
    <row r="36" spans="1:18" x14ac:dyDescent="0.25">
      <c r="A36" s="2">
        <v>14</v>
      </c>
      <c r="B36" s="34">
        <f t="shared" si="4"/>
        <v>47918</v>
      </c>
      <c r="C36" s="31"/>
      <c r="D36" s="33">
        <f>13+$D$23</f>
        <v>13.688888888888888</v>
      </c>
      <c r="E36" s="33"/>
      <c r="G36" s="30">
        <f t="shared" si="0"/>
        <v>147.5</v>
      </c>
      <c r="H36" s="31"/>
      <c r="I36" s="32">
        <f t="shared" si="1"/>
        <v>102.99178590523064</v>
      </c>
      <c r="J36" s="32"/>
      <c r="K36" s="32"/>
      <c r="N36">
        <f t="shared" si="2"/>
        <v>1.5210854825662505E-2</v>
      </c>
      <c r="P36" s="16">
        <f t="shared" si="3"/>
        <v>0.20821970161351339</v>
      </c>
      <c r="R36" s="16"/>
    </row>
    <row r="37" spans="1:18" x14ac:dyDescent="0.25">
      <c r="A37" s="2">
        <v>15</v>
      </c>
      <c r="B37" s="34">
        <f t="shared" si="4"/>
        <v>48102</v>
      </c>
      <c r="C37" s="31"/>
      <c r="D37" s="33">
        <f>14+$D$23</f>
        <v>14.688888888888888</v>
      </c>
      <c r="E37" s="33"/>
      <c r="G37" s="30">
        <f t="shared" si="0"/>
        <v>147.5</v>
      </c>
      <c r="H37" s="31"/>
      <c r="I37" s="32">
        <f t="shared" si="1"/>
        <v>100.32455849012761</v>
      </c>
      <c r="J37" s="32"/>
      <c r="K37" s="32"/>
      <c r="N37">
        <f t="shared" si="2"/>
        <v>1.4816932061419043E-2</v>
      </c>
      <c r="P37" s="16">
        <f t="shared" si="3"/>
        <v>0.21764426872439971</v>
      </c>
      <c r="R37" s="16"/>
    </row>
    <row r="38" spans="1:18" x14ac:dyDescent="0.25">
      <c r="A38" s="2">
        <v>16</v>
      </c>
      <c r="B38" s="34">
        <f t="shared" si="4"/>
        <v>48284</v>
      </c>
      <c r="C38" s="31"/>
      <c r="D38" s="33">
        <f>15+$D$23</f>
        <v>15.688888888888888</v>
      </c>
      <c r="E38" s="33"/>
      <c r="G38" s="30">
        <f t="shared" si="0"/>
        <v>147.5</v>
      </c>
      <c r="H38" s="31"/>
      <c r="I38" s="32">
        <f t="shared" si="1"/>
        <v>97.72640553587938</v>
      </c>
      <c r="J38" s="32"/>
      <c r="K38" s="32"/>
      <c r="N38">
        <f t="shared" si="2"/>
        <v>1.4433210902934607E-2</v>
      </c>
      <c r="P38" s="16">
        <f t="shared" si="3"/>
        <v>0.22644104216604072</v>
      </c>
      <c r="R38" s="16"/>
    </row>
    <row r="39" spans="1:18" x14ac:dyDescent="0.25">
      <c r="A39" s="2">
        <v>17</v>
      </c>
      <c r="B39" s="34">
        <f t="shared" si="4"/>
        <v>48468</v>
      </c>
      <c r="C39" s="31"/>
      <c r="D39" s="33">
        <f>16+$D$23</f>
        <v>16.68888888888889</v>
      </c>
      <c r="E39" s="33"/>
      <c r="G39" s="30">
        <f t="shared" si="0"/>
        <v>147.5</v>
      </c>
      <c r="H39" s="31"/>
      <c r="I39" s="32">
        <f t="shared" si="1"/>
        <v>95.195538188219018</v>
      </c>
      <c r="J39" s="32"/>
      <c r="K39" s="32"/>
      <c r="N39">
        <f t="shared" si="2"/>
        <v>1.4059427154357856E-2</v>
      </c>
      <c r="P39" s="16">
        <f t="shared" si="3"/>
        <v>0.23463621762050557</v>
      </c>
      <c r="R39" s="16"/>
    </row>
    <row r="40" spans="1:18" x14ac:dyDescent="0.25">
      <c r="A40" s="2">
        <v>18</v>
      </c>
      <c r="B40" s="34">
        <f t="shared" si="4"/>
        <v>48649</v>
      </c>
      <c r="C40" s="31"/>
      <c r="D40" s="33">
        <f>17+$D$23</f>
        <v>17.68888888888889</v>
      </c>
      <c r="E40" s="33"/>
      <c r="G40" s="30">
        <f t="shared" si="0"/>
        <v>147.5</v>
      </c>
      <c r="H40" s="31"/>
      <c r="I40" s="32">
        <f t="shared" si="1"/>
        <v>92.730213919691991</v>
      </c>
      <c r="J40" s="32"/>
      <c r="K40" s="32"/>
      <c r="N40">
        <f t="shared" si="2"/>
        <v>1.3695323461843455E-2</v>
      </c>
      <c r="P40" s="16">
        <f t="shared" si="3"/>
        <v>0.24225505501394201</v>
      </c>
      <c r="R40" s="16"/>
    </row>
    <row r="41" spans="1:18" x14ac:dyDescent="0.25">
      <c r="A41" s="2">
        <v>19</v>
      </c>
      <c r="B41" s="34">
        <f>EDATE($O$7,6*(A41-1))</f>
        <v>48833</v>
      </c>
      <c r="C41" s="31"/>
      <c r="D41" s="33">
        <f>18+$D$23</f>
        <v>18.68888888888889</v>
      </c>
      <c r="E41" s="33"/>
      <c r="G41" s="30">
        <f t="shared" si="0"/>
        <v>147.5</v>
      </c>
      <c r="H41" s="31"/>
      <c r="I41" s="32">
        <f t="shared" si="1"/>
        <v>90.32873532990854</v>
      </c>
      <c r="J41" s="32"/>
      <c r="K41" s="32"/>
      <c r="N41">
        <f t="shared" si="2"/>
        <v>1.3340649136361371E-2</v>
      </c>
      <c r="P41" s="16">
        <f t="shared" si="3"/>
        <v>0.24932190941510921</v>
      </c>
      <c r="R41" s="16"/>
    </row>
    <row r="42" spans="1:18" x14ac:dyDescent="0.25">
      <c r="A42" s="2">
        <v>20</v>
      </c>
      <c r="B42" s="34">
        <f t="shared" ref="B42:B46" si="5">EDATE($O$7,6*(A42-1))</f>
        <v>49014</v>
      </c>
      <c r="C42" s="31"/>
      <c r="D42" s="33">
        <f>19+$D$23</f>
        <v>19.68888888888889</v>
      </c>
      <c r="E42" s="33"/>
      <c r="G42" s="30">
        <f t="shared" si="0"/>
        <v>147.5</v>
      </c>
      <c r="H42" s="31"/>
      <c r="I42" s="32">
        <f t="shared" ref="I42:I47" si="6">G42/(1+$K$17/2)^D42</f>
        <v>87.989448976866655</v>
      </c>
      <c r="J42" s="32"/>
      <c r="K42" s="32"/>
      <c r="M42" s="5"/>
      <c r="N42">
        <f t="shared" si="2"/>
        <v>1.2995159981094994E-2</v>
      </c>
      <c r="P42" s="16">
        <f t="shared" si="3"/>
        <v>0.2558602609611148</v>
      </c>
    </row>
    <row r="43" spans="1:18" x14ac:dyDescent="0.25">
      <c r="A43" s="2">
        <v>21</v>
      </c>
      <c r="B43" s="34">
        <f t="shared" si="5"/>
        <v>49198</v>
      </c>
      <c r="C43" s="31"/>
      <c r="D43" s="33">
        <f>20+$D$23</f>
        <v>20.68888888888889</v>
      </c>
      <c r="E43" s="33"/>
      <c r="G43" s="30">
        <f t="shared" si="0"/>
        <v>147.5</v>
      </c>
      <c r="H43" s="31"/>
      <c r="I43" s="32">
        <f t="shared" si="6"/>
        <v>85.710744238540627</v>
      </c>
      <c r="J43" s="32"/>
      <c r="K43" s="32"/>
      <c r="M43" s="5"/>
      <c r="N43">
        <f t="shared" si="2"/>
        <v>1.2658618123309168E-2</v>
      </c>
      <c r="P43" s="16">
        <f t="shared" si="3"/>
        <v>0.26189274384001859</v>
      </c>
    </row>
    <row r="44" spans="1:18" x14ac:dyDescent="0.25">
      <c r="A44" s="2">
        <v>22</v>
      </c>
      <c r="B44" s="34">
        <f t="shared" si="5"/>
        <v>49379</v>
      </c>
      <c r="C44" s="31"/>
      <c r="D44" s="33">
        <f>21+$D$23</f>
        <v>21.68888888888889</v>
      </c>
      <c r="E44" s="33"/>
      <c r="G44" s="30">
        <f t="shared" si="0"/>
        <v>147.5</v>
      </c>
      <c r="H44" s="31"/>
      <c r="I44" s="32">
        <f t="shared" si="6"/>
        <v>83.491052203951796</v>
      </c>
      <c r="J44" s="32"/>
      <c r="K44" s="32"/>
      <c r="M44" s="5"/>
      <c r="N44">
        <f t="shared" si="2"/>
        <v>1.2330791850572446E-2</v>
      </c>
      <c r="P44" s="16">
        <f t="shared" si="3"/>
        <v>0.26744117435908243</v>
      </c>
    </row>
    <row r="45" spans="1:18" x14ac:dyDescent="0.25">
      <c r="A45" s="2">
        <v>23</v>
      </c>
      <c r="B45" s="34">
        <f t="shared" si="5"/>
        <v>49563</v>
      </c>
      <c r="C45" s="31"/>
      <c r="D45" s="33">
        <f>22+$D$23</f>
        <v>22.68888888888889</v>
      </c>
      <c r="E45" s="33"/>
      <c r="G45" s="30">
        <f t="shared" si="0"/>
        <v>147.5</v>
      </c>
      <c r="H45" s="31"/>
      <c r="I45" s="32">
        <f t="shared" si="6"/>
        <v>81.328844592957552</v>
      </c>
      <c r="J45" s="32"/>
      <c r="K45" s="32"/>
      <c r="M45" s="5"/>
      <c r="N45">
        <f t="shared" si="2"/>
        <v>1.2011455451220761E-2</v>
      </c>
      <c r="P45" s="16">
        <f t="shared" si="3"/>
        <v>0.27252657812658659</v>
      </c>
    </row>
    <row r="46" spans="1:18" x14ac:dyDescent="0.25">
      <c r="A46" s="2">
        <v>24</v>
      </c>
      <c r="B46" s="34">
        <f t="shared" si="5"/>
        <v>49745</v>
      </c>
      <c r="C46" s="31"/>
      <c r="D46" s="33">
        <f>23+$D$23</f>
        <v>23.68888888888889</v>
      </c>
      <c r="E46" s="33"/>
      <c r="G46" s="30">
        <f t="shared" si="0"/>
        <v>147.5</v>
      </c>
      <c r="H46" s="31"/>
      <c r="I46" s="32">
        <f t="shared" si="6"/>
        <v>79.222632704015311</v>
      </c>
      <c r="J46" s="32"/>
      <c r="K46" s="32"/>
      <c r="M46" s="5"/>
      <c r="N46">
        <f t="shared" si="2"/>
        <v>1.1700389058952699E-2</v>
      </c>
      <c r="P46" s="16">
        <f t="shared" si="3"/>
        <v>0.27716921637430175</v>
      </c>
    </row>
    <row r="47" spans="1:18" x14ac:dyDescent="0.25">
      <c r="A47" s="2">
        <v>25</v>
      </c>
      <c r="B47" s="34">
        <f t="shared" ref="B47:B48" si="7">EDATE($O$7,6*(A47-1))</f>
        <v>49929</v>
      </c>
      <c r="C47" s="31"/>
      <c r="D47" s="33">
        <f>24+$D$23</f>
        <v>24.68888888888889</v>
      </c>
      <c r="E47" s="33"/>
      <c r="G47" s="30">
        <f t="shared" si="0"/>
        <v>147.5</v>
      </c>
      <c r="H47" s="31"/>
      <c r="I47" s="32">
        <f t="shared" si="6"/>
        <v>77.170966389196536</v>
      </c>
      <c r="J47" s="32"/>
      <c r="K47" s="32"/>
      <c r="M47" s="5"/>
      <c r="N47" s="26">
        <f t="shared" si="2"/>
        <v>1.1397378501449342E-2</v>
      </c>
      <c r="P47" s="16">
        <f t="shared" si="3"/>
        <v>0.28138861144689375</v>
      </c>
    </row>
    <row r="48" spans="1:18" x14ac:dyDescent="0.25">
      <c r="A48" s="2">
        <v>26</v>
      </c>
      <c r="B48" s="34">
        <f t="shared" si="7"/>
        <v>50110</v>
      </c>
      <c r="C48" s="31"/>
      <c r="D48" s="33">
        <f>25+$D$23</f>
        <v>25.68888888888889</v>
      </c>
      <c r="E48" s="33"/>
      <c r="G48" s="30">
        <f>$O$6</f>
        <v>147.5</v>
      </c>
      <c r="H48" s="31"/>
      <c r="I48" s="32">
        <f t="shared" ref="I48" si="8">G48/(1+$K$17/2)^D48</f>
        <v>75.172433055745458</v>
      </c>
      <c r="J48" s="32"/>
      <c r="K48" s="32"/>
      <c r="M48" s="5"/>
      <c r="N48">
        <f t="shared" si="2"/>
        <v>1.1102215152914497E-2</v>
      </c>
      <c r="P48" s="16">
        <f t="shared" si="3"/>
        <v>0.28520357148375908</v>
      </c>
    </row>
    <row r="49" spans="1:16" x14ac:dyDescent="0.25">
      <c r="A49" s="2">
        <v>27</v>
      </c>
      <c r="B49" s="34">
        <f t="shared" ref="B49" si="9">EDATE($O$7,6*(A49-1))</f>
        <v>50294</v>
      </c>
      <c r="C49" s="31"/>
      <c r="D49" s="33">
        <f>26+$D$23</f>
        <v>26.68888888888889</v>
      </c>
      <c r="E49" s="33"/>
      <c r="G49" s="30">
        <f>$O$6</f>
        <v>147.5</v>
      </c>
      <c r="H49" s="31"/>
      <c r="I49" s="32">
        <f t="shared" ref="I49" si="10">G49/(1+$K$17/2)^D49</f>
        <v>73.225656693494827</v>
      </c>
      <c r="J49" s="32"/>
      <c r="K49" s="32"/>
      <c r="N49">
        <f t="shared" si="2"/>
        <v>1.0814695790433747E-2</v>
      </c>
      <c r="P49" s="16">
        <f t="shared" si="3"/>
        <v>0.28863221431802066</v>
      </c>
    </row>
    <row r="50" spans="1:16" x14ac:dyDescent="0.25">
      <c r="A50" s="2">
        <v>28</v>
      </c>
      <c r="B50" s="34">
        <f t="shared" ref="B50:B62" si="11">EDATE($O$7,6*(A50-1))</f>
        <v>50475</v>
      </c>
      <c r="C50" s="31"/>
      <c r="D50" s="33">
        <f>27+$D$23</f>
        <v>27.68888888888889</v>
      </c>
      <c r="E50" s="33"/>
      <c r="G50" s="30">
        <f t="shared" ref="G50:G72" si="12">$O$6</f>
        <v>147.5</v>
      </c>
      <c r="H50" s="31"/>
      <c r="I50" s="32">
        <f t="shared" ref="I50:I73" si="13">G50/(1+$K$17/2)^D50</f>
        <v>71.329296927469116</v>
      </c>
      <c r="J50" s="32"/>
      <c r="K50" s="32"/>
      <c r="N50">
        <f t="shared" si="2"/>
        <v>1.0534622454053439E-2</v>
      </c>
      <c r="P50" s="16">
        <f t="shared" si="3"/>
        <v>0.29169199061667966</v>
      </c>
    </row>
    <row r="51" spans="1:16" x14ac:dyDescent="0.25">
      <c r="A51" s="2">
        <v>29</v>
      </c>
      <c r="B51" s="34">
        <f t="shared" si="11"/>
        <v>50659</v>
      </c>
      <c r="C51" s="31"/>
      <c r="D51" s="33">
        <f>28+$D$23</f>
        <v>28.68888888888889</v>
      </c>
      <c r="E51" s="33"/>
      <c r="G51" s="30">
        <f t="shared" si="12"/>
        <v>147.5</v>
      </c>
      <c r="H51" s="31"/>
      <c r="I51" s="32">
        <f t="shared" si="13"/>
        <v>69.482048095023075</v>
      </c>
      <c r="J51" s="32"/>
      <c r="K51" s="32"/>
      <c r="N51">
        <f t="shared" si="2"/>
        <v>1.0261802310483287E-2</v>
      </c>
      <c r="P51" s="16">
        <f t="shared" si="3"/>
        <v>0.29439970628519829</v>
      </c>
    </row>
    <row r="52" spans="1:16" x14ac:dyDescent="0.25">
      <c r="A52" s="2">
        <v>30</v>
      </c>
      <c r="B52" s="34">
        <f t="shared" si="11"/>
        <v>50840</v>
      </c>
      <c r="C52" s="31"/>
      <c r="D52" s="33">
        <f>29+$D$23</f>
        <v>29.68888888888889</v>
      </c>
      <c r="E52" s="33"/>
      <c r="G52" s="30">
        <f t="shared" si="12"/>
        <v>147.5</v>
      </c>
      <c r="H52" s="31"/>
      <c r="I52" s="32">
        <f t="shared" si="13"/>
        <v>67.682638346879827</v>
      </c>
      <c r="J52" s="32"/>
      <c r="K52" s="32"/>
      <c r="N52">
        <f t="shared" si="2"/>
        <v>9.9960475203287186E-3</v>
      </c>
      <c r="P52" s="16">
        <f t="shared" si="3"/>
        <v>0.29677154415909263</v>
      </c>
    </row>
    <row r="53" spans="1:16" x14ac:dyDescent="0.25">
      <c r="A53" s="2">
        <v>31</v>
      </c>
      <c r="B53" s="34">
        <f t="shared" si="11"/>
        <v>51024</v>
      </c>
      <c r="C53" s="31"/>
      <c r="D53" s="33">
        <f>30+$D$23</f>
        <v>30.68888888888889</v>
      </c>
      <c r="E53" s="33"/>
      <c r="G53" s="30">
        <f t="shared" si="12"/>
        <v>147.5</v>
      </c>
      <c r="H53" s="31"/>
      <c r="I53" s="32">
        <f t="shared" si="13"/>
        <v>65.929828771450062</v>
      </c>
      <c r="J53" s="32"/>
      <c r="K53" s="32"/>
      <c r="N53">
        <f t="shared" si="2"/>
        <v>9.737175108761582E-3</v>
      </c>
      <c r="P53" s="16">
        <f t="shared" si="3"/>
        <v>0.29882308500443877</v>
      </c>
    </row>
    <row r="54" spans="1:16" x14ac:dyDescent="0.25">
      <c r="A54" s="2">
        <v>32</v>
      </c>
      <c r="B54" s="34">
        <f t="shared" si="11"/>
        <v>51206</v>
      </c>
      <c r="C54" s="31"/>
      <c r="D54" s="33">
        <f>31+$D$23</f>
        <v>31.68888888888889</v>
      </c>
      <c r="E54" s="33"/>
      <c r="G54" s="30">
        <f t="shared" si="12"/>
        <v>147.5</v>
      </c>
      <c r="H54" s="31"/>
      <c r="I54" s="32">
        <f t="shared" si="13"/>
        <v>64.222412541828874</v>
      </c>
      <c r="J54" s="32"/>
      <c r="K54" s="32"/>
      <c r="N54">
        <f t="shared" si="2"/>
        <v>9.4850068395401343E-3</v>
      </c>
      <c r="P54" s="16">
        <f t="shared" si="3"/>
        <v>0.30056932784853851</v>
      </c>
    </row>
    <row r="55" spans="1:16" x14ac:dyDescent="0.25">
      <c r="A55" s="2">
        <v>33</v>
      </c>
      <c r="B55" s="34">
        <f t="shared" si="11"/>
        <v>51390</v>
      </c>
      <c r="C55" s="31"/>
      <c r="D55" s="33">
        <f>32+$D$23</f>
        <v>32.68888888888889</v>
      </c>
      <c r="E55" s="33"/>
      <c r="G55" s="30">
        <f t="shared" si="12"/>
        <v>147.5</v>
      </c>
      <c r="H55" s="31"/>
      <c r="I55" s="32">
        <f t="shared" si="13"/>
        <v>62.559214084883557</v>
      </c>
      <c r="J55" s="32"/>
      <c r="K55" s="32"/>
      <c r="N55">
        <f t="shared" si="2"/>
        <v>9.2393690922916299E-3</v>
      </c>
      <c r="P55" s="16">
        <f t="shared" si="3"/>
        <v>0.30202470966135531</v>
      </c>
    </row>
    <row r="56" spans="1:16" x14ac:dyDescent="0.25">
      <c r="A56" s="2">
        <v>34</v>
      </c>
      <c r="B56" s="34">
        <f t="shared" si="11"/>
        <v>51571</v>
      </c>
      <c r="C56" s="31"/>
      <c r="D56" s="33">
        <f>33+$D$23</f>
        <v>33.68888888888889</v>
      </c>
      <c r="E56" s="33"/>
      <c r="G56" s="30">
        <f t="shared" si="12"/>
        <v>147.5</v>
      </c>
      <c r="H56" s="31"/>
      <c r="I56" s="32">
        <f t="shared" si="13"/>
        <v>60.939088271859596</v>
      </c>
      <c r="J56" s="32"/>
      <c r="K56" s="32"/>
      <c r="N56">
        <f t="shared" si="2"/>
        <v>9.0000927429729378E-3</v>
      </c>
      <c r="P56" s="16">
        <f t="shared" si="3"/>
        <v>0.30320312440771052</v>
      </c>
    </row>
    <row r="57" spans="1:16" x14ac:dyDescent="0.25">
      <c r="A57" s="2">
        <v>35</v>
      </c>
      <c r="B57" s="34">
        <f t="shared" si="11"/>
        <v>51755</v>
      </c>
      <c r="C57" s="31"/>
      <c r="D57" s="33">
        <f>34+$D$23</f>
        <v>34.68888888888889</v>
      </c>
      <c r="E57" s="33"/>
      <c r="G57" s="30">
        <f t="shared" si="12"/>
        <v>147.5</v>
      </c>
      <c r="H57" s="31"/>
      <c r="I57" s="32">
        <f t="shared" si="13"/>
        <v>59.360919629948185</v>
      </c>
      <c r="J57" s="32"/>
      <c r="K57" s="32"/>
      <c r="N57">
        <f t="shared" si="2"/>
        <v>8.7670130474269622E-3</v>
      </c>
      <c r="P57" s="16">
        <f t="shared" si="3"/>
        <v>0.30411794148963306</v>
      </c>
    </row>
    <row r="58" spans="1:16" x14ac:dyDescent="0.25">
      <c r="A58" s="2">
        <v>36</v>
      </c>
      <c r="B58" s="34">
        <f t="shared" si="11"/>
        <v>51936</v>
      </c>
      <c r="C58" s="31"/>
      <c r="D58" s="33">
        <f>35+$D$23</f>
        <v>35.68888888888889</v>
      </c>
      <c r="E58" s="33"/>
      <c r="G58" s="30">
        <f t="shared" si="12"/>
        <v>147.5</v>
      </c>
      <c r="H58" s="31"/>
      <c r="I58" s="32">
        <f t="shared" si="13"/>
        <v>57.823621574272032</v>
      </c>
      <c r="J58" s="32"/>
      <c r="K58" s="32"/>
      <c r="N58">
        <f t="shared" si="2"/>
        <v>8.5399695279546432E-3</v>
      </c>
      <c r="P58" s="16">
        <f t="shared" si="3"/>
        <v>0.30478202359767015</v>
      </c>
    </row>
    <row r="59" spans="1:16" x14ac:dyDescent="0.25">
      <c r="A59" s="2">
        <v>37</v>
      </c>
      <c r="B59" s="34">
        <f t="shared" si="11"/>
        <v>52120</v>
      </c>
      <c r="C59" s="31"/>
      <c r="D59" s="33">
        <f>36+$D$23</f>
        <v>36.68888888888889</v>
      </c>
      <c r="E59" s="33"/>
      <c r="G59" s="30">
        <f t="shared" si="12"/>
        <v>147.5</v>
      </c>
      <c r="H59" s="31"/>
      <c r="I59" s="32">
        <f t="shared" si="13"/>
        <v>56.326135659760787</v>
      </c>
      <c r="J59" s="32"/>
      <c r="K59" s="32"/>
      <c r="N59">
        <f t="shared" si="2"/>
        <v>8.3188058628244493E-3</v>
      </c>
      <c r="P59" s="16">
        <f t="shared" si="3"/>
        <v>0.3052077439894037</v>
      </c>
    </row>
    <row r="60" spans="1:16" x14ac:dyDescent="0.25">
      <c r="A60" s="2">
        <v>38</v>
      </c>
      <c r="B60" s="34">
        <f t="shared" si="11"/>
        <v>52301</v>
      </c>
      <c r="C60" s="31"/>
      <c r="D60" s="33">
        <f>37+$D$23</f>
        <v>37.68888888888889</v>
      </c>
      <c r="E60" s="33"/>
      <c r="G60" s="30">
        <f t="shared" si="12"/>
        <v>147.5</v>
      </c>
      <c r="H60" s="31"/>
      <c r="I60" s="32">
        <f t="shared" si="13"/>
        <v>54.867430852401021</v>
      </c>
      <c r="J60" s="32"/>
      <c r="K60" s="32"/>
      <c r="N60">
        <f t="shared" si="2"/>
        <v>8.1033697786433087E-3</v>
      </c>
      <c r="P60" s="16">
        <f t="shared" si="3"/>
        <v>0.30540700321286784</v>
      </c>
    </row>
    <row r="61" spans="1:16" x14ac:dyDescent="0.25">
      <c r="A61" s="2">
        <v>39</v>
      </c>
      <c r="B61" s="34">
        <f t="shared" si="11"/>
        <v>52485</v>
      </c>
      <c r="C61" s="31"/>
      <c r="D61" s="33">
        <f>38+$D$23</f>
        <v>38.68888888888889</v>
      </c>
      <c r="E61" s="33"/>
      <c r="G61" s="30">
        <f t="shared" si="12"/>
        <v>147.5</v>
      </c>
      <c r="H61" s="31"/>
      <c r="I61" s="32">
        <f t="shared" si="13"/>
        <v>53.446502819359104</v>
      </c>
      <c r="J61" s="32"/>
      <c r="K61" s="32"/>
      <c r="N61">
        <f t="shared" si="2"/>
        <v>7.8935129455148609E-3</v>
      </c>
      <c r="P61" s="16">
        <f t="shared" si="3"/>
        <v>0.30539124529203054</v>
      </c>
    </row>
    <row r="62" spans="1:16" x14ac:dyDescent="0.25">
      <c r="A62" s="2">
        <v>40</v>
      </c>
      <c r="B62" s="34">
        <f t="shared" si="11"/>
        <v>52667</v>
      </c>
      <c r="C62" s="31"/>
      <c r="D62" s="33">
        <f>39+$D$23</f>
        <v>39.68888888888889</v>
      </c>
      <c r="E62" s="33"/>
      <c r="G62" s="30">
        <f t="shared" si="12"/>
        <v>147.5</v>
      </c>
      <c r="H62" s="31"/>
      <c r="I62" s="32">
        <f t="shared" si="13"/>
        <v>52.062373237487883</v>
      </c>
      <c r="J62" s="32"/>
      <c r="K62" s="32"/>
      <c r="N62">
        <f t="shared" si="2"/>
        <v>7.6890908749128323E-3</v>
      </c>
      <c r="P62" s="16">
        <f t="shared" si="3"/>
        <v>0.30517147339098488</v>
      </c>
    </row>
    <row r="63" spans="1:16" x14ac:dyDescent="0.25">
      <c r="A63" s="2">
        <v>41</v>
      </c>
      <c r="B63" s="34">
        <f t="shared" ref="B63:B68" si="14">EDATE($O$7,6*(A63-1))</f>
        <v>52851</v>
      </c>
      <c r="C63" s="31"/>
      <c r="D63" s="33">
        <f>40+$D$23</f>
        <v>40.68888888888889</v>
      </c>
      <c r="E63" s="33"/>
      <c r="G63" s="30">
        <f t="shared" si="12"/>
        <v>147.5</v>
      </c>
      <c r="H63" s="31"/>
      <c r="I63" s="32">
        <f t="shared" si="13"/>
        <v>50.714089119741544</v>
      </c>
      <c r="J63" s="32"/>
      <c r="K63" s="32"/>
      <c r="N63">
        <f t="shared" si="2"/>
        <v>7.4899628201992524E-3</v>
      </c>
      <c r="P63" s="16">
        <f t="shared" si="3"/>
        <v>0.30475826497299624</v>
      </c>
    </row>
    <row r="64" spans="1:16" x14ac:dyDescent="0.25">
      <c r="A64" s="2">
        <v>42</v>
      </c>
      <c r="B64" s="34">
        <f t="shared" si="14"/>
        <v>53032</v>
      </c>
      <c r="C64" s="31"/>
      <c r="D64" s="33">
        <f>41+$D$23</f>
        <v>41.68888888888889</v>
      </c>
      <c r="E64" s="33"/>
      <c r="G64" s="30">
        <f t="shared" si="12"/>
        <v>147.5</v>
      </c>
      <c r="H64" s="31"/>
      <c r="I64" s="32">
        <f t="shared" si="13"/>
        <v>49.400722159034409</v>
      </c>
      <c r="J64" s="32"/>
      <c r="K64" s="32"/>
      <c r="N64">
        <f t="shared" si="2"/>
        <v>7.2959916797189781E-3</v>
      </c>
      <c r="P64" s="16">
        <f t="shared" si="3"/>
        <v>0.30416178647006231</v>
      </c>
    </row>
    <row r="65" spans="1:16" x14ac:dyDescent="0.25">
      <c r="A65" s="2">
        <v>43</v>
      </c>
      <c r="B65" s="34">
        <f t="shared" si="14"/>
        <v>53216</v>
      </c>
      <c r="C65" s="31"/>
      <c r="D65" s="33">
        <f>42+$D$23</f>
        <v>42.68888888888889</v>
      </c>
      <c r="E65" s="33"/>
      <c r="G65" s="30">
        <f t="shared" si="12"/>
        <v>147.5</v>
      </c>
      <c r="H65" s="31"/>
      <c r="I65" s="32">
        <f t="shared" si="13"/>
        <v>48.121368089092279</v>
      </c>
      <c r="J65" s="32"/>
      <c r="K65" s="32"/>
      <c r="N65">
        <f t="shared" si="2"/>
        <v>7.1070439024038369E-3</v>
      </c>
      <c r="P65" s="16">
        <f t="shared" si="3"/>
        <v>0.30339180747817268</v>
      </c>
    </row>
    <row r="66" spans="1:16" x14ac:dyDescent="0.25">
      <c r="A66" s="2">
        <v>44</v>
      </c>
      <c r="B66" s="34">
        <f t="shared" si="14"/>
        <v>53397</v>
      </c>
      <c r="C66" s="31"/>
      <c r="D66" s="33">
        <f>43+$D$23</f>
        <v>43.68888888888889</v>
      </c>
      <c r="E66" s="33"/>
      <c r="G66" s="30">
        <f t="shared" si="12"/>
        <v>147.5</v>
      </c>
      <c r="H66" s="31"/>
      <c r="I66" s="32">
        <f t="shared" si="13"/>
        <v>46.8751460618561</v>
      </c>
      <c r="J66" s="32"/>
      <c r="K66" s="32"/>
      <c r="N66">
        <f t="shared" si="2"/>
        <v>6.9229893958213896E-3</v>
      </c>
      <c r="P66" s="16">
        <f t="shared" si="3"/>
        <v>0.30245771449299674</v>
      </c>
    </row>
    <row r="67" spans="1:16" x14ac:dyDescent="0.25">
      <c r="A67" s="2">
        <v>45</v>
      </c>
      <c r="B67" s="34">
        <f t="shared" si="14"/>
        <v>53581</v>
      </c>
      <c r="C67" s="31"/>
      <c r="D67" s="33">
        <f>44+$D$23</f>
        <v>44.68888888888889</v>
      </c>
      <c r="E67" s="33"/>
      <c r="G67" s="30">
        <f t="shared" si="12"/>
        <v>147.5</v>
      </c>
      <c r="H67" s="31"/>
      <c r="I67" s="32">
        <f t="shared" si="13"/>
        <v>45.661198041009207</v>
      </c>
      <c r="J67" s="32"/>
      <c r="K67" s="32"/>
      <c r="N67">
        <f t="shared" si="2"/>
        <v>6.7437014366049774E-3</v>
      </c>
      <c r="P67" s="16">
        <f t="shared" si="3"/>
        <v>0.30136852420028021</v>
      </c>
    </row>
    <row r="68" spans="1:16" x14ac:dyDescent="0.25">
      <c r="A68" s="2">
        <v>46</v>
      </c>
      <c r="B68" s="34">
        <f t="shared" si="14"/>
        <v>53762</v>
      </c>
      <c r="C68" s="31"/>
      <c r="D68" s="33">
        <f>45+$D$23</f>
        <v>45.68888888888889</v>
      </c>
      <c r="E68" s="33"/>
      <c r="G68" s="30">
        <f t="shared" si="12"/>
        <v>147.5</v>
      </c>
      <c r="H68" s="31"/>
      <c r="I68" s="32">
        <f t="shared" si="13"/>
        <v>44.478688211210788</v>
      </c>
      <c r="J68" s="32"/>
      <c r="K68" s="32"/>
      <c r="N68">
        <f t="shared" si="2"/>
        <v>6.5690565832034293E-3</v>
      </c>
      <c r="P68" s="16">
        <f t="shared" si="3"/>
        <v>0.30013289633480555</v>
      </c>
    </row>
    <row r="69" spans="1:16" x14ac:dyDescent="0.25">
      <c r="A69" s="2">
        <v>47</v>
      </c>
      <c r="B69" s="34">
        <f t="shared" ref="B69:B72" si="15">EDATE($O$7,6*(A69-1))</f>
        <v>53946</v>
      </c>
      <c r="C69" s="31"/>
      <c r="D69" s="33">
        <f>46+$D$23</f>
        <v>46.68888888888889</v>
      </c>
      <c r="E69" s="33"/>
      <c r="G69" s="30">
        <f t="shared" si="12"/>
        <v>147.5</v>
      </c>
      <c r="H69" s="31"/>
      <c r="I69" s="32">
        <f t="shared" si="13"/>
        <v>43.326802402628694</v>
      </c>
      <c r="J69" s="32"/>
      <c r="K69" s="32"/>
      <c r="N69">
        <f t="shared" si="2"/>
        <v>6.3989345908903195E-3</v>
      </c>
      <c r="P69" s="16">
        <f t="shared" si="3"/>
        <v>0.2987591461213458</v>
      </c>
    </row>
    <row r="70" spans="1:16" x14ac:dyDescent="0.25">
      <c r="A70" s="2">
        <v>48</v>
      </c>
      <c r="B70" s="34">
        <f t="shared" si="15"/>
        <v>54128</v>
      </c>
      <c r="C70" s="31"/>
      <c r="D70" s="33">
        <f>47+$D$23</f>
        <v>47.68888888888889</v>
      </c>
      <c r="E70" s="33"/>
      <c r="G70" s="30">
        <f t="shared" si="12"/>
        <v>147.5</v>
      </c>
      <c r="H70" s="31"/>
      <c r="I70" s="32">
        <f t="shared" si="13"/>
        <v>42.204747530375286</v>
      </c>
      <c r="J70" s="32"/>
      <c r="K70" s="32"/>
      <c r="N70">
        <f t="shared" si="2"/>
        <v>6.2332183289742606E-3</v>
      </c>
      <c r="P70" s="16">
        <f t="shared" si="3"/>
        <v>0.2972552563106392</v>
      </c>
    </row>
    <row r="71" spans="1:16" x14ac:dyDescent="0.25">
      <c r="A71" s="2">
        <v>49</v>
      </c>
      <c r="B71" s="34">
        <f t="shared" si="15"/>
        <v>54312</v>
      </c>
      <c r="C71" s="31"/>
      <c r="D71" s="33">
        <f>48+$D$23</f>
        <v>48.68888888888889</v>
      </c>
      <c r="E71" s="33"/>
      <c r="G71" s="30">
        <f t="shared" si="12"/>
        <v>147.5</v>
      </c>
      <c r="H71" s="31"/>
      <c r="I71" s="32">
        <f t="shared" si="13"/>
        <v>41.111751048460683</v>
      </c>
      <c r="J71" s="32"/>
      <c r="K71" s="32"/>
      <c r="N71">
        <f t="shared" si="2"/>
        <v>6.0717937001532694E-3</v>
      </c>
      <c r="P71" s="16">
        <f t="shared" si="3"/>
        <v>0.29562888882301808</v>
      </c>
    </row>
    <row r="72" spans="1:16" x14ac:dyDescent="0.25">
      <c r="A72" s="2">
        <v>50</v>
      </c>
      <c r="B72" s="34">
        <f t="shared" si="15"/>
        <v>54493</v>
      </c>
      <c r="C72" s="31"/>
      <c r="D72" s="33">
        <f>49+$D$23</f>
        <v>49.68888888888889</v>
      </c>
      <c r="E72" s="33"/>
      <c r="G72" s="30">
        <f t="shared" si="12"/>
        <v>147.5</v>
      </c>
      <c r="H72" s="31"/>
      <c r="I72" s="32">
        <f t="shared" si="13"/>
        <v>40.047060417887046</v>
      </c>
      <c r="J72" s="32"/>
      <c r="K72" s="32"/>
      <c r="N72">
        <f t="shared" si="2"/>
        <v>5.9145495619576218E-3</v>
      </c>
      <c r="P72" s="16">
        <f t="shared" si="3"/>
        <v>0.29388739601193875</v>
      </c>
    </row>
    <row r="73" spans="1:16" x14ac:dyDescent="0.25">
      <c r="A73" s="2">
        <v>51</v>
      </c>
      <c r="B73" s="34">
        <f t="shared" ref="B73" si="16">EDATE($O$7,6*(A73-1))</f>
        <v>54677</v>
      </c>
      <c r="C73" s="31"/>
      <c r="D73" s="33">
        <f>50+$D$23</f>
        <v>50.68888888888889</v>
      </c>
      <c r="E73" s="33"/>
      <c r="G73" s="30">
        <f>$O$6+I10</f>
        <v>10147.5</v>
      </c>
      <c r="H73" s="31"/>
      <c r="I73" s="32">
        <f t="shared" si="13"/>
        <v>2683.7518129965174</v>
      </c>
      <c r="J73" s="32"/>
      <c r="K73" s="32"/>
      <c r="N73">
        <f t="shared" si="2"/>
        <v>0.39636325224189878</v>
      </c>
      <c r="P73" s="16">
        <f t="shared" si="3"/>
        <v>20.091212852528248</v>
      </c>
    </row>
  </sheetData>
  <mergeCells count="230">
    <mergeCell ref="I40:K40"/>
    <mergeCell ref="I41:K41"/>
    <mergeCell ref="B24:C24"/>
    <mergeCell ref="I32:K32"/>
    <mergeCell ref="I33:K33"/>
    <mergeCell ref="I34:K34"/>
    <mergeCell ref="I35:K35"/>
    <mergeCell ref="I36:K36"/>
    <mergeCell ref="I37:K37"/>
    <mergeCell ref="G41:H41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G33:H33"/>
    <mergeCell ref="G34:H34"/>
    <mergeCell ref="I25:K25"/>
    <mergeCell ref="I26:K26"/>
    <mergeCell ref="I27:K27"/>
    <mergeCell ref="I28:K28"/>
    <mergeCell ref="I29:K29"/>
    <mergeCell ref="I30:K30"/>
    <mergeCell ref="I31:K31"/>
    <mergeCell ref="I38:K38"/>
    <mergeCell ref="I39:K39"/>
    <mergeCell ref="D31:E31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D38:E38"/>
    <mergeCell ref="D39:E39"/>
    <mergeCell ref="D40:E40"/>
    <mergeCell ref="D41:E41"/>
    <mergeCell ref="D32:E32"/>
    <mergeCell ref="D33:E33"/>
    <mergeCell ref="D34:E34"/>
    <mergeCell ref="D35:E35"/>
    <mergeCell ref="D36:E36"/>
    <mergeCell ref="D37:E37"/>
    <mergeCell ref="D30:E30"/>
    <mergeCell ref="B23:C23"/>
    <mergeCell ref="B25:C25"/>
    <mergeCell ref="B26:C26"/>
    <mergeCell ref="B27:C27"/>
    <mergeCell ref="B28:C28"/>
    <mergeCell ref="B29:C29"/>
    <mergeCell ref="P22:Q22"/>
    <mergeCell ref="I21:K21"/>
    <mergeCell ref="M22:O22"/>
    <mergeCell ref="G23:H23"/>
    <mergeCell ref="G24:H24"/>
    <mergeCell ref="G25:H25"/>
    <mergeCell ref="G26:H26"/>
    <mergeCell ref="G27:H27"/>
    <mergeCell ref="G28:H28"/>
    <mergeCell ref="D23:E23"/>
    <mergeCell ref="D24:E24"/>
    <mergeCell ref="D25:E25"/>
    <mergeCell ref="D26:E26"/>
    <mergeCell ref="D27:E27"/>
    <mergeCell ref="D28:E28"/>
    <mergeCell ref="D29:E29"/>
    <mergeCell ref="I23:K23"/>
    <mergeCell ref="I24:K24"/>
    <mergeCell ref="C5:E5"/>
    <mergeCell ref="C6:E6"/>
    <mergeCell ref="C7:E7"/>
    <mergeCell ref="C8:E8"/>
    <mergeCell ref="C9:E9"/>
    <mergeCell ref="I5:K5"/>
    <mergeCell ref="I6:K6"/>
    <mergeCell ref="A1:C1"/>
    <mergeCell ref="R22:S22"/>
    <mergeCell ref="O6:P6"/>
    <mergeCell ref="O7:P7"/>
    <mergeCell ref="G20:H20"/>
    <mergeCell ref="I20:K20"/>
    <mergeCell ref="B22:C22"/>
    <mergeCell ref="D22:E22"/>
    <mergeCell ref="G22:H22"/>
    <mergeCell ref="I22:K22"/>
    <mergeCell ref="I7:K7"/>
    <mergeCell ref="I10:K10"/>
    <mergeCell ref="I11:K11"/>
    <mergeCell ref="I12:K12"/>
    <mergeCell ref="I13:K13"/>
    <mergeCell ref="G17:H17"/>
    <mergeCell ref="B42:C42"/>
    <mergeCell ref="B43:C43"/>
    <mergeCell ref="B44:C44"/>
    <mergeCell ref="B45:C45"/>
    <mergeCell ref="B46:C46"/>
    <mergeCell ref="B47:C47"/>
    <mergeCell ref="B48:C48"/>
    <mergeCell ref="D42:E42"/>
    <mergeCell ref="D43:E43"/>
    <mergeCell ref="D44:E44"/>
    <mergeCell ref="D45:E45"/>
    <mergeCell ref="D46:E46"/>
    <mergeCell ref="D47:E47"/>
    <mergeCell ref="D48:E48"/>
    <mergeCell ref="G42:H42"/>
    <mergeCell ref="G43:H43"/>
    <mergeCell ref="G45:H45"/>
    <mergeCell ref="G44:H44"/>
    <mergeCell ref="G46:H46"/>
    <mergeCell ref="G47:H47"/>
    <mergeCell ref="G48:H48"/>
    <mergeCell ref="I42:K42"/>
    <mergeCell ref="I43:K43"/>
    <mergeCell ref="I47:K47"/>
    <mergeCell ref="I46:K46"/>
    <mergeCell ref="I45:K45"/>
    <mergeCell ref="I44:K44"/>
    <mergeCell ref="I48:K48"/>
    <mergeCell ref="B49:C49"/>
    <mergeCell ref="B50:C50"/>
    <mergeCell ref="B51:C51"/>
    <mergeCell ref="B52:C52"/>
    <mergeCell ref="B53:C53"/>
    <mergeCell ref="B54:C54"/>
    <mergeCell ref="I49:K49"/>
    <mergeCell ref="I50:K50"/>
    <mergeCell ref="D49:E49"/>
    <mergeCell ref="G49:H49"/>
    <mergeCell ref="I51:K51"/>
    <mergeCell ref="I52:K52"/>
    <mergeCell ref="I53:K53"/>
    <mergeCell ref="I54:K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I55:K55"/>
    <mergeCell ref="I56:K56"/>
    <mergeCell ref="I57:K57"/>
    <mergeCell ref="I58:K58"/>
    <mergeCell ref="I59:K59"/>
    <mergeCell ref="I60:K60"/>
    <mergeCell ref="I61:K61"/>
    <mergeCell ref="I62:K62"/>
    <mergeCell ref="I63:K63"/>
    <mergeCell ref="G73:H73"/>
    <mergeCell ref="I73:K73"/>
    <mergeCell ref="I64:K64"/>
    <mergeCell ref="I65:K65"/>
    <mergeCell ref="I66:K66"/>
    <mergeCell ref="I67:K67"/>
    <mergeCell ref="I68:K68"/>
    <mergeCell ref="I69:K69"/>
    <mergeCell ref="I70:K70"/>
    <mergeCell ref="I71:K71"/>
    <mergeCell ref="I72:K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2"/>
  <sheetViews>
    <sheetView zoomScale="105" zoomScaleNormal="105" workbookViewId="0">
      <selection activeCell="X30" sqref="X30"/>
    </sheetView>
  </sheetViews>
  <sheetFormatPr defaultColWidth="8.85546875" defaultRowHeight="15" x14ac:dyDescent="0.25"/>
  <cols>
    <col min="1" max="1" width="13.42578125" bestFit="1" customWidth="1"/>
    <col min="2" max="2" width="14" bestFit="1" customWidth="1"/>
    <col min="5" max="5" width="11.5703125" customWidth="1"/>
    <col min="6" max="6" width="3.42578125" customWidth="1"/>
    <col min="7" max="7" width="17.7109375" bestFit="1" customWidth="1"/>
    <col min="11" max="11" width="7.42578125" bestFit="1" customWidth="1"/>
    <col min="12" max="12" width="3.42578125" customWidth="1"/>
    <col min="13" max="13" width="19.7109375" bestFit="1" customWidth="1"/>
    <col min="14" max="14" width="10.7109375" customWidth="1"/>
    <col min="15" max="15" width="12.28515625" customWidth="1"/>
    <col min="16" max="16" width="6" customWidth="1"/>
    <col min="17" max="17" width="5.28515625" bestFit="1" customWidth="1"/>
  </cols>
  <sheetData>
    <row r="1" spans="1:19" s="3" customFormat="1" x14ac:dyDescent="0.25">
      <c r="A1" s="3" t="s">
        <v>34</v>
      </c>
    </row>
    <row r="3" spans="1:19" x14ac:dyDescent="0.25">
      <c r="A3" s="2"/>
      <c r="B3" s="42" t="s">
        <v>1</v>
      </c>
      <c r="C3" s="42"/>
      <c r="D3" s="42"/>
      <c r="E3" s="42"/>
      <c r="G3" s="42" t="s">
        <v>7</v>
      </c>
      <c r="H3" s="42"/>
      <c r="I3" s="42"/>
      <c r="J3" s="42"/>
      <c r="K3" s="42"/>
      <c r="M3" s="2" t="s">
        <v>16</v>
      </c>
      <c r="N3" s="2"/>
      <c r="O3" s="2"/>
      <c r="P3" s="2"/>
      <c r="Q3" s="2"/>
      <c r="R3" s="2"/>
      <c r="S3" s="2"/>
    </row>
    <row r="4" spans="1:19" x14ac:dyDescent="0.25">
      <c r="A4" s="2"/>
      <c r="M4" t="s">
        <v>17</v>
      </c>
      <c r="P4">
        <f>COUPDAYBS(I6,D9,2,0)</f>
        <v>56</v>
      </c>
      <c r="Q4" t="s">
        <v>26</v>
      </c>
    </row>
    <row r="5" spans="1:19" x14ac:dyDescent="0.25">
      <c r="A5" s="2"/>
      <c r="B5" t="s">
        <v>2</v>
      </c>
      <c r="D5" s="51" t="str">
        <f>YTM!C5</f>
        <v>AAPL4880748</v>
      </c>
      <c r="E5" s="51"/>
      <c r="G5" t="s">
        <v>8</v>
      </c>
      <c r="I5" s="57">
        <f>YTM!I5</f>
        <v>45415</v>
      </c>
      <c r="J5" s="57"/>
      <c r="K5" s="57"/>
      <c r="M5" t="s">
        <v>18</v>
      </c>
      <c r="P5">
        <f>COUPDAYSNC(I6,D9,2,0)</f>
        <v>124</v>
      </c>
      <c r="Q5" t="s">
        <v>26</v>
      </c>
    </row>
    <row r="6" spans="1:19" x14ac:dyDescent="0.25">
      <c r="A6" s="2"/>
      <c r="B6" t="s">
        <v>3</v>
      </c>
      <c r="D6" s="51" t="str">
        <f>YTM!C6</f>
        <v>037833DQ0</v>
      </c>
      <c r="E6" s="51"/>
      <c r="G6" t="s">
        <v>9</v>
      </c>
      <c r="I6" s="57">
        <f>YTM!I6</f>
        <v>45419</v>
      </c>
      <c r="J6" s="57"/>
      <c r="K6" s="57"/>
      <c r="M6" t="s">
        <v>19</v>
      </c>
      <c r="O6" s="30">
        <f>I10*(D8/2)</f>
        <v>147.5</v>
      </c>
      <c r="P6" s="30"/>
    </row>
    <row r="7" spans="1:19" x14ac:dyDescent="0.25">
      <c r="A7" s="2"/>
      <c r="B7" t="s">
        <v>4</v>
      </c>
      <c r="D7" s="51" t="str">
        <f>YTM!C7</f>
        <v>Apple Incorporation</v>
      </c>
      <c r="E7" s="51"/>
      <c r="G7" t="s">
        <v>10</v>
      </c>
      <c r="I7" s="58">
        <f>YTM!I7</f>
        <v>67.48</v>
      </c>
      <c r="J7" s="58"/>
      <c r="K7" s="58"/>
      <c r="M7" t="s">
        <v>20</v>
      </c>
      <c r="O7" s="41">
        <f>COUPNCD(I6,D9,2,0)</f>
        <v>45546</v>
      </c>
      <c r="P7" s="41"/>
    </row>
    <row r="8" spans="1:19" x14ac:dyDescent="0.25">
      <c r="A8" s="2"/>
      <c r="B8" t="s">
        <v>5</v>
      </c>
      <c r="D8" s="52">
        <f>YTM!C8</f>
        <v>2.9499999999999998E-2</v>
      </c>
      <c r="E8" s="53"/>
      <c r="M8" t="s">
        <v>21</v>
      </c>
      <c r="P8">
        <f>COUPNUM(I6,D9,2,0)</f>
        <v>51</v>
      </c>
    </row>
    <row r="9" spans="1:19" x14ac:dyDescent="0.25">
      <c r="A9" s="2"/>
      <c r="B9" t="s">
        <v>6</v>
      </c>
      <c r="D9" s="56">
        <f>YTM!C9</f>
        <v>54677</v>
      </c>
      <c r="E9" s="56"/>
      <c r="G9" s="2" t="s">
        <v>11</v>
      </c>
      <c r="H9" s="2"/>
      <c r="I9" s="1"/>
      <c r="J9" s="1"/>
      <c r="K9" s="1"/>
    </row>
    <row r="10" spans="1:19" x14ac:dyDescent="0.25">
      <c r="A10" s="2"/>
      <c r="G10" t="s">
        <v>12</v>
      </c>
      <c r="I10" s="59">
        <f>YTM!I10</f>
        <v>10000</v>
      </c>
      <c r="J10" s="60"/>
      <c r="K10" s="60"/>
    </row>
    <row r="11" spans="1:19" x14ac:dyDescent="0.25">
      <c r="A11" s="2"/>
      <c r="B11" t="s">
        <v>35</v>
      </c>
      <c r="D11" s="37">
        <v>47241</v>
      </c>
      <c r="E11" s="37"/>
      <c r="G11" t="s">
        <v>13</v>
      </c>
      <c r="I11" s="30">
        <f>I10*I7%</f>
        <v>6748.0000000000009</v>
      </c>
      <c r="J11" s="31"/>
      <c r="K11" s="31"/>
    </row>
    <row r="12" spans="1:19" x14ac:dyDescent="0.25">
      <c r="A12" s="2"/>
      <c r="B12" t="s">
        <v>36</v>
      </c>
      <c r="D12" s="61">
        <v>100</v>
      </c>
      <c r="E12" s="61"/>
      <c r="G12" t="s">
        <v>14</v>
      </c>
      <c r="I12" s="44">
        <f>(P4/360)*O6</f>
        <v>22.944444444444446</v>
      </c>
      <c r="J12" s="45"/>
      <c r="K12" s="45"/>
    </row>
    <row r="13" spans="1:19" ht="15.75" thickBot="1" x14ac:dyDescent="0.3">
      <c r="A13" s="2"/>
      <c r="G13" t="s">
        <v>15</v>
      </c>
      <c r="I13" s="54">
        <f>I11+I12</f>
        <v>6770.9444444444453</v>
      </c>
      <c r="J13" s="55"/>
      <c r="K13" s="55"/>
    </row>
    <row r="14" spans="1:19" ht="15.75" thickTop="1" x14ac:dyDescent="0.25">
      <c r="A14" s="2"/>
    </row>
    <row r="15" spans="1:19" x14ac:dyDescent="0.25">
      <c r="A15" s="2"/>
    </row>
    <row r="16" spans="1:19" x14ac:dyDescent="0.25">
      <c r="A16" s="2"/>
    </row>
    <row r="17" spans="1:19" x14ac:dyDescent="0.25">
      <c r="A17" s="2"/>
      <c r="G17" t="s">
        <v>37</v>
      </c>
      <c r="I17" s="5"/>
      <c r="J17" s="5"/>
      <c r="K17" s="15">
        <v>5.3171974145602499E-2</v>
      </c>
    </row>
    <row r="18" spans="1:19" x14ac:dyDescent="0.25">
      <c r="A18" s="2"/>
    </row>
    <row r="19" spans="1:19" x14ac:dyDescent="0.25">
      <c r="A19" s="1"/>
      <c r="B19" s="2"/>
      <c r="C19" s="2"/>
      <c r="D19" s="2"/>
      <c r="E19" s="2"/>
      <c r="F19" s="2"/>
      <c r="G19" s="42" t="s">
        <v>27</v>
      </c>
      <c r="H19" s="42"/>
      <c r="I19" s="40" t="s">
        <v>28</v>
      </c>
      <c r="J19" s="40"/>
      <c r="K19" s="40"/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1"/>
      <c r="I20" s="48">
        <f>SUM(I22:K46)</f>
        <v>2690.8170483326758</v>
      </c>
      <c r="J20" s="49"/>
      <c r="K20" s="49"/>
    </row>
    <row r="21" spans="1:19" x14ac:dyDescent="0.25">
      <c r="A21" s="1"/>
      <c r="B21" s="40" t="s">
        <v>29</v>
      </c>
      <c r="C21" s="40"/>
      <c r="D21" s="40" t="s">
        <v>30</v>
      </c>
      <c r="E21" s="40"/>
      <c r="F21" s="2"/>
      <c r="G21" s="40" t="s">
        <v>19</v>
      </c>
      <c r="H21" s="40"/>
      <c r="I21" s="40" t="s">
        <v>31</v>
      </c>
      <c r="J21" s="40"/>
      <c r="K21" s="40"/>
      <c r="L21" s="1"/>
      <c r="M21" s="40"/>
      <c r="N21" s="40"/>
      <c r="O21" s="40"/>
      <c r="P21" s="40"/>
      <c r="Q21" s="40"/>
      <c r="R21" s="40"/>
      <c r="S21" s="40"/>
    </row>
    <row r="22" spans="1:19" x14ac:dyDescent="0.25">
      <c r="A22" s="2">
        <v>1</v>
      </c>
      <c r="B22" s="34">
        <f>EDATE($O$7,6*(A22-1))</f>
        <v>45546</v>
      </c>
      <c r="C22" s="31"/>
      <c r="D22" s="50">
        <f>P5/180</f>
        <v>0.68888888888888888</v>
      </c>
      <c r="E22" s="50"/>
      <c r="G22" s="30">
        <f>$O$6</f>
        <v>147.5</v>
      </c>
      <c r="H22" s="31"/>
      <c r="I22" s="30">
        <f>G22/(1+$K$17/2)^D22</f>
        <v>144.85780589648428</v>
      </c>
      <c r="J22" s="31"/>
      <c r="K22" s="31"/>
    </row>
    <row r="23" spans="1:19" x14ac:dyDescent="0.25">
      <c r="A23" s="2">
        <v>2</v>
      </c>
      <c r="B23" s="34">
        <f t="shared" ref="B23:B28" si="0">EDATE($O$7,6*(A23-1))</f>
        <v>45727</v>
      </c>
      <c r="C23" s="31"/>
      <c r="D23" s="50">
        <f>1+$D$22</f>
        <v>1.6888888888888889</v>
      </c>
      <c r="E23" s="50"/>
      <c r="G23" s="30">
        <f t="shared" ref="G23:G71" si="1">$O$6</f>
        <v>147.5</v>
      </c>
      <c r="H23" s="31"/>
      <c r="I23" s="30">
        <f t="shared" ref="I23:I28" si="2">G23/(1+$K$17/2)^D23</f>
        <v>141.10635418814803</v>
      </c>
      <c r="J23" s="31"/>
      <c r="K23" s="31"/>
    </row>
    <row r="24" spans="1:19" x14ac:dyDescent="0.25">
      <c r="A24" s="2">
        <v>3</v>
      </c>
      <c r="B24" s="34">
        <f t="shared" si="0"/>
        <v>45911</v>
      </c>
      <c r="C24" s="31"/>
      <c r="D24" s="50">
        <f>2+$D$22</f>
        <v>2.6888888888888891</v>
      </c>
      <c r="E24" s="50"/>
      <c r="G24" s="30">
        <f t="shared" si="1"/>
        <v>147.5</v>
      </c>
      <c r="H24" s="31"/>
      <c r="I24" s="30">
        <f t="shared" si="2"/>
        <v>137.45205561445223</v>
      </c>
      <c r="J24" s="31"/>
      <c r="K24" s="31"/>
    </row>
    <row r="25" spans="1:19" x14ac:dyDescent="0.25">
      <c r="A25" s="2">
        <v>4</v>
      </c>
      <c r="B25" s="34">
        <f t="shared" si="0"/>
        <v>46092</v>
      </c>
      <c r="C25" s="31"/>
      <c r="D25" s="50">
        <f>3+$D$22</f>
        <v>3.6888888888888891</v>
      </c>
      <c r="E25" s="50"/>
      <c r="G25" s="30">
        <f t="shared" si="1"/>
        <v>147.5</v>
      </c>
      <c r="H25" s="31"/>
      <c r="I25" s="30">
        <f t="shared" si="2"/>
        <v>133.89239415431911</v>
      </c>
      <c r="J25" s="31"/>
      <c r="K25" s="31"/>
    </row>
    <row r="26" spans="1:19" x14ac:dyDescent="0.25">
      <c r="A26" s="2">
        <v>5</v>
      </c>
      <c r="B26" s="34">
        <f t="shared" si="0"/>
        <v>46276</v>
      </c>
      <c r="C26" s="31"/>
      <c r="D26" s="50">
        <f>4+$D$22</f>
        <v>4.6888888888888891</v>
      </c>
      <c r="E26" s="50"/>
      <c r="G26" s="30">
        <f t="shared" si="1"/>
        <v>147.5</v>
      </c>
      <c r="H26" s="31"/>
      <c r="I26" s="30">
        <f t="shared" si="2"/>
        <v>130.42491894526898</v>
      </c>
      <c r="J26" s="31"/>
      <c r="K26" s="31"/>
    </row>
    <row r="27" spans="1:19" x14ac:dyDescent="0.25">
      <c r="A27" s="2">
        <v>6</v>
      </c>
      <c r="B27" s="34">
        <f t="shared" si="0"/>
        <v>46457</v>
      </c>
      <c r="C27" s="31"/>
      <c r="D27" s="50">
        <f>5+$D$22</f>
        <v>5.6888888888888891</v>
      </c>
      <c r="E27" s="50"/>
      <c r="G27" s="30">
        <f t="shared" si="1"/>
        <v>147.5</v>
      </c>
      <c r="H27" s="31"/>
      <c r="I27" s="30">
        <f t="shared" si="2"/>
        <v>127.04724259597728</v>
      </c>
      <c r="J27" s="31"/>
      <c r="K27" s="31"/>
    </row>
    <row r="28" spans="1:19" x14ac:dyDescent="0.25">
      <c r="A28" s="2">
        <v>7</v>
      </c>
      <c r="B28" s="34">
        <f t="shared" si="0"/>
        <v>46641</v>
      </c>
      <c r="C28" s="31"/>
      <c r="D28" s="50">
        <f>6+$D$22</f>
        <v>6.6888888888888891</v>
      </c>
      <c r="E28" s="50"/>
      <c r="G28" s="30">
        <f t="shared" si="1"/>
        <v>147.5</v>
      </c>
      <c r="H28" s="31"/>
      <c r="I28" s="30">
        <f t="shared" si="2"/>
        <v>123.75703954253139</v>
      </c>
      <c r="J28" s="31"/>
      <c r="K28" s="31"/>
    </row>
    <row r="29" spans="1:19" x14ac:dyDescent="0.25">
      <c r="A29" s="2">
        <v>8</v>
      </c>
      <c r="B29" s="34">
        <f t="shared" ref="B29:B39" si="3">EDATE($O$7,6*(A29-1))</f>
        <v>46823</v>
      </c>
      <c r="C29" s="31"/>
      <c r="D29" s="50">
        <f>7+$D$22</f>
        <v>7.6888888888888891</v>
      </c>
      <c r="E29" s="50"/>
      <c r="G29" s="30">
        <f t="shared" si="1"/>
        <v>147.5</v>
      </c>
      <c r="H29" s="31"/>
      <c r="I29" s="30">
        <f t="shared" ref="I29:I40" si="4">G29/(1+$K$17/2)^D29</f>
        <v>120.55204444725685</v>
      </c>
      <c r="J29" s="31"/>
      <c r="K29" s="31"/>
    </row>
    <row r="30" spans="1:19" x14ac:dyDescent="0.25">
      <c r="A30" s="2">
        <v>9</v>
      </c>
      <c r="B30" s="34">
        <f t="shared" si="3"/>
        <v>47007</v>
      </c>
      <c r="C30" s="31"/>
      <c r="D30" s="50">
        <f>8+$D$22</f>
        <v>8.6888888888888882</v>
      </c>
      <c r="E30" s="50"/>
      <c r="G30" s="30">
        <f t="shared" si="1"/>
        <v>147.5</v>
      </c>
      <c r="H30" s="31"/>
      <c r="I30" s="30">
        <f t="shared" si="4"/>
        <v>117.43005063900972</v>
      </c>
      <c r="J30" s="31"/>
      <c r="K30" s="31"/>
    </row>
    <row r="31" spans="1:19" x14ac:dyDescent="0.25">
      <c r="A31" s="2">
        <v>10</v>
      </c>
      <c r="B31" s="34">
        <f t="shared" si="3"/>
        <v>47188</v>
      </c>
      <c r="C31" s="31"/>
      <c r="D31" s="50">
        <f>9+$D$22</f>
        <v>9.6888888888888882</v>
      </c>
      <c r="E31" s="50"/>
      <c r="G31" s="30">
        <f t="shared" si="1"/>
        <v>147.5</v>
      </c>
      <c r="H31" s="31"/>
      <c r="I31" s="30">
        <f t="shared" si="4"/>
        <v>114.38890859386147</v>
      </c>
      <c r="J31" s="31"/>
      <c r="K31" s="31"/>
    </row>
    <row r="32" spans="1:19" x14ac:dyDescent="0.25">
      <c r="A32" s="2">
        <v>11</v>
      </c>
      <c r="B32" s="34">
        <f t="shared" si="3"/>
        <v>47372</v>
      </c>
      <c r="C32" s="31"/>
      <c r="D32" s="50">
        <f>10+$D$22</f>
        <v>10.688888888888888</v>
      </c>
      <c r="E32" s="50"/>
      <c r="G32" s="30">
        <f t="shared" si="1"/>
        <v>147.5</v>
      </c>
      <c r="H32" s="31"/>
      <c r="I32" s="30">
        <f t="shared" si="4"/>
        <v>111.42652445513018</v>
      </c>
      <c r="J32" s="31"/>
      <c r="K32" s="31"/>
    </row>
    <row r="33" spans="1:11" x14ac:dyDescent="0.25">
      <c r="A33" s="2">
        <v>12</v>
      </c>
      <c r="B33" s="34">
        <f t="shared" si="3"/>
        <v>47553</v>
      </c>
      <c r="C33" s="31"/>
      <c r="D33" s="50">
        <f>11+$D$22</f>
        <v>11.688888888888888</v>
      </c>
      <c r="E33" s="50"/>
      <c r="G33" s="30">
        <f t="shared" si="1"/>
        <v>147.5</v>
      </c>
      <c r="H33" s="31"/>
      <c r="I33" s="30">
        <f t="shared" si="4"/>
        <v>108.54085859173945</v>
      </c>
      <c r="J33" s="31"/>
      <c r="K33" s="31"/>
    </row>
    <row r="34" spans="1:11" x14ac:dyDescent="0.25">
      <c r="A34" s="2">
        <v>13</v>
      </c>
      <c r="B34" s="34">
        <f t="shared" si="3"/>
        <v>47737</v>
      </c>
      <c r="C34" s="31"/>
      <c r="D34" s="50">
        <f>12+$D$22</f>
        <v>12.688888888888888</v>
      </c>
      <c r="E34" s="50"/>
      <c r="G34" s="30">
        <f t="shared" si="1"/>
        <v>147.5</v>
      </c>
      <c r="H34" s="31"/>
      <c r="I34" s="30">
        <f t="shared" si="4"/>
        <v>105.72992419391183</v>
      </c>
      <c r="J34" s="31"/>
      <c r="K34" s="31"/>
    </row>
    <row r="35" spans="1:11" x14ac:dyDescent="0.25">
      <c r="A35" s="2">
        <v>14</v>
      </c>
      <c r="B35" s="34">
        <f t="shared" si="3"/>
        <v>47918</v>
      </c>
      <c r="C35" s="31"/>
      <c r="D35" s="50">
        <f>13+$D$22</f>
        <v>13.688888888888888</v>
      </c>
      <c r="E35" s="50"/>
      <c r="G35" s="30">
        <f t="shared" si="1"/>
        <v>147.5</v>
      </c>
      <c r="H35" s="31"/>
      <c r="I35" s="30">
        <f t="shared" si="4"/>
        <v>102.99178590523064</v>
      </c>
      <c r="J35" s="31"/>
      <c r="K35" s="31"/>
    </row>
    <row r="36" spans="1:11" x14ac:dyDescent="0.25">
      <c r="A36" s="2">
        <v>15</v>
      </c>
      <c r="B36" s="34">
        <f t="shared" si="3"/>
        <v>48102</v>
      </c>
      <c r="C36" s="31"/>
      <c r="D36" s="50">
        <f>14+$D$22</f>
        <v>14.688888888888888</v>
      </c>
      <c r="E36" s="50"/>
      <c r="G36" s="30">
        <f t="shared" si="1"/>
        <v>147.5</v>
      </c>
      <c r="H36" s="31"/>
      <c r="I36" s="30">
        <f t="shared" si="4"/>
        <v>100.32455849012761</v>
      </c>
      <c r="J36" s="31"/>
      <c r="K36" s="31"/>
    </row>
    <row r="37" spans="1:11" x14ac:dyDescent="0.25">
      <c r="A37" s="2">
        <v>16</v>
      </c>
      <c r="B37" s="34">
        <f t="shared" si="3"/>
        <v>48284</v>
      </c>
      <c r="C37" s="31"/>
      <c r="D37" s="50">
        <f>15+$D$22</f>
        <v>15.688888888888888</v>
      </c>
      <c r="E37" s="50"/>
      <c r="G37" s="30">
        <f t="shared" si="1"/>
        <v>147.5</v>
      </c>
      <c r="H37" s="31"/>
      <c r="I37" s="30">
        <f t="shared" si="4"/>
        <v>97.72640553587938</v>
      </c>
      <c r="J37" s="31"/>
      <c r="K37" s="31"/>
    </row>
    <row r="38" spans="1:11" x14ac:dyDescent="0.25">
      <c r="A38" s="2">
        <v>17</v>
      </c>
      <c r="B38" s="34">
        <f t="shared" si="3"/>
        <v>48468</v>
      </c>
      <c r="C38" s="31"/>
      <c r="D38" s="50">
        <f>16+$D$22</f>
        <v>16.68888888888889</v>
      </c>
      <c r="E38" s="50"/>
      <c r="G38" s="30">
        <f t="shared" si="1"/>
        <v>147.5</v>
      </c>
      <c r="H38" s="31"/>
      <c r="I38" s="30">
        <f t="shared" si="4"/>
        <v>95.195538188219018</v>
      </c>
      <c r="J38" s="31"/>
      <c r="K38" s="31"/>
    </row>
    <row r="39" spans="1:11" x14ac:dyDescent="0.25">
      <c r="A39" s="2">
        <v>18</v>
      </c>
      <c r="B39" s="34">
        <f t="shared" si="3"/>
        <v>48649</v>
      </c>
      <c r="C39" s="31"/>
      <c r="D39" s="50">
        <f>17+$D$22</f>
        <v>17.68888888888889</v>
      </c>
      <c r="E39" s="50"/>
      <c r="G39" s="30">
        <f t="shared" si="1"/>
        <v>147.5</v>
      </c>
      <c r="H39" s="31"/>
      <c r="I39" s="30">
        <f t="shared" si="4"/>
        <v>92.730213919691991</v>
      </c>
      <c r="J39" s="31"/>
      <c r="K39" s="31"/>
    </row>
    <row r="40" spans="1:11" x14ac:dyDescent="0.25">
      <c r="A40" s="2">
        <v>19</v>
      </c>
      <c r="B40" s="34">
        <f t="shared" ref="B40:B41" si="5">EDATE($O$7,6*(A40-1))</f>
        <v>48833</v>
      </c>
      <c r="C40" s="31"/>
      <c r="D40" s="50">
        <f>18+$D$22</f>
        <v>18.68888888888889</v>
      </c>
      <c r="E40" s="50"/>
      <c r="G40" s="30">
        <f t="shared" si="1"/>
        <v>147.5</v>
      </c>
      <c r="H40" s="31"/>
      <c r="I40" s="30">
        <f t="shared" si="4"/>
        <v>90.32873532990854</v>
      </c>
      <c r="J40" s="31"/>
      <c r="K40" s="31"/>
    </row>
    <row r="41" spans="1:11" x14ac:dyDescent="0.25">
      <c r="A41" s="2">
        <v>20</v>
      </c>
      <c r="B41" s="34">
        <f t="shared" si="5"/>
        <v>49014</v>
      </c>
      <c r="C41" s="31"/>
      <c r="D41" s="50">
        <f>19+$D$22</f>
        <v>19.68888888888889</v>
      </c>
      <c r="E41" s="50"/>
      <c r="G41" s="30">
        <f t="shared" si="1"/>
        <v>147.5</v>
      </c>
      <c r="H41" s="31"/>
      <c r="I41" s="30">
        <f t="shared" ref="I41:I45" si="6">G41/(1+$K$17/2)^D41</f>
        <v>87.989448976866655</v>
      </c>
      <c r="J41" s="31"/>
      <c r="K41" s="31"/>
    </row>
    <row r="42" spans="1:11" x14ac:dyDescent="0.25">
      <c r="A42" s="2">
        <v>21</v>
      </c>
      <c r="B42" s="34">
        <f t="shared" ref="B42:B46" si="7">EDATE($O$7,6*(A42-1))</f>
        <v>49198</v>
      </c>
      <c r="C42" s="31"/>
      <c r="D42" s="50">
        <f>20+$D$22</f>
        <v>20.68888888888889</v>
      </c>
      <c r="E42" s="50"/>
      <c r="G42" s="30">
        <f t="shared" si="1"/>
        <v>147.5</v>
      </c>
      <c r="H42" s="31"/>
      <c r="I42" s="30">
        <f t="shared" si="6"/>
        <v>85.710744238540627</v>
      </c>
      <c r="J42" s="31"/>
      <c r="K42" s="31"/>
    </row>
    <row r="43" spans="1:11" x14ac:dyDescent="0.25">
      <c r="A43" s="2">
        <v>22</v>
      </c>
      <c r="B43" s="34">
        <f t="shared" si="7"/>
        <v>49379</v>
      </c>
      <c r="C43" s="31"/>
      <c r="D43" s="50">
        <f>21+$D$22</f>
        <v>21.68888888888889</v>
      </c>
      <c r="E43" s="50"/>
      <c r="G43" s="30">
        <f t="shared" si="1"/>
        <v>147.5</v>
      </c>
      <c r="H43" s="31"/>
      <c r="I43" s="30">
        <f t="shared" si="6"/>
        <v>83.491052203951796</v>
      </c>
      <c r="J43" s="31"/>
      <c r="K43" s="31"/>
    </row>
    <row r="44" spans="1:11" x14ac:dyDescent="0.25">
      <c r="A44" s="2">
        <v>23</v>
      </c>
      <c r="B44" s="34">
        <f t="shared" si="7"/>
        <v>49563</v>
      </c>
      <c r="C44" s="31"/>
      <c r="D44" s="50">
        <f>22+$D$22</f>
        <v>22.68888888888889</v>
      </c>
      <c r="E44" s="50"/>
      <c r="G44" s="30">
        <f t="shared" si="1"/>
        <v>147.5</v>
      </c>
      <c r="H44" s="31"/>
      <c r="I44" s="30">
        <f t="shared" si="6"/>
        <v>81.328844592957552</v>
      </c>
      <c r="J44" s="31"/>
      <c r="K44" s="31"/>
    </row>
    <row r="45" spans="1:11" x14ac:dyDescent="0.25">
      <c r="A45" s="2">
        <v>24</v>
      </c>
      <c r="B45" s="34">
        <f t="shared" si="7"/>
        <v>49745</v>
      </c>
      <c r="C45" s="31"/>
      <c r="D45" s="50">
        <f>23+$D$22</f>
        <v>23.68888888888889</v>
      </c>
      <c r="E45" s="50"/>
      <c r="G45" s="30">
        <f t="shared" si="1"/>
        <v>147.5</v>
      </c>
      <c r="H45" s="31"/>
      <c r="I45" s="30">
        <f t="shared" si="6"/>
        <v>79.222632704015311</v>
      </c>
      <c r="J45" s="31"/>
      <c r="K45" s="31"/>
    </row>
    <row r="46" spans="1:11" x14ac:dyDescent="0.25">
      <c r="A46" s="2">
        <v>25</v>
      </c>
      <c r="B46" s="34">
        <f t="shared" si="7"/>
        <v>49929</v>
      </c>
      <c r="C46" s="31"/>
      <c r="D46" s="50">
        <f>24+$D$22</f>
        <v>24.68888888888889</v>
      </c>
      <c r="E46" s="50"/>
      <c r="G46" s="30">
        <f t="shared" si="1"/>
        <v>147.5</v>
      </c>
      <c r="H46" s="31"/>
      <c r="I46" s="30">
        <f t="shared" ref="I46" si="8">G46/(1+$K$17/2)^D46</f>
        <v>77.170966389196536</v>
      </c>
      <c r="J46" s="30"/>
      <c r="K46" s="30"/>
    </row>
    <row r="47" spans="1:11" x14ac:dyDescent="0.25">
      <c r="A47" s="2">
        <v>26</v>
      </c>
      <c r="B47" s="34">
        <f t="shared" ref="B47" si="9">EDATE($O$7,6*(A47-1))</f>
        <v>50110</v>
      </c>
      <c r="C47" s="31"/>
      <c r="D47" s="50">
        <f>25+$D$22</f>
        <v>25.68888888888889</v>
      </c>
      <c r="E47" s="50"/>
      <c r="G47" s="30">
        <f t="shared" si="1"/>
        <v>147.5</v>
      </c>
      <c r="H47" s="31"/>
      <c r="I47" s="30">
        <f t="shared" ref="I47:I48" si="10">G47/(1+$K$17/2)^D47</f>
        <v>75.172433055745458</v>
      </c>
      <c r="J47" s="30"/>
      <c r="K47" s="30"/>
    </row>
    <row r="48" spans="1:11" x14ac:dyDescent="0.25">
      <c r="A48" s="2">
        <v>27</v>
      </c>
      <c r="B48" s="34">
        <f t="shared" ref="B48" si="11">EDATE($O$7,6*(A48-1))</f>
        <v>50294</v>
      </c>
      <c r="C48" s="31"/>
      <c r="D48" s="50">
        <f>26+$D$22</f>
        <v>26.68888888888889</v>
      </c>
      <c r="E48" s="50"/>
      <c r="G48" s="30">
        <f t="shared" si="1"/>
        <v>147.5</v>
      </c>
      <c r="H48" s="31"/>
      <c r="I48" s="30">
        <f t="shared" si="10"/>
        <v>73.225656693494827</v>
      </c>
      <c r="J48" s="30"/>
      <c r="K48" s="30"/>
    </row>
    <row r="49" spans="1:11" x14ac:dyDescent="0.25">
      <c r="A49" s="2">
        <v>28</v>
      </c>
      <c r="B49" s="34">
        <f t="shared" ref="B49" si="12">EDATE($O$7,6*(A49-1))</f>
        <v>50475</v>
      </c>
      <c r="C49" s="31"/>
      <c r="D49" s="50">
        <f>27+$D$22</f>
        <v>27.68888888888889</v>
      </c>
      <c r="E49" s="50"/>
      <c r="G49" s="30">
        <f t="shared" si="1"/>
        <v>147.5</v>
      </c>
      <c r="H49" s="31"/>
      <c r="I49" s="30">
        <f t="shared" ref="I49:I71" si="13">G49/(1+$K$17/2)^D49</f>
        <v>71.329296927469116</v>
      </c>
      <c r="J49" s="30"/>
      <c r="K49" s="30"/>
    </row>
    <row r="50" spans="1:11" x14ac:dyDescent="0.25">
      <c r="A50" s="2">
        <v>29</v>
      </c>
      <c r="B50" s="34">
        <f t="shared" ref="B50" si="14">EDATE($O$7,6*(A50-1))</f>
        <v>50659</v>
      </c>
      <c r="C50" s="31"/>
      <c r="D50" s="50">
        <f>28+$D$22</f>
        <v>28.68888888888889</v>
      </c>
      <c r="E50" s="50"/>
      <c r="G50" s="30">
        <f t="shared" si="1"/>
        <v>147.5</v>
      </c>
      <c r="H50" s="31"/>
      <c r="I50" s="30">
        <f t="shared" si="13"/>
        <v>69.482048095023075</v>
      </c>
      <c r="J50" s="30"/>
      <c r="K50" s="30"/>
    </row>
    <row r="51" spans="1:11" x14ac:dyDescent="0.25">
      <c r="A51" s="2">
        <v>30</v>
      </c>
      <c r="B51" s="34">
        <f t="shared" ref="B51:B59" si="15">EDATE($O$7,6*(A51-1))</f>
        <v>50840</v>
      </c>
      <c r="C51" s="31"/>
      <c r="D51" s="50">
        <f>29+$D$22</f>
        <v>29.68888888888889</v>
      </c>
      <c r="E51" s="50"/>
      <c r="G51" s="30">
        <f t="shared" si="1"/>
        <v>147.5</v>
      </c>
      <c r="H51" s="31"/>
      <c r="I51" s="30">
        <f t="shared" si="13"/>
        <v>67.682638346879827</v>
      </c>
      <c r="J51" s="30"/>
      <c r="K51" s="30"/>
    </row>
    <row r="52" spans="1:11" x14ac:dyDescent="0.25">
      <c r="A52" s="2">
        <v>31</v>
      </c>
      <c r="B52" s="34">
        <f t="shared" si="15"/>
        <v>51024</v>
      </c>
      <c r="C52" s="31"/>
      <c r="D52" s="50">
        <f>30+$D$22</f>
        <v>30.68888888888889</v>
      </c>
      <c r="E52" s="50"/>
      <c r="G52" s="30">
        <f t="shared" si="1"/>
        <v>147.5</v>
      </c>
      <c r="H52" s="31"/>
      <c r="I52" s="30">
        <f t="shared" si="13"/>
        <v>65.929828771450062</v>
      </c>
      <c r="J52" s="30"/>
      <c r="K52" s="30"/>
    </row>
    <row r="53" spans="1:11" x14ac:dyDescent="0.25">
      <c r="A53" s="2">
        <v>32</v>
      </c>
      <c r="B53" s="34">
        <f t="shared" si="15"/>
        <v>51206</v>
      </c>
      <c r="C53" s="31"/>
      <c r="D53" s="50">
        <f>31+$D$22</f>
        <v>31.68888888888889</v>
      </c>
      <c r="E53" s="50"/>
      <c r="G53" s="30">
        <f t="shared" si="1"/>
        <v>147.5</v>
      </c>
      <c r="H53" s="31"/>
      <c r="I53" s="30">
        <f t="shared" si="13"/>
        <v>64.222412541828874</v>
      </c>
      <c r="J53" s="30"/>
      <c r="K53" s="30"/>
    </row>
    <row r="54" spans="1:11" x14ac:dyDescent="0.25">
      <c r="A54" s="2">
        <v>33</v>
      </c>
      <c r="B54" s="34">
        <f t="shared" si="15"/>
        <v>51390</v>
      </c>
      <c r="C54" s="31"/>
      <c r="D54" s="50">
        <f>32+$D$22</f>
        <v>32.68888888888889</v>
      </c>
      <c r="E54" s="50"/>
      <c r="G54" s="30">
        <f t="shared" si="1"/>
        <v>147.5</v>
      </c>
      <c r="H54" s="31"/>
      <c r="I54" s="30">
        <f t="shared" si="13"/>
        <v>62.559214084883557</v>
      </c>
      <c r="J54" s="30"/>
      <c r="K54" s="30"/>
    </row>
    <row r="55" spans="1:11" x14ac:dyDescent="0.25">
      <c r="A55" s="2">
        <v>34</v>
      </c>
      <c r="B55" s="34">
        <f t="shared" si="15"/>
        <v>51571</v>
      </c>
      <c r="C55" s="31"/>
      <c r="D55" s="50">
        <f>33+$D$22</f>
        <v>33.68888888888889</v>
      </c>
      <c r="E55" s="50"/>
      <c r="G55" s="30">
        <f t="shared" si="1"/>
        <v>147.5</v>
      </c>
      <c r="H55" s="31"/>
      <c r="I55" s="30">
        <f t="shared" si="13"/>
        <v>60.939088271859596</v>
      </c>
      <c r="J55" s="30"/>
      <c r="K55" s="30"/>
    </row>
    <row r="56" spans="1:11" x14ac:dyDescent="0.25">
      <c r="A56" s="2">
        <v>35</v>
      </c>
      <c r="B56" s="34">
        <f t="shared" si="15"/>
        <v>51755</v>
      </c>
      <c r="C56" s="31"/>
      <c r="D56" s="50">
        <f>34+$D$22</f>
        <v>34.68888888888889</v>
      </c>
      <c r="E56" s="50"/>
      <c r="G56" s="30">
        <f t="shared" si="1"/>
        <v>147.5</v>
      </c>
      <c r="H56" s="31"/>
      <c r="I56" s="30">
        <f t="shared" si="13"/>
        <v>59.360919629948185</v>
      </c>
      <c r="J56" s="30"/>
      <c r="K56" s="30"/>
    </row>
    <row r="57" spans="1:11" x14ac:dyDescent="0.25">
      <c r="A57" s="2">
        <v>36</v>
      </c>
      <c r="B57" s="34">
        <f t="shared" si="15"/>
        <v>51936</v>
      </c>
      <c r="C57" s="31"/>
      <c r="D57" s="50">
        <f>35+$D$22</f>
        <v>35.68888888888889</v>
      </c>
      <c r="E57" s="50"/>
      <c r="G57" s="30">
        <f t="shared" si="1"/>
        <v>147.5</v>
      </c>
      <c r="H57" s="31"/>
      <c r="I57" s="30">
        <f t="shared" si="13"/>
        <v>57.823621574272032</v>
      </c>
      <c r="J57" s="30"/>
      <c r="K57" s="30"/>
    </row>
    <row r="58" spans="1:11" x14ac:dyDescent="0.25">
      <c r="A58" s="2">
        <v>37</v>
      </c>
      <c r="B58" s="34">
        <f t="shared" si="15"/>
        <v>52120</v>
      </c>
      <c r="C58" s="31"/>
      <c r="D58" s="50">
        <f>36+$D$22</f>
        <v>36.68888888888889</v>
      </c>
      <c r="E58" s="50"/>
      <c r="G58" s="30">
        <f t="shared" si="1"/>
        <v>147.5</v>
      </c>
      <c r="H58" s="31"/>
      <c r="I58" s="30">
        <f t="shared" si="13"/>
        <v>56.326135659760787</v>
      </c>
      <c r="J58" s="30"/>
      <c r="K58" s="30"/>
    </row>
    <row r="59" spans="1:11" x14ac:dyDescent="0.25">
      <c r="A59" s="2">
        <v>38</v>
      </c>
      <c r="B59" s="34">
        <f t="shared" si="15"/>
        <v>52301</v>
      </c>
      <c r="C59" s="31"/>
      <c r="D59" s="50">
        <f>37+$D$22</f>
        <v>37.68888888888889</v>
      </c>
      <c r="E59" s="50"/>
      <c r="G59" s="30">
        <f t="shared" si="1"/>
        <v>147.5</v>
      </c>
      <c r="H59" s="31"/>
      <c r="I59" s="30">
        <f t="shared" si="13"/>
        <v>54.867430852401021</v>
      </c>
      <c r="J59" s="30"/>
      <c r="K59" s="30"/>
    </row>
    <row r="60" spans="1:11" x14ac:dyDescent="0.25">
      <c r="A60" s="2">
        <v>39</v>
      </c>
      <c r="B60" s="34">
        <f t="shared" ref="B60:B65" si="16">EDATE($O$7,6*(A60-1))</f>
        <v>52485</v>
      </c>
      <c r="C60" s="31"/>
      <c r="D60" s="50">
        <f>38+$D$22</f>
        <v>38.68888888888889</v>
      </c>
      <c r="E60" s="50"/>
      <c r="G60" s="30">
        <f t="shared" si="1"/>
        <v>147.5</v>
      </c>
      <c r="H60" s="31"/>
      <c r="I60" s="30">
        <f t="shared" si="13"/>
        <v>53.446502819359104</v>
      </c>
      <c r="J60" s="30"/>
      <c r="K60" s="30"/>
    </row>
    <row r="61" spans="1:11" x14ac:dyDescent="0.25">
      <c r="A61" s="2">
        <v>40</v>
      </c>
      <c r="B61" s="34">
        <f t="shared" si="16"/>
        <v>52667</v>
      </c>
      <c r="C61" s="31"/>
      <c r="D61" s="50">
        <f>39+$D$22</f>
        <v>39.68888888888889</v>
      </c>
      <c r="E61" s="50"/>
      <c r="G61" s="30">
        <f t="shared" si="1"/>
        <v>147.5</v>
      </c>
      <c r="H61" s="31"/>
      <c r="I61" s="30">
        <f t="shared" si="13"/>
        <v>52.062373237487883</v>
      </c>
      <c r="J61" s="30"/>
      <c r="K61" s="30"/>
    </row>
    <row r="62" spans="1:11" x14ac:dyDescent="0.25">
      <c r="A62" s="2">
        <v>41</v>
      </c>
      <c r="B62" s="34">
        <f t="shared" si="16"/>
        <v>52851</v>
      </c>
      <c r="C62" s="31"/>
      <c r="D62" s="50">
        <f>40+$D$22</f>
        <v>40.68888888888889</v>
      </c>
      <c r="E62" s="50"/>
      <c r="G62" s="30">
        <f t="shared" si="1"/>
        <v>147.5</v>
      </c>
      <c r="H62" s="31"/>
      <c r="I62" s="30">
        <f t="shared" si="13"/>
        <v>50.714089119741544</v>
      </c>
      <c r="J62" s="30"/>
      <c r="K62" s="30"/>
    </row>
    <row r="63" spans="1:11" x14ac:dyDescent="0.25">
      <c r="A63" s="2">
        <v>42</v>
      </c>
      <c r="B63" s="34">
        <f t="shared" si="16"/>
        <v>53032</v>
      </c>
      <c r="C63" s="31"/>
      <c r="D63" s="50">
        <f>41+$D$22</f>
        <v>41.68888888888889</v>
      </c>
      <c r="E63" s="50"/>
      <c r="G63" s="30">
        <f t="shared" si="1"/>
        <v>147.5</v>
      </c>
      <c r="H63" s="31"/>
      <c r="I63" s="30">
        <f t="shared" si="13"/>
        <v>49.400722159034409</v>
      </c>
      <c r="J63" s="30"/>
      <c r="K63" s="30"/>
    </row>
    <row r="64" spans="1:11" x14ac:dyDescent="0.25">
      <c r="A64" s="2">
        <v>43</v>
      </c>
      <c r="B64" s="34">
        <f t="shared" si="16"/>
        <v>53216</v>
      </c>
      <c r="C64" s="31"/>
      <c r="D64" s="50">
        <f>42+$D$22</f>
        <v>42.68888888888889</v>
      </c>
      <c r="E64" s="50"/>
      <c r="G64" s="30">
        <f t="shared" si="1"/>
        <v>147.5</v>
      </c>
      <c r="H64" s="31"/>
      <c r="I64" s="30">
        <f t="shared" si="13"/>
        <v>48.121368089092279</v>
      </c>
      <c r="J64" s="30"/>
      <c r="K64" s="30"/>
    </row>
    <row r="65" spans="1:11" x14ac:dyDescent="0.25">
      <c r="A65" s="2">
        <v>44</v>
      </c>
      <c r="B65" s="34">
        <f t="shared" si="16"/>
        <v>53397</v>
      </c>
      <c r="C65" s="31"/>
      <c r="D65" s="50">
        <f>43+$D$22</f>
        <v>43.68888888888889</v>
      </c>
      <c r="E65" s="50"/>
      <c r="G65" s="30">
        <f t="shared" si="1"/>
        <v>147.5</v>
      </c>
      <c r="H65" s="31"/>
      <c r="I65" s="30">
        <f t="shared" si="13"/>
        <v>46.8751460618561</v>
      </c>
      <c r="J65" s="30"/>
      <c r="K65" s="30"/>
    </row>
    <row r="66" spans="1:11" x14ac:dyDescent="0.25">
      <c r="A66" s="2">
        <v>45</v>
      </c>
      <c r="B66" s="34">
        <f t="shared" ref="B66:B72" si="17">EDATE($O$7,6*(A66-1))</f>
        <v>53581</v>
      </c>
      <c r="C66" s="31"/>
      <c r="D66" s="50">
        <f>44+$D$22</f>
        <v>44.68888888888889</v>
      </c>
      <c r="E66" s="50"/>
      <c r="G66" s="30">
        <f t="shared" si="1"/>
        <v>147.5</v>
      </c>
      <c r="H66" s="31"/>
      <c r="I66" s="30">
        <f t="shared" si="13"/>
        <v>45.661198041009207</v>
      </c>
      <c r="J66" s="30"/>
      <c r="K66" s="30"/>
    </row>
    <row r="67" spans="1:11" x14ac:dyDescent="0.25">
      <c r="A67" s="2">
        <v>46</v>
      </c>
      <c r="B67" s="34">
        <f t="shared" si="17"/>
        <v>53762</v>
      </c>
      <c r="C67" s="31"/>
      <c r="D67" s="50">
        <f>45+$D$22</f>
        <v>45.68888888888889</v>
      </c>
      <c r="E67" s="50"/>
      <c r="G67" s="30">
        <f t="shared" si="1"/>
        <v>147.5</v>
      </c>
      <c r="H67" s="31"/>
      <c r="I67" s="30">
        <f t="shared" si="13"/>
        <v>44.478688211210788</v>
      </c>
      <c r="J67" s="30"/>
      <c r="K67" s="30"/>
    </row>
    <row r="68" spans="1:11" x14ac:dyDescent="0.25">
      <c r="A68" s="2">
        <v>47</v>
      </c>
      <c r="B68" s="34">
        <f t="shared" si="17"/>
        <v>53946</v>
      </c>
      <c r="C68" s="31"/>
      <c r="D68" s="50">
        <f>46+$D$22</f>
        <v>46.68888888888889</v>
      </c>
      <c r="E68" s="50"/>
      <c r="G68" s="30">
        <f t="shared" si="1"/>
        <v>147.5</v>
      </c>
      <c r="H68" s="31"/>
      <c r="I68" s="30">
        <f t="shared" si="13"/>
        <v>43.326802402628694</v>
      </c>
      <c r="J68" s="30"/>
      <c r="K68" s="30"/>
    </row>
    <row r="69" spans="1:11" x14ac:dyDescent="0.25">
      <c r="A69" s="2">
        <v>48</v>
      </c>
      <c r="B69" s="34">
        <f t="shared" si="17"/>
        <v>54128</v>
      </c>
      <c r="C69" s="31"/>
      <c r="D69" s="50">
        <f>47+$D$22</f>
        <v>47.68888888888889</v>
      </c>
      <c r="E69" s="50"/>
      <c r="G69" s="30">
        <f t="shared" si="1"/>
        <v>147.5</v>
      </c>
      <c r="H69" s="31"/>
      <c r="I69" s="30">
        <f t="shared" si="13"/>
        <v>42.204747530375286</v>
      </c>
      <c r="J69" s="30"/>
      <c r="K69" s="30"/>
    </row>
    <row r="70" spans="1:11" x14ac:dyDescent="0.25">
      <c r="A70" s="2">
        <v>49</v>
      </c>
      <c r="B70" s="34">
        <f t="shared" si="17"/>
        <v>54312</v>
      </c>
      <c r="C70" s="31"/>
      <c r="D70" s="50">
        <f>48+$D$22</f>
        <v>48.68888888888889</v>
      </c>
      <c r="E70" s="50"/>
      <c r="G70" s="30">
        <f t="shared" si="1"/>
        <v>147.5</v>
      </c>
      <c r="H70" s="31"/>
      <c r="I70" s="30">
        <f t="shared" si="13"/>
        <v>41.111751048460683</v>
      </c>
      <c r="J70" s="30"/>
      <c r="K70" s="30"/>
    </row>
    <row r="71" spans="1:11" x14ac:dyDescent="0.25">
      <c r="A71" s="2">
        <v>50</v>
      </c>
      <c r="B71" s="34">
        <f t="shared" si="17"/>
        <v>54493</v>
      </c>
      <c r="C71" s="31"/>
      <c r="D71" s="50">
        <f>49+$D$22</f>
        <v>49.68888888888889</v>
      </c>
      <c r="E71" s="50"/>
      <c r="G71" s="30">
        <f t="shared" si="1"/>
        <v>147.5</v>
      </c>
      <c r="H71" s="31"/>
      <c r="I71" s="30">
        <f t="shared" si="13"/>
        <v>40.047060417887046</v>
      </c>
      <c r="J71" s="30"/>
      <c r="K71" s="30"/>
    </row>
    <row r="72" spans="1:11" x14ac:dyDescent="0.25">
      <c r="A72" s="2">
        <v>51</v>
      </c>
      <c r="B72" s="34">
        <f t="shared" si="17"/>
        <v>54677</v>
      </c>
      <c r="C72" s="31"/>
      <c r="D72" s="50">
        <f>50+$D$22</f>
        <v>50.68888888888889</v>
      </c>
      <c r="E72" s="50"/>
      <c r="G72" s="30">
        <f>O6+I10</f>
        <v>10147.5</v>
      </c>
      <c r="H72" s="31"/>
      <c r="I72" s="30">
        <f>G72/(1+$K$17/2)^D72</f>
        <v>2683.7518129965174</v>
      </c>
      <c r="J72" s="30"/>
      <c r="K72" s="30"/>
    </row>
  </sheetData>
  <mergeCells count="232">
    <mergeCell ref="B39:C39"/>
    <mergeCell ref="D39:E39"/>
    <mergeCell ref="G39:H39"/>
    <mergeCell ref="I39:K39"/>
    <mergeCell ref="B40:C40"/>
    <mergeCell ref="D40:E40"/>
    <mergeCell ref="G40:H40"/>
    <mergeCell ref="I40:K40"/>
    <mergeCell ref="B37:C37"/>
    <mergeCell ref="D37:E37"/>
    <mergeCell ref="G37:H37"/>
    <mergeCell ref="I37:K37"/>
    <mergeCell ref="B38:C38"/>
    <mergeCell ref="D38:E38"/>
    <mergeCell ref="G38:H38"/>
    <mergeCell ref="I38:K38"/>
    <mergeCell ref="I36:K36"/>
    <mergeCell ref="B33:C33"/>
    <mergeCell ref="D33:E33"/>
    <mergeCell ref="G33:H33"/>
    <mergeCell ref="I33:K33"/>
    <mergeCell ref="B34:C34"/>
    <mergeCell ref="D34:E34"/>
    <mergeCell ref="G34:H34"/>
    <mergeCell ref="I34:K34"/>
    <mergeCell ref="B35:C35"/>
    <mergeCell ref="D35:E35"/>
    <mergeCell ref="G35:H35"/>
    <mergeCell ref="I35:K35"/>
    <mergeCell ref="B36:C36"/>
    <mergeCell ref="D36:E36"/>
    <mergeCell ref="G36:H36"/>
    <mergeCell ref="B31:C31"/>
    <mergeCell ref="D31:E31"/>
    <mergeCell ref="G31:H31"/>
    <mergeCell ref="I31:K31"/>
    <mergeCell ref="B32:C32"/>
    <mergeCell ref="D32:E32"/>
    <mergeCell ref="G32:H32"/>
    <mergeCell ref="I32:K32"/>
    <mergeCell ref="B29:C29"/>
    <mergeCell ref="D29:E29"/>
    <mergeCell ref="G29:H29"/>
    <mergeCell ref="I29:K29"/>
    <mergeCell ref="B30:C30"/>
    <mergeCell ref="D30:E30"/>
    <mergeCell ref="G30:H30"/>
    <mergeCell ref="I30:K30"/>
    <mergeCell ref="B27:C27"/>
    <mergeCell ref="D27:E27"/>
    <mergeCell ref="G27:H27"/>
    <mergeCell ref="I27:K27"/>
    <mergeCell ref="B28:C28"/>
    <mergeCell ref="D28:E28"/>
    <mergeCell ref="G28:H28"/>
    <mergeCell ref="I28:K28"/>
    <mergeCell ref="B25:C25"/>
    <mergeCell ref="D25:E25"/>
    <mergeCell ref="G25:H25"/>
    <mergeCell ref="I25:K25"/>
    <mergeCell ref="B26:C26"/>
    <mergeCell ref="D26:E26"/>
    <mergeCell ref="G26:H26"/>
    <mergeCell ref="I26:K26"/>
    <mergeCell ref="B23:C23"/>
    <mergeCell ref="D23:E23"/>
    <mergeCell ref="G23:H23"/>
    <mergeCell ref="I23:K23"/>
    <mergeCell ref="B24:C24"/>
    <mergeCell ref="D24:E24"/>
    <mergeCell ref="G24:H24"/>
    <mergeCell ref="I24:K24"/>
    <mergeCell ref="M21:O21"/>
    <mergeCell ref="P21:Q21"/>
    <mergeCell ref="R21:S21"/>
    <mergeCell ref="B22:C22"/>
    <mergeCell ref="D22:E22"/>
    <mergeCell ref="G22:H22"/>
    <mergeCell ref="I22:K22"/>
    <mergeCell ref="G19:H19"/>
    <mergeCell ref="I19:K19"/>
    <mergeCell ref="I20:K20"/>
    <mergeCell ref="B21:C21"/>
    <mergeCell ref="D21:E21"/>
    <mergeCell ref="G21:H21"/>
    <mergeCell ref="I21:K21"/>
    <mergeCell ref="B3:E3"/>
    <mergeCell ref="G3:K3"/>
    <mergeCell ref="D5:E5"/>
    <mergeCell ref="D6:E6"/>
    <mergeCell ref="D7:E7"/>
    <mergeCell ref="D8:E8"/>
    <mergeCell ref="I12:K12"/>
    <mergeCell ref="I13:K13"/>
    <mergeCell ref="O7:P7"/>
    <mergeCell ref="O6:P6"/>
    <mergeCell ref="D9:E9"/>
    <mergeCell ref="D11:E11"/>
    <mergeCell ref="I5:K5"/>
    <mergeCell ref="I6:K6"/>
    <mergeCell ref="I7:K7"/>
    <mergeCell ref="I10:K10"/>
    <mergeCell ref="I11:K11"/>
    <mergeCell ref="D12:E12"/>
    <mergeCell ref="B50:C50"/>
    <mergeCell ref="B49:C49"/>
    <mergeCell ref="B48:C48"/>
    <mergeCell ref="B47:C47"/>
    <mergeCell ref="B46:C46"/>
    <mergeCell ref="B45:C45"/>
    <mergeCell ref="B44:C44"/>
    <mergeCell ref="B43:C43"/>
    <mergeCell ref="B42:C42"/>
    <mergeCell ref="I46:K46"/>
    <mergeCell ref="I45:K45"/>
    <mergeCell ref="I44:K44"/>
    <mergeCell ref="I43:K43"/>
    <mergeCell ref="I42:K42"/>
    <mergeCell ref="I41:K41"/>
    <mergeCell ref="B41:C41"/>
    <mergeCell ref="D46:E46"/>
    <mergeCell ref="D45:E45"/>
    <mergeCell ref="D44:E44"/>
    <mergeCell ref="D43:E43"/>
    <mergeCell ref="D42:E42"/>
    <mergeCell ref="D41:E41"/>
    <mergeCell ref="G46:H46"/>
    <mergeCell ref="G45:H45"/>
    <mergeCell ref="G44:H44"/>
    <mergeCell ref="G43:H43"/>
    <mergeCell ref="G42:H42"/>
    <mergeCell ref="G41:H41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I59:K59"/>
    <mergeCell ref="I60:K60"/>
    <mergeCell ref="I61:K61"/>
    <mergeCell ref="I62:K62"/>
    <mergeCell ref="I72:K72"/>
    <mergeCell ref="I63:K63"/>
    <mergeCell ref="I64:K64"/>
    <mergeCell ref="I65:K65"/>
    <mergeCell ref="I66:K66"/>
    <mergeCell ref="I67:K67"/>
    <mergeCell ref="I68:K68"/>
    <mergeCell ref="I69:K69"/>
    <mergeCell ref="I70:K70"/>
    <mergeCell ref="I71:K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"/>
  <sheetViews>
    <sheetView zoomScale="98" zoomScaleNormal="98" workbookViewId="0">
      <selection activeCell="I34" sqref="I34"/>
    </sheetView>
  </sheetViews>
  <sheetFormatPr defaultColWidth="8.85546875" defaultRowHeight="15" x14ac:dyDescent="0.25"/>
  <cols>
    <col min="1" max="1" width="3.85546875" customWidth="1"/>
    <col min="3" max="3" width="4.28515625" customWidth="1"/>
    <col min="5" max="5" width="12.28515625" customWidth="1"/>
    <col min="6" max="6" width="3.140625" customWidth="1"/>
    <col min="12" max="12" width="3" customWidth="1"/>
    <col min="17" max="17" width="12.7109375" customWidth="1"/>
  </cols>
  <sheetData>
    <row r="1" spans="1:19" s="3" customFormat="1" x14ac:dyDescent="0.25">
      <c r="A1" s="3" t="s">
        <v>38</v>
      </c>
    </row>
    <row r="3" spans="1:19" x14ac:dyDescent="0.25">
      <c r="A3" s="2"/>
      <c r="B3" s="42" t="s">
        <v>1</v>
      </c>
      <c r="C3" s="42"/>
      <c r="D3" s="42"/>
      <c r="E3" s="42"/>
      <c r="G3" s="42" t="s">
        <v>7</v>
      </c>
      <c r="H3" s="42"/>
      <c r="I3" s="42"/>
      <c r="J3" s="42"/>
      <c r="K3" s="42"/>
      <c r="M3" s="2" t="s">
        <v>39</v>
      </c>
      <c r="N3" s="2"/>
      <c r="O3" s="2"/>
      <c r="P3" s="2"/>
      <c r="Q3" s="2"/>
      <c r="R3" s="2"/>
      <c r="S3" s="2"/>
    </row>
    <row r="4" spans="1:19" x14ac:dyDescent="0.25">
      <c r="M4" s="66" t="s">
        <v>40</v>
      </c>
      <c r="N4" s="66"/>
      <c r="O4" s="66"/>
      <c r="P4" s="10" t="s">
        <v>36</v>
      </c>
      <c r="Q4" s="10" t="s">
        <v>41</v>
      </c>
      <c r="R4" s="67" t="s">
        <v>42</v>
      </c>
      <c r="S4" s="67"/>
    </row>
    <row r="5" spans="1:19" x14ac:dyDescent="0.25">
      <c r="B5" t="s">
        <v>2</v>
      </c>
      <c r="D5" s="53" t="str">
        <f>YTC!D5</f>
        <v>AAPL4880748</v>
      </c>
      <c r="E5" s="53"/>
      <c r="G5" t="s">
        <v>8</v>
      </c>
      <c r="I5" s="56">
        <f>YTM!I5</f>
        <v>45415</v>
      </c>
      <c r="J5" s="56"/>
      <c r="K5" s="56"/>
      <c r="M5" s="68">
        <f>D11</f>
        <v>47241</v>
      </c>
      <c r="N5" s="69"/>
      <c r="O5" s="69"/>
      <c r="P5" s="11">
        <f>D12</f>
        <v>100</v>
      </c>
      <c r="Q5" s="24">
        <f>YTC!K17</f>
        <v>5.3171974145602499E-2</v>
      </c>
      <c r="R5" s="72" t="str">
        <f>IF(MIN(Q5:Q11)=Q5,"Yield to Worst","")</f>
        <v>Yield to Worst</v>
      </c>
      <c r="S5" s="72"/>
    </row>
    <row r="6" spans="1:19" x14ac:dyDescent="0.25">
      <c r="B6" t="s">
        <v>3</v>
      </c>
      <c r="D6" s="53" t="str">
        <f>YTC!D6</f>
        <v>037833DQ0</v>
      </c>
      <c r="E6" s="53"/>
      <c r="G6" t="s">
        <v>9</v>
      </c>
      <c r="I6" s="56">
        <f>YTM!I6</f>
        <v>45419</v>
      </c>
      <c r="J6" s="56"/>
      <c r="K6" s="56"/>
      <c r="M6" s="70">
        <v>47606</v>
      </c>
      <c r="N6" s="71"/>
      <c r="O6" s="71"/>
      <c r="P6">
        <v>100</v>
      </c>
      <c r="Q6" s="25">
        <f>YIELD($I$6,M6,$D$8,$I$7,P6,2,0)</f>
        <v>0.10375995565951827</v>
      </c>
      <c r="R6" s="72" t="str">
        <f t="shared" ref="R6:R10" si="0">IF(MIN(Q6:Q12)=Q6,"Yield to Worst","")</f>
        <v/>
      </c>
      <c r="S6" s="72"/>
    </row>
    <row r="7" spans="1:19" x14ac:dyDescent="0.25">
      <c r="B7" t="s">
        <v>4</v>
      </c>
      <c r="D7" s="53" t="str">
        <f>YTC!D7</f>
        <v>Apple Incorporation</v>
      </c>
      <c r="E7" s="53"/>
      <c r="G7" t="s">
        <v>10</v>
      </c>
      <c r="I7" s="53">
        <f>YTM!I7</f>
        <v>67.48</v>
      </c>
      <c r="J7" s="53"/>
      <c r="K7" s="53"/>
      <c r="M7" s="62">
        <f t="shared" ref="M7:M25" si="1">EDATE(M6,12)</f>
        <v>47971</v>
      </c>
      <c r="N7" s="63"/>
      <c r="O7" s="63"/>
      <c r="P7">
        <v>100</v>
      </c>
      <c r="Q7" s="25">
        <f>YIELD($I$6,M7,$D$8,$I$7,P7,2,0)</f>
        <v>9.4029452527919014E-2</v>
      </c>
      <c r="R7" s="72" t="str">
        <f t="shared" si="0"/>
        <v/>
      </c>
      <c r="S7" s="72"/>
    </row>
    <row r="8" spans="1:19" x14ac:dyDescent="0.25">
      <c r="B8" t="s">
        <v>5</v>
      </c>
      <c r="D8" s="65">
        <f>YTC!D8</f>
        <v>2.9499999999999998E-2</v>
      </c>
      <c r="E8" s="65"/>
      <c r="M8" s="62">
        <f t="shared" si="1"/>
        <v>48337</v>
      </c>
      <c r="N8" s="63"/>
      <c r="O8" s="63"/>
      <c r="P8">
        <v>100</v>
      </c>
      <c r="Q8" s="25">
        <f t="shared" ref="Q8:Q25" si="2">YIELD($I$6,M8,$D$8,$I$7,P8,2,0)</f>
        <v>8.6775647164770112E-2</v>
      </c>
      <c r="R8" s="72" t="str">
        <f t="shared" si="0"/>
        <v/>
      </c>
      <c r="S8" s="72"/>
    </row>
    <row r="9" spans="1:19" x14ac:dyDescent="0.25">
      <c r="B9" t="s">
        <v>6</v>
      </c>
      <c r="D9" s="56">
        <f>YTC!D9</f>
        <v>54677</v>
      </c>
      <c r="E9" s="56"/>
      <c r="M9" s="62">
        <f t="shared" si="1"/>
        <v>48702</v>
      </c>
      <c r="N9" s="63"/>
      <c r="O9" s="63"/>
      <c r="P9">
        <v>100</v>
      </c>
      <c r="Q9" s="25">
        <f t="shared" si="2"/>
        <v>8.1163057954052806E-2</v>
      </c>
      <c r="R9" s="72" t="str">
        <f t="shared" si="0"/>
        <v/>
      </c>
      <c r="S9" s="72"/>
    </row>
    <row r="10" spans="1:19" x14ac:dyDescent="0.25">
      <c r="D10" s="53"/>
      <c r="E10" s="53"/>
      <c r="M10" s="62">
        <f t="shared" si="1"/>
        <v>49067</v>
      </c>
      <c r="N10" s="63"/>
      <c r="O10" s="63"/>
      <c r="P10">
        <v>100</v>
      </c>
      <c r="Q10" s="25">
        <f t="shared" si="2"/>
        <v>7.6693999519608202E-2</v>
      </c>
      <c r="R10" s="72" t="str">
        <f t="shared" si="0"/>
        <v/>
      </c>
      <c r="S10" s="72"/>
    </row>
    <row r="11" spans="1:19" x14ac:dyDescent="0.25">
      <c r="B11" t="s">
        <v>35</v>
      </c>
      <c r="D11" s="56">
        <f>YTC!D11</f>
        <v>47241</v>
      </c>
      <c r="E11" s="56"/>
      <c r="M11" s="62">
        <f t="shared" si="1"/>
        <v>49432</v>
      </c>
      <c r="N11" s="63"/>
      <c r="O11" s="63"/>
      <c r="P11">
        <v>100</v>
      </c>
      <c r="Q11" s="25">
        <f t="shared" si="2"/>
        <v>7.3053538141173213E-2</v>
      </c>
      <c r="R11" s="72"/>
      <c r="S11" s="72"/>
    </row>
    <row r="12" spans="1:19" x14ac:dyDescent="0.25">
      <c r="B12" t="s">
        <v>36</v>
      </c>
      <c r="D12" s="64">
        <f>YTC!D12</f>
        <v>100</v>
      </c>
      <c r="E12" s="64"/>
      <c r="M12" s="62">
        <f t="shared" si="1"/>
        <v>49798</v>
      </c>
      <c r="N12" s="63"/>
      <c r="O12" s="63"/>
      <c r="P12">
        <v>100</v>
      </c>
      <c r="Q12" s="25">
        <f t="shared" si="2"/>
        <v>7.003266187344441E-2</v>
      </c>
    </row>
    <row r="13" spans="1:19" x14ac:dyDescent="0.25">
      <c r="M13" s="62">
        <f t="shared" si="1"/>
        <v>50163</v>
      </c>
      <c r="N13" s="63"/>
      <c r="O13" s="63"/>
      <c r="P13">
        <v>100</v>
      </c>
      <c r="Q13" s="25">
        <f t="shared" si="2"/>
        <v>6.7487203508594343E-2</v>
      </c>
    </row>
    <row r="14" spans="1:19" x14ac:dyDescent="0.25">
      <c r="M14" s="62">
        <f t="shared" si="1"/>
        <v>50528</v>
      </c>
      <c r="N14" s="63"/>
      <c r="O14" s="63"/>
      <c r="P14">
        <v>100</v>
      </c>
      <c r="Q14" s="25">
        <f t="shared" si="2"/>
        <v>6.5314503203684898E-2</v>
      </c>
    </row>
    <row r="15" spans="1:19" x14ac:dyDescent="0.25">
      <c r="M15" s="62">
        <f t="shared" si="1"/>
        <v>50893</v>
      </c>
      <c r="N15" s="63"/>
      <c r="O15" s="63"/>
      <c r="P15">
        <v>100</v>
      </c>
      <c r="Q15" s="25">
        <f t="shared" si="2"/>
        <v>6.343947305640997E-2</v>
      </c>
    </row>
    <row r="16" spans="1:19" x14ac:dyDescent="0.25">
      <c r="M16" s="62">
        <f t="shared" si="1"/>
        <v>51259</v>
      </c>
      <c r="N16" s="63"/>
      <c r="O16" s="63"/>
      <c r="P16">
        <v>100</v>
      </c>
      <c r="Q16" s="25">
        <f t="shared" si="2"/>
        <v>6.1805922661123162E-2</v>
      </c>
    </row>
    <row r="17" spans="13:17" x14ac:dyDescent="0.25">
      <c r="M17" s="62">
        <f t="shared" si="1"/>
        <v>51624</v>
      </c>
      <c r="N17" s="63"/>
      <c r="O17" s="63"/>
      <c r="P17">
        <v>100</v>
      </c>
      <c r="Q17" s="25">
        <f t="shared" si="2"/>
        <v>6.0370965656124577E-2</v>
      </c>
    </row>
    <row r="18" spans="13:17" x14ac:dyDescent="0.25">
      <c r="M18" s="62">
        <f t="shared" si="1"/>
        <v>51989</v>
      </c>
      <c r="N18" s="63"/>
      <c r="O18" s="63"/>
      <c r="P18">
        <v>100</v>
      </c>
      <c r="Q18" s="25">
        <f t="shared" si="2"/>
        <v>5.9101301934416574E-2</v>
      </c>
    </row>
    <row r="19" spans="13:17" x14ac:dyDescent="0.25">
      <c r="M19" s="62">
        <f t="shared" si="1"/>
        <v>52354</v>
      </c>
      <c r="N19" s="63"/>
      <c r="O19" s="63"/>
      <c r="P19">
        <v>100</v>
      </c>
      <c r="Q19" s="25">
        <f t="shared" si="2"/>
        <v>5.7970680566391528E-2</v>
      </c>
    </row>
    <row r="20" spans="13:17" x14ac:dyDescent="0.25">
      <c r="M20" s="62">
        <f t="shared" si="1"/>
        <v>52720</v>
      </c>
      <c r="N20" s="63"/>
      <c r="O20" s="63"/>
      <c r="P20">
        <v>100</v>
      </c>
      <c r="Q20" s="25">
        <f t="shared" si="2"/>
        <v>5.6958127958153519E-2</v>
      </c>
    </row>
    <row r="21" spans="13:17" x14ac:dyDescent="0.25">
      <c r="M21" s="62">
        <f t="shared" si="1"/>
        <v>53085</v>
      </c>
      <c r="N21" s="63"/>
      <c r="O21" s="63"/>
      <c r="P21">
        <v>100</v>
      </c>
      <c r="Q21" s="25">
        <f t="shared" si="2"/>
        <v>5.6046684856950156E-2</v>
      </c>
    </row>
    <row r="22" spans="13:17" x14ac:dyDescent="0.25">
      <c r="M22" s="62">
        <f t="shared" si="1"/>
        <v>53450</v>
      </c>
      <c r="N22" s="63"/>
      <c r="O22" s="63"/>
      <c r="P22">
        <v>100</v>
      </c>
      <c r="Q22" s="25">
        <f t="shared" si="2"/>
        <v>5.5222489503736739E-2</v>
      </c>
    </row>
    <row r="23" spans="13:17" x14ac:dyDescent="0.25">
      <c r="M23" s="62">
        <f t="shared" si="1"/>
        <v>53815</v>
      </c>
      <c r="N23" s="63"/>
      <c r="O23" s="63"/>
      <c r="P23">
        <v>100</v>
      </c>
      <c r="Q23" s="25">
        <f t="shared" si="2"/>
        <v>5.4474101089307753E-2</v>
      </c>
    </row>
    <row r="24" spans="13:17" x14ac:dyDescent="0.25">
      <c r="M24" s="62">
        <f t="shared" si="1"/>
        <v>54181</v>
      </c>
      <c r="N24" s="63"/>
      <c r="O24" s="63"/>
      <c r="P24">
        <v>100</v>
      </c>
      <c r="Q24" s="25">
        <f t="shared" si="2"/>
        <v>5.3791993110096491E-2</v>
      </c>
    </row>
    <row r="25" spans="13:17" x14ac:dyDescent="0.25">
      <c r="M25" s="62">
        <f t="shared" si="1"/>
        <v>54546</v>
      </c>
      <c r="N25" s="63"/>
      <c r="O25" s="63"/>
      <c r="P25">
        <v>100</v>
      </c>
      <c r="Q25" s="25">
        <f t="shared" si="2"/>
        <v>5.3168168846178768E-2</v>
      </c>
    </row>
  </sheetData>
  <mergeCells count="43">
    <mergeCell ref="R8:S8"/>
    <mergeCell ref="R9:S9"/>
    <mergeCell ref="R11:S11"/>
    <mergeCell ref="M9:O9"/>
    <mergeCell ref="M10:O10"/>
    <mergeCell ref="M11:O11"/>
    <mergeCell ref="R10:S10"/>
    <mergeCell ref="M8:O8"/>
    <mergeCell ref="R4:S4"/>
    <mergeCell ref="M5:O5"/>
    <mergeCell ref="M6:O6"/>
    <mergeCell ref="M7:O7"/>
    <mergeCell ref="R5:S5"/>
    <mergeCell ref="R6:S6"/>
    <mergeCell ref="R7:S7"/>
    <mergeCell ref="M12:O12"/>
    <mergeCell ref="I5:K5"/>
    <mergeCell ref="I6:K6"/>
    <mergeCell ref="I7:K7"/>
    <mergeCell ref="B3:E3"/>
    <mergeCell ref="G3:K3"/>
    <mergeCell ref="D5:E5"/>
    <mergeCell ref="D6:E6"/>
    <mergeCell ref="D7:E7"/>
    <mergeCell ref="D9:E9"/>
    <mergeCell ref="D10:E10"/>
    <mergeCell ref="D11:E11"/>
    <mergeCell ref="D12:E12"/>
    <mergeCell ref="D8:E8"/>
    <mergeCell ref="M4:O4"/>
    <mergeCell ref="M13:O13"/>
    <mergeCell ref="M14:O14"/>
    <mergeCell ref="M15:O15"/>
    <mergeCell ref="M16:O16"/>
    <mergeCell ref="M17:O17"/>
    <mergeCell ref="M23:O23"/>
    <mergeCell ref="M24:O24"/>
    <mergeCell ref="M25:O25"/>
    <mergeCell ref="M18:O18"/>
    <mergeCell ref="M19:O19"/>
    <mergeCell ref="M20:O20"/>
    <mergeCell ref="M21:O21"/>
    <mergeCell ref="M22:O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0"/>
  <sheetViews>
    <sheetView tabSelected="1" zoomScaleNormal="100" workbookViewId="0">
      <selection activeCell="Z21" sqref="Z21"/>
    </sheetView>
  </sheetViews>
  <sheetFormatPr defaultColWidth="8.85546875" defaultRowHeight="15" x14ac:dyDescent="0.25"/>
  <cols>
    <col min="1" max="1" width="18" bestFit="1" customWidth="1"/>
    <col min="2" max="3" width="12" bestFit="1" customWidth="1"/>
    <col min="4" max="4" width="16" customWidth="1"/>
  </cols>
  <sheetData>
    <row r="1" spans="1:4" s="3" customFormat="1" x14ac:dyDescent="0.25">
      <c r="A1" s="3" t="s">
        <v>43</v>
      </c>
    </row>
    <row r="3" spans="1:4" x14ac:dyDescent="0.25">
      <c r="A3" s="4" t="s">
        <v>44</v>
      </c>
      <c r="B3" s="4" t="s">
        <v>28</v>
      </c>
      <c r="C3" s="2"/>
    </row>
    <row r="4" spans="1:4" x14ac:dyDescent="0.25">
      <c r="A4" t="s">
        <v>10</v>
      </c>
      <c r="B4" s="21">
        <f>YTM!I13/100</f>
        <v>67.709444444444458</v>
      </c>
    </row>
    <row r="5" spans="1:4" x14ac:dyDescent="0.25">
      <c r="A5" t="s">
        <v>45</v>
      </c>
      <c r="B5" s="14">
        <f>YTM!K17</f>
        <v>5.3171974145602499E-2</v>
      </c>
    </row>
    <row r="6" spans="1:4" x14ac:dyDescent="0.25">
      <c r="B6" s="8"/>
    </row>
    <row r="8" spans="1:4" x14ac:dyDescent="0.25">
      <c r="A8" t="s">
        <v>48</v>
      </c>
      <c r="B8">
        <f>YTM!P12</f>
        <v>2.3327230134392321</v>
      </c>
      <c r="C8" t="s">
        <v>46</v>
      </c>
    </row>
    <row r="9" spans="1:4" x14ac:dyDescent="0.25">
      <c r="A9" t="s">
        <v>55</v>
      </c>
      <c r="B9">
        <f>YTM!P14</f>
        <v>332.46633901359911</v>
      </c>
    </row>
    <row r="10" spans="1:4" ht="45" x14ac:dyDescent="0.25">
      <c r="A10" s="12" t="s">
        <v>44</v>
      </c>
      <c r="B10" s="12" t="s">
        <v>28</v>
      </c>
      <c r="C10" s="13" t="s">
        <v>47</v>
      </c>
      <c r="D10" s="13" t="s">
        <v>56</v>
      </c>
    </row>
    <row r="11" spans="1:4" x14ac:dyDescent="0.25">
      <c r="B11" s="6"/>
    </row>
    <row r="12" spans="1:4" x14ac:dyDescent="0.25">
      <c r="A12" s="9">
        <v>0</v>
      </c>
      <c r="B12" s="18">
        <v>144.86000000000001</v>
      </c>
      <c r="C12">
        <f>(1-(A12-$B$5)*$B$8)*$B$4</f>
        <v>76.107818412032017</v>
      </c>
      <c r="D12" s="16">
        <f>(1-(A12-$B$5)*$B$8+0.5*$B$9*(A12-$B$5)^2)*$B$4</f>
        <v>107.93018729410814</v>
      </c>
    </row>
    <row r="13" spans="1:4" x14ac:dyDescent="0.25">
      <c r="A13" s="9">
        <v>5.0000000000000001E-3</v>
      </c>
      <c r="B13" s="18">
        <v>141.11000000000001</v>
      </c>
      <c r="C13">
        <f t="shared" ref="C13:C60" si="0">(1-(A13-$B$5)*$B$8)*$B$4</f>
        <v>75.318081515618317</v>
      </c>
      <c r="D13" s="16">
        <f t="shared" ref="D13:D60" si="1">(1-(A13-$B$5)*$B$8+0.5*$B$9*(A13-$B$5)^2)*$B$4</f>
        <v>101.43703819664499</v>
      </c>
    </row>
    <row r="14" spans="1:4" x14ac:dyDescent="0.25">
      <c r="A14" s="9">
        <v>0.01</v>
      </c>
      <c r="B14" s="18">
        <v>137.44999999999999</v>
      </c>
      <c r="C14">
        <f t="shared" si="0"/>
        <v>74.528344619204603</v>
      </c>
      <c r="D14" s="16">
        <f t="shared" si="1"/>
        <v>95.506666876959031</v>
      </c>
    </row>
    <row r="15" spans="1:4" x14ac:dyDescent="0.25">
      <c r="A15" s="9">
        <v>1.4999999999999999E-2</v>
      </c>
      <c r="B15" s="18">
        <v>133.88999999999999</v>
      </c>
      <c r="C15">
        <f t="shared" si="0"/>
        <v>73.738607722790917</v>
      </c>
      <c r="D15" s="16">
        <f t="shared" si="1"/>
        <v>90.139073335050327</v>
      </c>
    </row>
    <row r="16" spans="1:4" x14ac:dyDescent="0.25">
      <c r="A16" s="9">
        <v>0.02</v>
      </c>
      <c r="B16" s="18">
        <v>130.41999999999999</v>
      </c>
      <c r="C16">
        <f t="shared" si="0"/>
        <v>72.948870826377203</v>
      </c>
      <c r="D16" s="16">
        <f t="shared" si="1"/>
        <v>85.334257570918837</v>
      </c>
    </row>
    <row r="17" spans="1:4" x14ac:dyDescent="0.25">
      <c r="A17" s="9">
        <v>2.5000000000000001E-2</v>
      </c>
      <c r="B17" s="18">
        <v>127.05</v>
      </c>
      <c r="C17">
        <f t="shared" si="0"/>
        <v>72.159133929963502</v>
      </c>
      <c r="D17" s="16">
        <f t="shared" si="1"/>
        <v>81.092219584564575</v>
      </c>
    </row>
    <row r="18" spans="1:4" x14ac:dyDescent="0.25">
      <c r="A18" s="9">
        <v>0.03</v>
      </c>
      <c r="B18" s="18">
        <v>123.76</v>
      </c>
      <c r="C18">
        <f t="shared" si="0"/>
        <v>71.369397033549802</v>
      </c>
      <c r="D18" s="16">
        <f t="shared" si="1"/>
        <v>77.412959375987541</v>
      </c>
    </row>
    <row r="19" spans="1:4" x14ac:dyDescent="0.25">
      <c r="A19" s="9">
        <v>3.5000000000000003E-2</v>
      </c>
      <c r="B19" s="18">
        <v>120.55</v>
      </c>
      <c r="C19">
        <f t="shared" si="0"/>
        <v>70.579660137136102</v>
      </c>
      <c r="D19" s="16">
        <f t="shared" si="1"/>
        <v>74.296476945187763</v>
      </c>
    </row>
    <row r="20" spans="1:4" x14ac:dyDescent="0.25">
      <c r="A20" s="28">
        <v>0.04</v>
      </c>
      <c r="B20" s="29">
        <v>117.43</v>
      </c>
      <c r="C20">
        <f>(1-(A20-$B$5)*$B$8)*$B$4</f>
        <v>69.789923240722388</v>
      </c>
      <c r="D20" s="16">
        <f>(1-(A20-$B$5)*$B$8+0.5*$B$9*(A20-$B$5)^2)*$B$4</f>
        <v>71.742772292165171</v>
      </c>
    </row>
    <row r="21" spans="1:4" x14ac:dyDescent="0.25">
      <c r="A21" s="9">
        <v>4.4999999999999998E-2</v>
      </c>
      <c r="B21" s="18">
        <v>114.39</v>
      </c>
      <c r="C21">
        <f t="shared" si="0"/>
        <v>69.000186344308688</v>
      </c>
      <c r="D21" s="16">
        <f t="shared" si="1"/>
        <v>69.751845416919835</v>
      </c>
    </row>
    <row r="22" spans="1:4" x14ac:dyDescent="0.25">
      <c r="A22" s="9">
        <v>0.05</v>
      </c>
      <c r="B22" s="18">
        <v>111.43</v>
      </c>
      <c r="C22">
        <f t="shared" si="0"/>
        <v>68.210449447894987</v>
      </c>
      <c r="D22" s="16">
        <f t="shared" si="1"/>
        <v>68.323696319451713</v>
      </c>
    </row>
    <row r="23" spans="1:4" x14ac:dyDescent="0.25">
      <c r="A23" s="17">
        <v>5.3170000000000002E-2</v>
      </c>
      <c r="B23" s="20">
        <v>108.54</v>
      </c>
      <c r="C23">
        <f t="shared" si="0"/>
        <v>67.709756255568692</v>
      </c>
      <c r="D23" s="16">
        <f t="shared" si="1"/>
        <v>67.709756299434417</v>
      </c>
    </row>
    <row r="24" spans="1:4" x14ac:dyDescent="0.25">
      <c r="A24" s="9">
        <v>5.5E-2</v>
      </c>
      <c r="B24" s="18">
        <v>105.73</v>
      </c>
      <c r="C24">
        <f t="shared" si="0"/>
        <v>67.420712551481273</v>
      </c>
      <c r="D24" s="16">
        <f t="shared" si="1"/>
        <v>67.458324999760819</v>
      </c>
    </row>
    <row r="25" spans="1:4" x14ac:dyDescent="0.25">
      <c r="A25" s="9">
        <v>0.06</v>
      </c>
      <c r="B25" s="18">
        <v>102.99</v>
      </c>
      <c r="C25">
        <f t="shared" si="0"/>
        <v>66.630975655067573</v>
      </c>
      <c r="D25" s="16">
        <f t="shared" si="1"/>
        <v>67.155731457847168</v>
      </c>
    </row>
    <row r="26" spans="1:4" x14ac:dyDescent="0.25">
      <c r="A26" s="9">
        <v>6.5000000000000002E-2</v>
      </c>
      <c r="B26" s="19">
        <v>100.32</v>
      </c>
      <c r="C26">
        <f t="shared" si="0"/>
        <v>65.841238758653873</v>
      </c>
      <c r="D26" s="16">
        <f t="shared" si="1"/>
        <v>67.41591569371073</v>
      </c>
    </row>
    <row r="27" spans="1:4" x14ac:dyDescent="0.25">
      <c r="A27" s="9">
        <v>7.0000000000000007E-2</v>
      </c>
      <c r="B27" s="18">
        <v>97.73</v>
      </c>
      <c r="C27">
        <f t="shared" si="0"/>
        <v>65.051501862240173</v>
      </c>
      <c r="D27" s="16">
        <f t="shared" si="1"/>
        <v>68.238877707351534</v>
      </c>
    </row>
    <row r="28" spans="1:4" x14ac:dyDescent="0.25">
      <c r="A28" s="9">
        <v>7.4999999999999997E-2</v>
      </c>
      <c r="B28" s="19">
        <v>95.2</v>
      </c>
      <c r="C28">
        <f t="shared" si="0"/>
        <v>64.261764965826472</v>
      </c>
      <c r="D28" s="16">
        <f t="shared" si="1"/>
        <v>69.624617498769553</v>
      </c>
    </row>
    <row r="29" spans="1:4" x14ac:dyDescent="0.25">
      <c r="A29" s="9">
        <v>0.08</v>
      </c>
      <c r="B29" s="19">
        <v>92.73</v>
      </c>
      <c r="C29">
        <f t="shared" si="0"/>
        <v>63.472028069412765</v>
      </c>
      <c r="D29" s="16">
        <f t="shared" si="1"/>
        <v>71.573135067964799</v>
      </c>
    </row>
    <row r="30" spans="1:4" x14ac:dyDescent="0.25">
      <c r="A30" s="9">
        <v>8.5000000000000006E-2</v>
      </c>
      <c r="B30" s="19">
        <v>87.99</v>
      </c>
      <c r="C30">
        <f t="shared" si="0"/>
        <v>62.682291172999051</v>
      </c>
      <c r="D30" s="16">
        <f t="shared" si="1"/>
        <v>74.084430414937273</v>
      </c>
    </row>
    <row r="31" spans="1:4" x14ac:dyDescent="0.25">
      <c r="A31" s="9">
        <v>0.09</v>
      </c>
      <c r="B31" s="19">
        <v>85.71</v>
      </c>
      <c r="C31">
        <f t="shared" si="0"/>
        <v>61.892554276585358</v>
      </c>
      <c r="D31" s="16">
        <f t="shared" si="1"/>
        <v>77.15850353968699</v>
      </c>
    </row>
    <row r="32" spans="1:4" x14ac:dyDescent="0.25">
      <c r="A32" s="9">
        <v>9.5000000000000001E-2</v>
      </c>
      <c r="B32" s="19">
        <v>83.49</v>
      </c>
      <c r="C32">
        <f t="shared" si="0"/>
        <v>61.102817380171643</v>
      </c>
      <c r="D32" s="16">
        <f t="shared" si="1"/>
        <v>80.79535444221392</v>
      </c>
    </row>
    <row r="33" spans="1:4" x14ac:dyDescent="0.25">
      <c r="A33" s="9">
        <v>0.1</v>
      </c>
      <c r="B33" s="19">
        <v>81.33</v>
      </c>
      <c r="C33">
        <f t="shared" si="0"/>
        <v>60.313080483757943</v>
      </c>
      <c r="D33" s="16">
        <f t="shared" si="1"/>
        <v>84.994983122518093</v>
      </c>
    </row>
    <row r="34" spans="1:4" x14ac:dyDescent="0.25">
      <c r="A34" s="9">
        <v>0.105</v>
      </c>
      <c r="B34" s="19">
        <v>79.22</v>
      </c>
      <c r="C34">
        <f t="shared" si="0"/>
        <v>59.523343587344236</v>
      </c>
      <c r="D34" s="16">
        <f t="shared" si="1"/>
        <v>89.757389580599479</v>
      </c>
    </row>
    <row r="35" spans="1:4" x14ac:dyDescent="0.25">
      <c r="A35" s="9">
        <v>0.11</v>
      </c>
      <c r="B35" s="19">
        <v>77.17</v>
      </c>
      <c r="C35">
        <f t="shared" si="0"/>
        <v>58.733606690930536</v>
      </c>
      <c r="D35" s="16">
        <f t="shared" si="1"/>
        <v>95.082573816458094</v>
      </c>
    </row>
    <row r="36" spans="1:4" x14ac:dyDescent="0.25">
      <c r="A36" s="9">
        <v>0.115</v>
      </c>
      <c r="B36" s="19">
        <v>75.17</v>
      </c>
      <c r="C36">
        <f t="shared" si="0"/>
        <v>57.943869794516836</v>
      </c>
      <c r="D36" s="16">
        <f t="shared" si="1"/>
        <v>100.97053583009395</v>
      </c>
    </row>
    <row r="37" spans="1:4" x14ac:dyDescent="0.25">
      <c r="A37" s="9">
        <v>0.12</v>
      </c>
      <c r="B37" s="19">
        <v>73.23</v>
      </c>
      <c r="C37">
        <f t="shared" si="0"/>
        <v>57.154132898103128</v>
      </c>
      <c r="D37" s="16">
        <f t="shared" si="1"/>
        <v>107.42127562150704</v>
      </c>
    </row>
    <row r="38" spans="1:4" x14ac:dyDescent="0.25">
      <c r="A38" s="9">
        <v>0.125</v>
      </c>
      <c r="B38" s="19">
        <v>71.33</v>
      </c>
      <c r="C38">
        <f t="shared" si="0"/>
        <v>56.364396001689428</v>
      </c>
      <c r="D38" s="16">
        <f t="shared" si="1"/>
        <v>114.43479319069733</v>
      </c>
    </row>
    <row r="39" spans="1:4" x14ac:dyDescent="0.25">
      <c r="A39" s="9">
        <v>0.13</v>
      </c>
      <c r="B39" s="19">
        <v>69.48</v>
      </c>
      <c r="C39">
        <f t="shared" si="0"/>
        <v>55.574659105275721</v>
      </c>
      <c r="D39" s="16">
        <f t="shared" si="1"/>
        <v>122.01108853766488</v>
      </c>
    </row>
    <row r="40" spans="1:4" x14ac:dyDescent="0.25">
      <c r="A40" s="9">
        <v>0.13500000000000001</v>
      </c>
      <c r="B40" s="19">
        <v>67.680000000000007</v>
      </c>
      <c r="C40" s="27">
        <f t="shared" si="0"/>
        <v>54.784922208862021</v>
      </c>
      <c r="D40" s="16">
        <f t="shared" si="1"/>
        <v>130.15016166240963</v>
      </c>
    </row>
    <row r="41" spans="1:4" x14ac:dyDescent="0.25">
      <c r="A41" s="9">
        <v>0.14000000000000001</v>
      </c>
      <c r="B41" s="19">
        <v>65.930000000000007</v>
      </c>
      <c r="C41" s="27">
        <f t="shared" si="0"/>
        <v>53.995185312448314</v>
      </c>
      <c r="D41" s="16">
        <f t="shared" si="1"/>
        <v>138.85201256493164</v>
      </c>
    </row>
    <row r="42" spans="1:4" x14ac:dyDescent="0.25">
      <c r="A42" s="9">
        <v>0.14499999999999999</v>
      </c>
      <c r="B42" s="19">
        <v>64.22</v>
      </c>
      <c r="C42" s="27">
        <f t="shared" si="0"/>
        <v>53.205448416034614</v>
      </c>
      <c r="D42" s="16">
        <f t="shared" si="1"/>
        <v>148.11664124523082</v>
      </c>
    </row>
    <row r="43" spans="1:4" x14ac:dyDescent="0.25">
      <c r="A43" s="9">
        <v>0.15</v>
      </c>
      <c r="B43" s="19">
        <v>62.56</v>
      </c>
      <c r="C43" s="27">
        <f t="shared" si="0"/>
        <v>52.415711519620913</v>
      </c>
      <c r="D43" s="16">
        <f t="shared" si="1"/>
        <v>157.94404770330726</v>
      </c>
    </row>
    <row r="44" spans="1:4" x14ac:dyDescent="0.25">
      <c r="A44" s="9">
        <v>0.155</v>
      </c>
      <c r="B44" s="19">
        <v>60.94</v>
      </c>
      <c r="C44" s="27">
        <f t="shared" si="0"/>
        <v>51.625974623207206</v>
      </c>
      <c r="D44" s="16">
        <f t="shared" si="1"/>
        <v>168.33423193916096</v>
      </c>
    </row>
    <row r="45" spans="1:4" x14ac:dyDescent="0.25">
      <c r="A45" s="9">
        <v>0.16</v>
      </c>
      <c r="B45" s="19">
        <v>59.36</v>
      </c>
      <c r="C45" s="27">
        <f t="shared" si="0"/>
        <v>50.836237726793499</v>
      </c>
      <c r="D45" s="16">
        <f t="shared" si="1"/>
        <v>179.28719395279185</v>
      </c>
    </row>
    <row r="46" spans="1:4" x14ac:dyDescent="0.25">
      <c r="A46" s="9">
        <v>0.16500000000000001</v>
      </c>
      <c r="B46" s="19">
        <v>57.82</v>
      </c>
      <c r="C46" s="27">
        <f t="shared" si="0"/>
        <v>50.046500830379799</v>
      </c>
      <c r="D46" s="16">
        <f t="shared" si="1"/>
        <v>190.80293374420003</v>
      </c>
    </row>
    <row r="47" spans="1:4" x14ac:dyDescent="0.25">
      <c r="A47" s="9">
        <v>0.17</v>
      </c>
      <c r="B47" s="19">
        <v>56.33</v>
      </c>
      <c r="C47" s="27">
        <f t="shared" si="0"/>
        <v>49.256763933966091</v>
      </c>
      <c r="D47" s="16">
        <f t="shared" si="1"/>
        <v>202.88145131338538</v>
      </c>
    </row>
    <row r="48" spans="1:4" x14ac:dyDescent="0.25">
      <c r="A48" s="9">
        <v>0.17499999999999999</v>
      </c>
      <c r="B48" s="19">
        <v>54.87</v>
      </c>
      <c r="C48" s="27">
        <f t="shared" si="0"/>
        <v>48.467027037552391</v>
      </c>
      <c r="D48" s="16">
        <f t="shared" si="1"/>
        <v>215.52274666034793</v>
      </c>
    </row>
    <row r="49" spans="1:4" x14ac:dyDescent="0.25">
      <c r="A49" s="9">
        <v>0.18</v>
      </c>
      <c r="B49" s="19">
        <v>53.45</v>
      </c>
      <c r="C49" s="27">
        <f t="shared" si="0"/>
        <v>47.677290141138684</v>
      </c>
      <c r="D49" s="16">
        <f t="shared" si="1"/>
        <v>228.72681978508774</v>
      </c>
    </row>
    <row r="50" spans="1:4" x14ac:dyDescent="0.25">
      <c r="A50" s="9">
        <v>0.185</v>
      </c>
      <c r="B50" s="19">
        <v>52.06</v>
      </c>
      <c r="C50" s="27">
        <f t="shared" si="0"/>
        <v>46.887553244724977</v>
      </c>
      <c r="D50" s="16">
        <f t="shared" si="1"/>
        <v>242.49367068760483</v>
      </c>
    </row>
    <row r="51" spans="1:4" x14ac:dyDescent="0.25">
      <c r="A51" s="9">
        <v>0.19</v>
      </c>
      <c r="B51" s="19">
        <v>50.71</v>
      </c>
      <c r="C51" s="27">
        <f t="shared" si="0"/>
        <v>46.097816348311277</v>
      </c>
      <c r="D51" s="16">
        <f t="shared" si="1"/>
        <v>256.8232993678991</v>
      </c>
    </row>
    <row r="52" spans="1:4" x14ac:dyDescent="0.25">
      <c r="A52" s="9">
        <v>0.19500000000000001</v>
      </c>
      <c r="B52" s="19">
        <v>49.4</v>
      </c>
      <c r="C52" s="27">
        <f t="shared" si="0"/>
        <v>45.308079451897576</v>
      </c>
      <c r="D52" s="16">
        <f t="shared" si="1"/>
        <v>271.71570582597059</v>
      </c>
    </row>
    <row r="53" spans="1:4" x14ac:dyDescent="0.25">
      <c r="A53" s="9">
        <v>0.2</v>
      </c>
      <c r="B53" s="19">
        <v>48.12</v>
      </c>
      <c r="C53" s="27">
        <f t="shared" si="0"/>
        <v>44.518342555483869</v>
      </c>
      <c r="D53" s="16">
        <f t="shared" si="1"/>
        <v>287.17089006181936</v>
      </c>
    </row>
    <row r="54" spans="1:4" x14ac:dyDescent="0.25">
      <c r="A54" s="9">
        <v>0.20499999999999999</v>
      </c>
      <c r="B54" s="19">
        <v>46.88</v>
      </c>
      <c r="C54" s="27">
        <f t="shared" si="0"/>
        <v>43.728605659070176</v>
      </c>
      <c r="D54" s="16">
        <f t="shared" si="1"/>
        <v>303.18885207544514</v>
      </c>
    </row>
    <row r="55" spans="1:4" x14ac:dyDescent="0.25">
      <c r="A55" s="9">
        <v>0.21</v>
      </c>
      <c r="B55" s="19">
        <v>45.66</v>
      </c>
      <c r="C55" s="27">
        <f t="shared" si="0"/>
        <v>42.938868762656462</v>
      </c>
      <c r="D55" s="16">
        <f t="shared" si="1"/>
        <v>319.76959186684832</v>
      </c>
    </row>
    <row r="56" spans="1:4" x14ac:dyDescent="0.25">
      <c r="A56" s="9">
        <v>0.215</v>
      </c>
      <c r="B56" s="19">
        <v>44.48</v>
      </c>
      <c r="C56" s="27">
        <f t="shared" si="0"/>
        <v>42.149131866242769</v>
      </c>
      <c r="D56" s="16">
        <f t="shared" si="1"/>
        <v>336.91310943602878</v>
      </c>
    </row>
    <row r="57" spans="1:4" x14ac:dyDescent="0.25">
      <c r="A57" s="9">
        <v>0.22</v>
      </c>
      <c r="B57" s="19">
        <v>43.33</v>
      </c>
      <c r="C57" s="27">
        <f t="shared" si="0"/>
        <v>41.359394969829054</v>
      </c>
      <c r="D57" s="16">
        <f t="shared" si="1"/>
        <v>354.61940478298635</v>
      </c>
    </row>
    <row r="58" spans="1:4" x14ac:dyDescent="0.25">
      <c r="A58" s="9">
        <v>0.22500000000000001</v>
      </c>
      <c r="B58" s="19">
        <v>42.2</v>
      </c>
      <c r="C58" s="27">
        <f t="shared" si="0"/>
        <v>40.569658073415354</v>
      </c>
      <c r="D58" s="16">
        <f t="shared" si="1"/>
        <v>372.88847790772132</v>
      </c>
    </row>
    <row r="59" spans="1:4" x14ac:dyDescent="0.25">
      <c r="A59" s="9">
        <v>0.23</v>
      </c>
      <c r="B59" s="19">
        <v>41.11</v>
      </c>
      <c r="C59" s="27">
        <f t="shared" si="0"/>
        <v>39.779921177001647</v>
      </c>
      <c r="D59" s="16">
        <f t="shared" si="1"/>
        <v>391.72032881023335</v>
      </c>
    </row>
    <row r="60" spans="1:4" x14ac:dyDescent="0.25">
      <c r="A60" s="9">
        <v>0.23499999999999999</v>
      </c>
      <c r="B60" s="19">
        <v>40.049999999999997</v>
      </c>
      <c r="C60" s="27">
        <f t="shared" si="0"/>
        <v>38.990184280587947</v>
      </c>
      <c r="D60" s="16">
        <f t="shared" si="1"/>
        <v>411.11495749052278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YTM</vt:lpstr>
      <vt:lpstr>YTC</vt:lpstr>
      <vt:lpstr>Call Schedule</vt:lpstr>
      <vt:lpstr>Price Yield Curve</vt:lpstr>
    </vt:vector>
  </TitlesOfParts>
  <Company>CITES 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KaranManoj Kirpalani</dc:creator>
  <cp:lastModifiedBy>KaranManoj Kirpalani</cp:lastModifiedBy>
  <dcterms:created xsi:type="dcterms:W3CDTF">2013-03-30T20:58:55Z</dcterms:created>
  <dcterms:modified xsi:type="dcterms:W3CDTF">2024-05-07T17:52:44Z</dcterms:modified>
</cp:coreProperties>
</file>