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MI3BP\Documents\SZAKDOLGOZAT\DOKUMENTUMOK\"/>
    </mc:Choice>
  </mc:AlternateContent>
  <xr:revisionPtr revIDLastSave="0" documentId="13_ncr:1_{1467548F-C79C-4B07-81C6-3417583C21D1}" xr6:coauthVersionLast="47" xr6:coauthVersionMax="47" xr10:uidLastSave="{00000000-0000-0000-0000-000000000000}"/>
  <bookViews>
    <workbookView xWindow="-165" yWindow="-165" windowWidth="29130" windowHeight="15930" activeTab="1" xr2:uid="{00000000-000D-0000-FFFF-FFFF00000000}"/>
  </bookViews>
  <sheets>
    <sheet name="Aktualis disszipacio" sheetId="4" r:id="rId1"/>
    <sheet name="Datasheet" sheetId="1" r:id="rId2"/>
    <sheet name="komponensek" sheetId="3" r:id="rId3"/>
    <sheet name="TI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1" i="1" l="1"/>
  <c r="B170" i="1"/>
  <c r="B168" i="1"/>
  <c r="B103" i="1"/>
  <c r="B105" i="1" s="1"/>
  <c r="B175" i="1" s="1"/>
  <c r="B181" i="1" s="1"/>
  <c r="B94" i="1"/>
  <c r="B136" i="1"/>
  <c r="B268" i="1"/>
  <c r="F269" i="1"/>
  <c r="F267" i="1"/>
  <c r="F269" i="4"/>
  <c r="F268" i="4"/>
  <c r="F267" i="4"/>
  <c r="B269" i="4"/>
  <c r="B91" i="4"/>
  <c r="B249" i="4"/>
  <c r="B103" i="4"/>
  <c r="B105" i="4" s="1"/>
  <c r="B106" i="4" s="1"/>
  <c r="B108" i="4" s="1"/>
  <c r="B102" i="4"/>
  <c r="B94" i="4"/>
  <c r="B31" i="4"/>
  <c r="B268" i="4"/>
  <c r="B275" i="4"/>
  <c r="B274" i="4"/>
  <c r="B273" i="4"/>
  <c r="B267" i="4"/>
  <c r="B253" i="4"/>
  <c r="B248" i="4"/>
  <c r="B230" i="4"/>
  <c r="B231" i="4" s="1"/>
  <c r="B228" i="4"/>
  <c r="B233" i="4" s="1"/>
  <c r="B216" i="4"/>
  <c r="B217" i="4" s="1"/>
  <c r="B213" i="4"/>
  <c r="B197" i="4"/>
  <c r="B198" i="4" s="1"/>
  <c r="D197" i="4" s="1"/>
  <c r="B194" i="4"/>
  <c r="B181" i="4"/>
  <c r="B182" i="4" s="1"/>
  <c r="B176" i="4"/>
  <c r="B174" i="4"/>
  <c r="B171" i="4"/>
  <c r="B165" i="4"/>
  <c r="B162" i="4"/>
  <c r="B161" i="4"/>
  <c r="B136" i="4"/>
  <c r="B137" i="4" s="1"/>
  <c r="B163" i="4" s="1"/>
  <c r="B135" i="4"/>
  <c r="B134" i="4"/>
  <c r="B132" i="4"/>
  <c r="B159" i="4" s="1"/>
  <c r="B100" i="4"/>
  <c r="B99" i="4"/>
  <c r="B95" i="4"/>
  <c r="B92" i="4"/>
  <c r="B78" i="4"/>
  <c r="B55" i="4"/>
  <c r="B35" i="4"/>
  <c r="E34" i="4"/>
  <c r="B30" i="4"/>
  <c r="B34" i="4" s="1"/>
  <c r="B267" i="1"/>
  <c r="B228" i="1"/>
  <c r="B274" i="1"/>
  <c r="B273" i="1"/>
  <c r="B30" i="1"/>
  <c r="B275" i="1"/>
  <c r="B253" i="1"/>
  <c r="B162" i="1"/>
  <c r="B160" i="1"/>
  <c r="B230" i="1"/>
  <c r="B161" i="1"/>
  <c r="B209" i="4" l="1"/>
  <c r="B173" i="4"/>
  <c r="B104" i="4"/>
  <c r="B107" i="4" s="1"/>
  <c r="B172" i="4" s="1"/>
  <c r="B96" i="4"/>
  <c r="B138" i="4"/>
  <c r="B139" i="4"/>
  <c r="B133" i="4"/>
  <c r="B160" i="4" l="1"/>
  <c r="B131" i="4"/>
  <c r="D109" i="4"/>
  <c r="B208" i="4"/>
  <c r="B210" i="4" s="1"/>
  <c r="B170" i="4"/>
  <c r="B215" i="4" l="1"/>
  <c r="B167" i="4"/>
  <c r="B168" i="4"/>
  <c r="B218" i="4" l="1"/>
  <c r="D266" i="4" l="1"/>
  <c r="B215" i="1" l="1"/>
  <c r="B248" i="1" l="1"/>
  <c r="B35" i="1"/>
  <c r="F14" i="2"/>
  <c r="B14" i="2"/>
  <c r="B28" i="2"/>
  <c r="B73" i="2"/>
  <c r="B31" i="2"/>
  <c r="B74" i="2"/>
  <c r="B3" i="3"/>
  <c r="B13" i="3"/>
  <c r="B12" i="3" s="1"/>
  <c r="B6" i="3"/>
  <c r="B5" i="3"/>
  <c r="B249" i="1"/>
  <c r="B231" i="1"/>
  <c r="B233" i="1" s="1"/>
  <c r="B95" i="1"/>
  <c r="B134" i="1" s="1"/>
  <c r="B135" i="1"/>
  <c r="B78" i="1"/>
  <c r="B31" i="1"/>
  <c r="B92" i="1" s="1"/>
  <c r="B133" i="1" s="1"/>
  <c r="B54" i="2"/>
  <c r="B19" i="2"/>
  <c r="B36" i="2"/>
  <c r="B26" i="2"/>
  <c r="B27" i="2"/>
  <c r="B13" i="2"/>
  <c r="J107" i="2"/>
  <c r="J114" i="2"/>
  <c r="J103" i="2"/>
  <c r="B77" i="2"/>
  <c r="B78" i="2"/>
  <c r="B55" i="2"/>
  <c r="B165" i="1"/>
  <c r="B100" i="1"/>
  <c r="B99" i="1"/>
  <c r="B174" i="1" s="1"/>
  <c r="B194" i="1"/>
  <c r="B197" i="1" s="1"/>
  <c r="B198" i="1" s="1"/>
  <c r="B55" i="1"/>
  <c r="E34" i="1"/>
  <c r="B213" i="1"/>
  <c r="B132" i="1"/>
  <c r="B131" i="1" s="1"/>
  <c r="B102" i="1" l="1"/>
  <c r="B96" i="1" s="1"/>
  <c r="B43" i="2"/>
  <c r="B58" i="2"/>
  <c r="B159" i="1"/>
  <c r="D197" i="1"/>
  <c r="B137" i="1"/>
  <c r="B34" i="1"/>
  <c r="B44" i="2"/>
  <c r="B39" i="2"/>
  <c r="J108" i="2"/>
  <c r="J112" i="2" s="1"/>
  <c r="J109" i="2"/>
  <c r="B163" i="1" l="1"/>
  <c r="B167" i="1" s="1"/>
  <c r="B138" i="1"/>
  <c r="B139" i="1"/>
  <c r="B104" i="1"/>
  <c r="B107" i="1" s="1"/>
  <c r="J113" i="2"/>
  <c r="B216" i="1"/>
  <c r="B217" i="1" s="1"/>
  <c r="B29" i="2"/>
  <c r="J106" i="2"/>
  <c r="J110" i="2"/>
  <c r="J111" i="2"/>
  <c r="B172" i="1" l="1"/>
  <c r="B208" i="1"/>
  <c r="B75" i="2"/>
  <c r="B57" i="2"/>
  <c r="B32" i="2"/>
  <c r="B56" i="2"/>
  <c r="B38" i="2"/>
  <c r="B30" i="2"/>
  <c r="B106" i="1"/>
  <c r="B108" i="1" s="1"/>
  <c r="B209" i="1" l="1"/>
  <c r="B210" i="1" s="1"/>
  <c r="B269" i="1" s="1"/>
  <c r="B173" i="1"/>
  <c r="B20" i="2"/>
  <c r="B109" i="1"/>
  <c r="D109" i="1" s="1"/>
  <c r="B182" i="1"/>
  <c r="B176" i="1"/>
  <c r="D266" i="1" l="1"/>
  <c r="F268" i="1"/>
  <c r="B218" i="1"/>
</calcChain>
</file>

<file path=xl/sharedStrings.xml><?xml version="1.0" encoding="utf-8"?>
<sst xmlns="http://schemas.openxmlformats.org/spreadsheetml/2006/main" count="638" uniqueCount="196">
  <si>
    <t>1. Define operational parameters</t>
  </si>
  <si>
    <t>V</t>
  </si>
  <si>
    <t>A</t>
  </si>
  <si>
    <t>Original</t>
  </si>
  <si>
    <t>2. Select current sense resistors</t>
  </si>
  <si>
    <t>OK</t>
  </si>
  <si>
    <t>fs</t>
  </si>
  <si>
    <t>Ohm</t>
  </si>
  <si>
    <t>3. Select SEPIC Inductors</t>
  </si>
  <si>
    <t>L</t>
  </si>
  <si>
    <t>I_L1,peak</t>
  </si>
  <si>
    <t>I_L2,peak</t>
  </si>
  <si>
    <t>https://www.cyntec.com/upfile/products/download/(A8)%20VCSC108T%20MS6K%20Series_standard.pdf</t>
  </si>
  <si>
    <t>4. Select Coupling Capacitor</t>
  </si>
  <si>
    <t>2-5%</t>
  </si>
  <si>
    <t>Hz</t>
  </si>
  <si>
    <t>5. Select Output capacitors</t>
  </si>
  <si>
    <t>L2</t>
  </si>
  <si>
    <t>6. Select Input capacitors</t>
  </si>
  <si>
    <t>7.Select feedback Resistors</t>
  </si>
  <si>
    <t>8. Select compensator components</t>
  </si>
  <si>
    <t>9. Select Mosfet(s)</t>
  </si>
  <si>
    <t>10. Select Diode</t>
  </si>
  <si>
    <t>I_OUT(max)</t>
  </si>
  <si>
    <t>I_D(avg)</t>
  </si>
  <si>
    <t>V_D(max)</t>
  </si>
  <si>
    <t>V_OUT(max)</t>
  </si>
  <si>
    <t>V_IN(max)</t>
  </si>
  <si>
    <t>V_f(max)</t>
  </si>
  <si>
    <t>P_D</t>
  </si>
  <si>
    <t>W</t>
  </si>
  <si>
    <t>Diode Datasheet</t>
  </si>
  <si>
    <t>https://4donline.ihs.com/images/VipMasterIC/IC/NEXP/NEXP-S-A0003105620/NEXP-S-A0003105670-1.pdf?hkey=6D3A4C79FDBF58556ACFDE234799DDF0</t>
  </si>
  <si>
    <t>from Datasheet</t>
  </si>
  <si>
    <t>MOSFET(s) Datasheet</t>
  </si>
  <si>
    <t>https://4donline.ihs.com/images/VipMasterIC/IC/NEXP/NEXP-S-A0003060256/NEXP-S-A0003060216-1.pdf?hkey=6D3A4C79FDBF58556ACFDE234799DDF0</t>
  </si>
  <si>
    <t>G_g(total)</t>
  </si>
  <si>
    <t>I_drv</t>
  </si>
  <si>
    <t>f_s</t>
  </si>
  <si>
    <t>C</t>
  </si>
  <si>
    <t>G_g</t>
  </si>
  <si>
    <t>Status</t>
  </si>
  <si>
    <t>I_L1(peak)</t>
  </si>
  <si>
    <t>I_L2(peak)</t>
  </si>
  <si>
    <t>I_Q(peak)</t>
  </si>
  <si>
    <t>V_Q(max)</t>
  </si>
  <si>
    <t>D_WC</t>
  </si>
  <si>
    <t>dI_L1</t>
  </si>
  <si>
    <t>dI_L2</t>
  </si>
  <si>
    <t>I_D(max)</t>
  </si>
  <si>
    <t>V_out</t>
  </si>
  <si>
    <t>V_ref</t>
  </si>
  <si>
    <t>R_lower</t>
  </si>
  <si>
    <t>R_upper</t>
  </si>
  <si>
    <t>I_Cin(RMS)</t>
  </si>
  <si>
    <t>C_OUT</t>
  </si>
  <si>
    <t>R_esr</t>
  </si>
  <si>
    <t>V_IN(min)</t>
  </si>
  <si>
    <t>V_OUT(ripple)</t>
  </si>
  <si>
    <t>I_Cout(RMS)</t>
  </si>
  <si>
    <t>I_a</t>
  </si>
  <si>
    <t>I_r</t>
  </si>
  <si>
    <t>-</t>
  </si>
  <si>
    <t>H</t>
  </si>
  <si>
    <t>I_OUT</t>
  </si>
  <si>
    <t>dV_coupling</t>
  </si>
  <si>
    <t>C_coupling</t>
  </si>
  <si>
    <t>L_1</t>
  </si>
  <si>
    <t>L_2</t>
  </si>
  <si>
    <t>f_resonance</t>
  </si>
  <si>
    <t>R_damping</t>
  </si>
  <si>
    <t>2 db -&gt; disszipáció miatt</t>
  </si>
  <si>
    <t>Data Sheet</t>
  </si>
  <si>
    <t>https://fr.farnell.com/en-FR/kemet/c1206x222kcrac3316/capacitor-2200pf-x7r-500v-1206/dp/4242429RL</t>
  </si>
  <si>
    <t>V_IN(WC)</t>
  </si>
  <si>
    <t>dI_L(max)</t>
  </si>
  <si>
    <t>I_L(AVG)</t>
  </si>
  <si>
    <t>V_OUT</t>
  </si>
  <si>
    <t>I_L1(avg)</t>
  </si>
  <si>
    <t>150MS6K</t>
  </si>
  <si>
    <t>R_s</t>
  </si>
  <si>
    <t>V_cl</t>
  </si>
  <si>
    <t>I_cl</t>
  </si>
  <si>
    <t>https://fr.farnell.com/en-FR/multicomp-pro/mclrp12dtwrr050/res-detec-corriente-0r05-0-5-3w/dp/2828168</t>
  </si>
  <si>
    <t>https://www.onsemi.com/pdf/datasheet/ncv898031-d.pdf</t>
  </si>
  <si>
    <t>I_CL</t>
  </si>
  <si>
    <t>D_min</t>
  </si>
  <si>
    <t>D_max</t>
  </si>
  <si>
    <t>t_on(min)</t>
  </si>
  <si>
    <t>s</t>
  </si>
  <si>
    <t>V_CL</t>
  </si>
  <si>
    <t>I_limit</t>
  </si>
  <si>
    <t>R</t>
  </si>
  <si>
    <t>F</t>
  </si>
  <si>
    <t>Link</t>
  </si>
  <si>
    <t>https://www.ti.com/lit/an/slyt309/slyt309.pdf</t>
  </si>
  <si>
    <t>Duty Cycle</t>
  </si>
  <si>
    <t>V_FRD</t>
  </si>
  <si>
    <t>D_(max)</t>
  </si>
  <si>
    <t>I_IN(max)</t>
  </si>
  <si>
    <t>Select Passive Components</t>
  </si>
  <si>
    <t>dI_L</t>
  </si>
  <si>
    <t>I_L1a(peak)</t>
  </si>
  <si>
    <t>ESR</t>
  </si>
  <si>
    <t>Data Sheet C_OUT</t>
  </si>
  <si>
    <t>https://fr.farnell.com/en-FR/panasonic/eeefk1v271sp/cap-270-f-35v-smd/dp/2507736</t>
  </si>
  <si>
    <t>dV_RPL</t>
  </si>
  <si>
    <t>I_L1b(peak)</t>
  </si>
  <si>
    <t>I_Cp(RMS)</t>
  </si>
  <si>
    <t>L_1a(min),L_1b(min)</t>
  </si>
  <si>
    <t>dV_Cp</t>
  </si>
  <si>
    <t>C_p</t>
  </si>
  <si>
    <t>Selecting Active components</t>
  </si>
  <si>
    <t>I_Q1(peak)</t>
  </si>
  <si>
    <t>P_D(Q1)</t>
  </si>
  <si>
    <t>I_Q1(RMS)</t>
  </si>
  <si>
    <t>r_DS(on)</t>
  </si>
  <si>
    <t>MOSFET Date sheet</t>
  </si>
  <si>
    <t>t_rise</t>
  </si>
  <si>
    <t>t_fall</t>
  </si>
  <si>
    <t>I_IN'</t>
  </si>
  <si>
    <t>I_Q1(RMS</t>
  </si>
  <si>
    <t>P_D(D1)</t>
  </si>
  <si>
    <t>mW</t>
  </si>
  <si>
    <t>L_1a, L_1b</t>
  </si>
  <si>
    <t>COIL Select</t>
  </si>
  <si>
    <t>With selected  22uF Capacitor</t>
  </si>
  <si>
    <t>eff_WC</t>
  </si>
  <si>
    <t>Input current percent</t>
  </si>
  <si>
    <t>fs_min</t>
  </si>
  <si>
    <t>fs_avg</t>
  </si>
  <si>
    <t>Valasztott Capacitor</t>
  </si>
  <si>
    <t>Masik Capacitor</t>
  </si>
  <si>
    <t>0,2-0,4</t>
  </si>
  <si>
    <t>0-1</t>
  </si>
  <si>
    <t>Diode Select</t>
  </si>
  <si>
    <t>Output Capacitor Select</t>
  </si>
  <si>
    <t>Input Capacitor Select</t>
  </si>
  <si>
    <t>Sepic Controller</t>
  </si>
  <si>
    <t>&lt;</t>
  </si>
  <si>
    <t>&gt;</t>
  </si>
  <si>
    <t>Operating time</t>
  </si>
  <si>
    <t>Current Limit</t>
  </si>
  <si>
    <t>VDRV</t>
  </si>
  <si>
    <t>C_DRV</t>
  </si>
  <si>
    <t>uF</t>
  </si>
  <si>
    <t>V_VDRV</t>
  </si>
  <si>
    <t>Datasheet</t>
  </si>
  <si>
    <t>http://industrial.panasonic.com/cdbs/www-data/pdf/RDA0000/AOA0000C301.pdf</t>
  </si>
  <si>
    <t>P2P current ripple</t>
  </si>
  <si>
    <t>%</t>
  </si>
  <si>
    <t>P2P Current ripple</t>
  </si>
  <si>
    <t>minimum value</t>
  </si>
  <si>
    <t>https://www.onsemi.com/products/power-management/dc-dc-power-conversion/controllers/NCV898031#overview</t>
  </si>
  <si>
    <t>Assumed Efficiency</t>
  </si>
  <si>
    <t>maximum value</t>
  </si>
  <si>
    <t>https://www.farnell.com/datasheets/2813662.pdf</t>
  </si>
  <si>
    <t>https://www.farnell.com/datasheets/3816851.pdf</t>
  </si>
  <si>
    <t>R_lower Datasheet</t>
  </si>
  <si>
    <t>R_upper Datasheet</t>
  </si>
  <si>
    <t>Sum</t>
  </si>
  <si>
    <t>https://www.farnell.com/datasheets/2863884.pdf</t>
  </si>
  <si>
    <t>https://4donline.ihs.com/images/VipMasterIC/IC/PANA/PANA-S-A0007945459/PANA-S-A0007945459-1.pdf?hkey=6D3A4C79FDBF58556ACFDE234799DDF0</t>
  </si>
  <si>
    <t>Switching Losses</t>
  </si>
  <si>
    <t>Conduction Losses</t>
  </si>
  <si>
    <t>Power Dissipation</t>
  </si>
  <si>
    <t>L_filter</t>
  </si>
  <si>
    <t>C_filter</t>
  </si>
  <si>
    <t>f0</t>
  </si>
  <si>
    <t>f_SW</t>
  </si>
  <si>
    <t>C_in</t>
  </si>
  <si>
    <t>C_damp</t>
  </si>
  <si>
    <t>zeta</t>
  </si>
  <si>
    <t>n</t>
  </si>
  <si>
    <t>R_damp</t>
  </si>
  <si>
    <t>uH</t>
  </si>
  <si>
    <t>impedanciacsúcs legzajosabb pontban</t>
  </si>
  <si>
    <t>névleges áram 10x esére design, ne menjen telítésbe a vasmag</t>
  </si>
  <si>
    <t>DI_L(max)'</t>
  </si>
  <si>
    <t>I_Q1_RMS</t>
  </si>
  <si>
    <t>R_Dson</t>
  </si>
  <si>
    <t>I_Qpeak</t>
  </si>
  <si>
    <t>Vout</t>
  </si>
  <si>
    <t>V_f</t>
  </si>
  <si>
    <t>trise</t>
  </si>
  <si>
    <t>tfall</t>
  </si>
  <si>
    <t>fsw</t>
  </si>
  <si>
    <t>V_in_max</t>
  </si>
  <si>
    <t>w</t>
  </si>
  <si>
    <t>MOSFET disszipacio</t>
  </si>
  <si>
    <t>Q_GD</t>
  </si>
  <si>
    <t>Vin_min</t>
  </si>
  <si>
    <t>P_DQ1</t>
  </si>
  <si>
    <t>IG</t>
  </si>
  <si>
    <t>D_akt</t>
  </si>
  <si>
    <t>Aktualis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</si>
</sst>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4" borderId="0" applyNumberFormat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2" fillId="0" borderId="0" xfId="1"/>
    <xf numFmtId="0" fontId="0" fillId="3" borderId="0" xfId="0" applyFill="1"/>
    <xf numFmtId="0" fontId="0" fillId="0" borderId="0" xfId="0" applyBorder="1"/>
    <xf numFmtId="0" fontId="0" fillId="0" borderId="0" xfId="0" applyFill="1"/>
    <xf numFmtId="0" fontId="0" fillId="0" borderId="0" xfId="0" applyFont="1"/>
    <xf numFmtId="0" fontId="0" fillId="0" borderId="2" xfId="0" applyBorder="1"/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  <xf numFmtId="11" fontId="0" fillId="3" borderId="0" xfId="0" applyNumberFormat="1" applyFill="1" applyAlignment="1">
      <alignment horizontal="center"/>
    </xf>
    <xf numFmtId="0" fontId="1" fillId="0" borderId="3" xfId="0" applyFont="1" applyBorder="1"/>
    <xf numFmtId="0" fontId="0" fillId="0" borderId="3" xfId="0" applyBorder="1"/>
    <xf numFmtId="11" fontId="0" fillId="0" borderId="0" xfId="0" applyNumberFormat="1"/>
    <xf numFmtId="2" fontId="0" fillId="0" borderId="0" xfId="0" applyNumberFormat="1"/>
    <xf numFmtId="2" fontId="0" fillId="0" borderId="0" xfId="0" quotePrefix="1" applyNumberFormat="1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Border="1"/>
    <xf numFmtId="0" fontId="0" fillId="0" borderId="0" xfId="0" applyFont="1" applyBorder="1"/>
    <xf numFmtId="0" fontId="1" fillId="0" borderId="4" xfId="0" applyFont="1" applyBorder="1"/>
    <xf numFmtId="0" fontId="0" fillId="3" borderId="0" xfId="0" applyFill="1" applyBorder="1"/>
    <xf numFmtId="0" fontId="1" fillId="0" borderId="8" xfId="0" applyFont="1" applyBorder="1"/>
    <xf numFmtId="0" fontId="1" fillId="0" borderId="10" xfId="0" applyFont="1" applyBorder="1"/>
    <xf numFmtId="0" fontId="0" fillId="0" borderId="0" xfId="0" applyFill="1" applyBorder="1"/>
    <xf numFmtId="0" fontId="0" fillId="2" borderId="0" xfId="0" applyFill="1"/>
    <xf numFmtId="0" fontId="0" fillId="2" borderId="0" xfId="0" applyFill="1" applyBorder="1"/>
    <xf numFmtId="11" fontId="0" fillId="0" borderId="0" xfId="0" applyNumberFormat="1" applyFill="1"/>
    <xf numFmtId="0" fontId="0" fillId="0" borderId="2" xfId="0" applyFill="1" applyBorder="1"/>
    <xf numFmtId="0" fontId="3" fillId="4" borderId="0" xfId="2"/>
    <xf numFmtId="0" fontId="0" fillId="3" borderId="1" xfId="0" applyFill="1" applyBorder="1"/>
    <xf numFmtId="11" fontId="0" fillId="2" borderId="0" xfId="0" applyNumberFormat="1" applyFill="1"/>
    <xf numFmtId="0" fontId="0" fillId="2" borderId="1" xfId="0" applyFill="1" applyBorder="1"/>
    <xf numFmtId="0" fontId="1" fillId="3" borderId="0" xfId="0" applyFont="1" applyFill="1"/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2" xfId="0" applyBorder="1"/>
    <xf numFmtId="0" fontId="0" fillId="0" borderId="11" xfId="0" applyBorder="1"/>
  </cellXfs>
  <cellStyles count="3">
    <cellStyle name="Hivatkozás" xfId="1" builtinId="8"/>
    <cellStyle name="Normál" xfId="0" builtinId="0"/>
    <cellStyle name="Rossz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8.png"/><Relationship Id="rId3" Type="http://schemas.openxmlformats.org/officeDocument/2006/relationships/image" Target="../media/image33.png"/><Relationship Id="rId7" Type="http://schemas.openxmlformats.org/officeDocument/2006/relationships/image" Target="../media/image37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Relationship Id="rId6" Type="http://schemas.openxmlformats.org/officeDocument/2006/relationships/image" Target="../media/image36.png"/><Relationship Id="rId11" Type="http://schemas.openxmlformats.org/officeDocument/2006/relationships/image" Target="../media/image41.png"/><Relationship Id="rId5" Type="http://schemas.openxmlformats.org/officeDocument/2006/relationships/image" Target="../media/image35.png"/><Relationship Id="rId10" Type="http://schemas.openxmlformats.org/officeDocument/2006/relationships/image" Target="../media/image40.png"/><Relationship Id="rId4" Type="http://schemas.openxmlformats.org/officeDocument/2006/relationships/image" Target="../media/image34.png"/><Relationship Id="rId9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239151</xdr:colOff>
      <xdr:row>9</xdr:row>
      <xdr:rowOff>47610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2121CB09-3A3A-4A7F-8432-7EEF4A33B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53976" cy="1676385"/>
        </a:xfrm>
        <a:prstGeom prst="rect">
          <a:avLst/>
        </a:prstGeom>
      </xdr:spPr>
    </xdr:pic>
    <xdr:clientData/>
  </xdr:twoCellAnchor>
  <xdr:twoCellAnchor editAs="oneCell">
    <xdr:from>
      <xdr:col>7</xdr:col>
      <xdr:colOff>25400</xdr:colOff>
      <xdr:row>0</xdr:row>
      <xdr:rowOff>0</xdr:rowOff>
    </xdr:from>
    <xdr:to>
      <xdr:col>13</xdr:col>
      <xdr:colOff>331499</xdr:colOff>
      <xdr:row>17</xdr:row>
      <xdr:rowOff>6365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4EB1845D-B2F3-4013-9A03-B7413E572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5" y="0"/>
          <a:ext cx="3960524" cy="308294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246</xdr:row>
      <xdr:rowOff>123825</xdr:rowOff>
    </xdr:from>
    <xdr:to>
      <xdr:col>12</xdr:col>
      <xdr:colOff>210090</xdr:colOff>
      <xdr:row>261</xdr:row>
      <xdr:rowOff>28966</xdr:rowOff>
    </xdr:to>
    <xdr:pic>
      <xdr:nvPicPr>
        <xdr:cNvPr id="4" name="Kép 3">
          <a:extLst>
            <a:ext uri="{FF2B5EF4-FFF2-40B4-BE49-F238E27FC236}">
              <a16:creationId xmlns:a16="http://schemas.microsoft.com/office/drawing/2014/main" id="{8D19EEE2-968D-4B8C-8D73-41909551D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29350" y="45192950"/>
          <a:ext cx="3867690" cy="2661041"/>
        </a:xfrm>
        <a:prstGeom prst="rect">
          <a:avLst/>
        </a:prstGeom>
      </xdr:spPr>
    </xdr:pic>
    <xdr:clientData/>
  </xdr:twoCellAnchor>
  <xdr:twoCellAnchor editAs="oneCell">
    <xdr:from>
      <xdr:col>14</xdr:col>
      <xdr:colOff>9524</xdr:colOff>
      <xdr:row>248</xdr:row>
      <xdr:rowOff>121268</xdr:rowOff>
    </xdr:from>
    <xdr:to>
      <xdr:col>24</xdr:col>
      <xdr:colOff>115963</xdr:colOff>
      <xdr:row>258</xdr:row>
      <xdr:rowOff>483</xdr:rowOff>
    </xdr:to>
    <xdr:pic>
      <xdr:nvPicPr>
        <xdr:cNvPr id="5" name="Kép 4">
          <a:extLst>
            <a:ext uri="{FF2B5EF4-FFF2-40B4-BE49-F238E27FC236}">
              <a16:creationId xmlns:a16="http://schemas.microsoft.com/office/drawing/2014/main" id="{882DEBC4-4B89-495A-91D9-32BD5917F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118849" y="45568218"/>
          <a:ext cx="6199264" cy="1714365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227</xdr:row>
      <xdr:rowOff>19050</xdr:rowOff>
    </xdr:from>
    <xdr:to>
      <xdr:col>13</xdr:col>
      <xdr:colOff>86521</xdr:colOff>
      <xdr:row>238</xdr:row>
      <xdr:rowOff>815</xdr:rowOff>
    </xdr:to>
    <xdr:pic>
      <xdr:nvPicPr>
        <xdr:cNvPr id="6" name="Kép 5">
          <a:extLst>
            <a:ext uri="{FF2B5EF4-FFF2-40B4-BE49-F238E27FC236}">
              <a16:creationId xmlns:a16="http://schemas.microsoft.com/office/drawing/2014/main" id="{A461A2CB-5BEB-446E-A704-F1CF00868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48400" y="41567100"/>
          <a:ext cx="4334671" cy="2048690"/>
        </a:xfrm>
        <a:prstGeom prst="rect">
          <a:avLst/>
        </a:prstGeom>
      </xdr:spPr>
    </xdr:pic>
    <xdr:clientData/>
  </xdr:twoCellAnchor>
  <xdr:twoCellAnchor editAs="oneCell">
    <xdr:from>
      <xdr:col>13</xdr:col>
      <xdr:colOff>590550</xdr:colOff>
      <xdr:row>229</xdr:row>
      <xdr:rowOff>43747</xdr:rowOff>
    </xdr:from>
    <xdr:to>
      <xdr:col>25</xdr:col>
      <xdr:colOff>220750</xdr:colOff>
      <xdr:row>242</xdr:row>
      <xdr:rowOff>10133</xdr:rowOff>
    </xdr:to>
    <xdr:pic>
      <xdr:nvPicPr>
        <xdr:cNvPr id="7" name="Kép 6">
          <a:extLst>
            <a:ext uri="{FF2B5EF4-FFF2-40B4-BE49-F238E27FC236}">
              <a16:creationId xmlns:a16="http://schemas.microsoft.com/office/drawing/2014/main" id="{4515D31C-1112-40C0-B2A6-A27E2F145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1956922"/>
          <a:ext cx="6945400" cy="2392086"/>
        </a:xfrm>
        <a:prstGeom prst="rect">
          <a:avLst/>
        </a:prstGeom>
      </xdr:spPr>
    </xdr:pic>
    <xdr:clientData/>
  </xdr:twoCellAnchor>
  <xdr:twoCellAnchor editAs="oneCell">
    <xdr:from>
      <xdr:col>6</xdr:col>
      <xdr:colOff>66676</xdr:colOff>
      <xdr:row>209</xdr:row>
      <xdr:rowOff>0</xdr:rowOff>
    </xdr:from>
    <xdr:to>
      <xdr:col>12</xdr:col>
      <xdr:colOff>200026</xdr:colOff>
      <xdr:row>214</xdr:row>
      <xdr:rowOff>2692</xdr:rowOff>
    </xdr:to>
    <xdr:pic>
      <xdr:nvPicPr>
        <xdr:cNvPr id="8" name="Kép 7">
          <a:extLst>
            <a:ext uri="{FF2B5EF4-FFF2-40B4-BE49-F238E27FC236}">
              <a16:creationId xmlns:a16="http://schemas.microsoft.com/office/drawing/2014/main" id="{3FEA6734-2AAF-4BDB-AF72-6B712592C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92851" y="38233350"/>
          <a:ext cx="3794125" cy="936142"/>
        </a:xfrm>
        <a:prstGeom prst="rect">
          <a:avLst/>
        </a:prstGeom>
      </xdr:spPr>
    </xdr:pic>
    <xdr:clientData/>
  </xdr:twoCellAnchor>
  <xdr:twoCellAnchor editAs="oneCell">
    <xdr:from>
      <xdr:col>6</xdr:col>
      <xdr:colOff>28574</xdr:colOff>
      <xdr:row>213</xdr:row>
      <xdr:rowOff>161925</xdr:rowOff>
    </xdr:from>
    <xdr:to>
      <xdr:col>12</xdr:col>
      <xdr:colOff>163591</xdr:colOff>
      <xdr:row>218</xdr:row>
      <xdr:rowOff>76200</xdr:rowOff>
    </xdr:to>
    <xdr:pic>
      <xdr:nvPicPr>
        <xdr:cNvPr id="9" name="Kép 8">
          <a:extLst>
            <a:ext uri="{FF2B5EF4-FFF2-40B4-BE49-F238E27FC236}">
              <a16:creationId xmlns:a16="http://schemas.microsoft.com/office/drawing/2014/main" id="{B1FCCACF-E18B-4002-8EC0-5AD9ED896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61099" y="39144575"/>
          <a:ext cx="3789442" cy="841375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218</xdr:row>
      <xdr:rowOff>68140</xdr:rowOff>
    </xdr:from>
    <xdr:to>
      <xdr:col>12</xdr:col>
      <xdr:colOff>142875</xdr:colOff>
      <xdr:row>225</xdr:row>
      <xdr:rowOff>105516</xdr:rowOff>
    </xdr:to>
    <xdr:pic>
      <xdr:nvPicPr>
        <xdr:cNvPr id="10" name="Kép 9">
          <a:extLst>
            <a:ext uri="{FF2B5EF4-FFF2-40B4-BE49-F238E27FC236}">
              <a16:creationId xmlns:a16="http://schemas.microsoft.com/office/drawing/2014/main" id="{44D69E7F-2BC6-4112-A633-6B60D4B15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273800" y="39974715"/>
          <a:ext cx="3756025" cy="1307376"/>
        </a:xfrm>
        <a:prstGeom prst="rect">
          <a:avLst/>
        </a:prstGeom>
      </xdr:spPr>
    </xdr:pic>
    <xdr:clientData/>
  </xdr:twoCellAnchor>
  <xdr:twoCellAnchor editAs="oneCell">
    <xdr:from>
      <xdr:col>6</xdr:col>
      <xdr:colOff>9525</xdr:colOff>
      <xdr:row>193</xdr:row>
      <xdr:rowOff>17183</xdr:rowOff>
    </xdr:from>
    <xdr:to>
      <xdr:col>12</xdr:col>
      <xdr:colOff>200825</xdr:colOff>
      <xdr:row>202</xdr:row>
      <xdr:rowOff>359</xdr:rowOff>
    </xdr:to>
    <xdr:pic>
      <xdr:nvPicPr>
        <xdr:cNvPr id="11" name="Kép 10">
          <a:extLst>
            <a:ext uri="{FF2B5EF4-FFF2-40B4-BE49-F238E27FC236}">
              <a16:creationId xmlns:a16="http://schemas.microsoft.com/office/drawing/2014/main" id="{EC8E4485-239A-47CC-9B9A-F7665E07A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235700" y="35307308"/>
          <a:ext cx="3852075" cy="1640526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201</xdr:row>
      <xdr:rowOff>180975</xdr:rowOff>
    </xdr:from>
    <xdr:to>
      <xdr:col>12</xdr:col>
      <xdr:colOff>171450</xdr:colOff>
      <xdr:row>204</xdr:row>
      <xdr:rowOff>39947</xdr:rowOff>
    </xdr:to>
    <xdr:pic>
      <xdr:nvPicPr>
        <xdr:cNvPr id="12" name="Kép 11">
          <a:extLst>
            <a:ext uri="{FF2B5EF4-FFF2-40B4-BE49-F238E27FC236}">
              <a16:creationId xmlns:a16="http://schemas.microsoft.com/office/drawing/2014/main" id="{4284C3A4-5572-4C49-9E12-7E11A037F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248400" y="36944300"/>
          <a:ext cx="3810000" cy="405072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180</xdr:row>
      <xdr:rowOff>95252</xdr:rowOff>
    </xdr:from>
    <xdr:to>
      <xdr:col>11</xdr:col>
      <xdr:colOff>571500</xdr:colOff>
      <xdr:row>186</xdr:row>
      <xdr:rowOff>123334</xdr:rowOff>
    </xdr:to>
    <xdr:pic>
      <xdr:nvPicPr>
        <xdr:cNvPr id="13" name="Kép 12">
          <a:extLst>
            <a:ext uri="{FF2B5EF4-FFF2-40B4-BE49-F238E27FC236}">
              <a16:creationId xmlns:a16="http://schemas.microsoft.com/office/drawing/2014/main" id="{87A663BE-7AAE-402E-8E4D-5B1880254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248400" y="33004127"/>
          <a:ext cx="3600450" cy="1132982"/>
        </a:xfrm>
        <a:prstGeom prst="rect">
          <a:avLst/>
        </a:prstGeom>
      </xdr:spPr>
    </xdr:pic>
    <xdr:clientData/>
  </xdr:twoCellAnchor>
  <xdr:twoCellAnchor editAs="oneCell">
    <xdr:from>
      <xdr:col>6</xdr:col>
      <xdr:colOff>8846</xdr:colOff>
      <xdr:row>158</xdr:row>
      <xdr:rowOff>38100</xdr:rowOff>
    </xdr:from>
    <xdr:to>
      <xdr:col>11</xdr:col>
      <xdr:colOff>571349</xdr:colOff>
      <xdr:row>177</xdr:row>
      <xdr:rowOff>133350</xdr:rowOff>
    </xdr:to>
    <xdr:pic>
      <xdr:nvPicPr>
        <xdr:cNvPr id="14" name="Kép 13">
          <a:extLst>
            <a:ext uri="{FF2B5EF4-FFF2-40B4-BE49-F238E27FC236}">
              <a16:creationId xmlns:a16="http://schemas.microsoft.com/office/drawing/2014/main" id="{770B9DB3-DB34-45B1-BB9F-6B433AF25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241371" y="28898850"/>
          <a:ext cx="3607328" cy="3590925"/>
        </a:xfrm>
        <a:prstGeom prst="rect">
          <a:avLst/>
        </a:prstGeom>
      </xdr:spPr>
    </xdr:pic>
    <xdr:clientData/>
  </xdr:twoCellAnchor>
  <xdr:twoCellAnchor editAs="oneCell">
    <xdr:from>
      <xdr:col>6</xdr:col>
      <xdr:colOff>19051</xdr:colOff>
      <xdr:row>130</xdr:row>
      <xdr:rowOff>0</xdr:rowOff>
    </xdr:from>
    <xdr:to>
      <xdr:col>11</xdr:col>
      <xdr:colOff>563253</xdr:colOff>
      <xdr:row>138</xdr:row>
      <xdr:rowOff>180975</xdr:rowOff>
    </xdr:to>
    <xdr:pic>
      <xdr:nvPicPr>
        <xdr:cNvPr id="15" name="Kép 14">
          <a:extLst>
            <a:ext uri="{FF2B5EF4-FFF2-40B4-BE49-F238E27FC236}">
              <a16:creationId xmlns:a16="http://schemas.microsoft.com/office/drawing/2014/main" id="{D67BA4A8-C40E-4CE0-9578-C3E6978DA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248401" y="23745825"/>
          <a:ext cx="3592202" cy="165735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139</xdr:row>
      <xdr:rowOff>28575</xdr:rowOff>
    </xdr:from>
    <xdr:to>
      <xdr:col>11</xdr:col>
      <xdr:colOff>600075</xdr:colOff>
      <xdr:row>154</xdr:row>
      <xdr:rowOff>161063</xdr:rowOff>
    </xdr:to>
    <xdr:pic>
      <xdr:nvPicPr>
        <xdr:cNvPr id="16" name="Kép 15">
          <a:extLst>
            <a:ext uri="{FF2B5EF4-FFF2-40B4-BE49-F238E27FC236}">
              <a16:creationId xmlns:a16="http://schemas.microsoft.com/office/drawing/2014/main" id="{24281D68-609F-46BF-B6F4-A6B8DF198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248400" y="25438100"/>
          <a:ext cx="3629025" cy="2850288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</xdr:colOff>
      <xdr:row>130</xdr:row>
      <xdr:rowOff>28575</xdr:rowOff>
    </xdr:from>
    <xdr:to>
      <xdr:col>16</xdr:col>
      <xdr:colOff>168</xdr:colOff>
      <xdr:row>135</xdr:row>
      <xdr:rowOff>129</xdr:rowOff>
    </xdr:to>
    <xdr:pic>
      <xdr:nvPicPr>
        <xdr:cNvPr id="17" name="Kép 16">
          <a:extLst>
            <a:ext uri="{FF2B5EF4-FFF2-40B4-BE49-F238E27FC236}">
              <a16:creationId xmlns:a16="http://schemas.microsoft.com/office/drawing/2014/main" id="{786755A5-F9AA-41C8-A9DA-7D62BC2AF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125200" y="23771225"/>
          <a:ext cx="1200318" cy="8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47624</xdr:colOff>
      <xdr:row>135</xdr:row>
      <xdr:rowOff>38100</xdr:rowOff>
    </xdr:from>
    <xdr:to>
      <xdr:col>23</xdr:col>
      <xdr:colOff>561975</xdr:colOff>
      <xdr:row>141</xdr:row>
      <xdr:rowOff>752</xdr:rowOff>
    </xdr:to>
    <xdr:pic>
      <xdr:nvPicPr>
        <xdr:cNvPr id="18" name="Kép 17">
          <a:extLst>
            <a:ext uri="{FF2B5EF4-FFF2-40B4-BE49-F238E27FC236}">
              <a16:creationId xmlns:a16="http://schemas.microsoft.com/office/drawing/2014/main" id="{47E4B6BC-7E42-419A-B430-DD438E726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156949" y="24698325"/>
          <a:ext cx="5997576" cy="1077077"/>
        </a:xfrm>
        <a:prstGeom prst="rect">
          <a:avLst/>
        </a:prstGeom>
      </xdr:spPr>
    </xdr:pic>
    <xdr:clientData/>
  </xdr:twoCellAnchor>
  <xdr:twoCellAnchor editAs="oneCell">
    <xdr:from>
      <xdr:col>14</xdr:col>
      <xdr:colOff>5107</xdr:colOff>
      <xdr:row>144</xdr:row>
      <xdr:rowOff>38100</xdr:rowOff>
    </xdr:from>
    <xdr:to>
      <xdr:col>19</xdr:col>
      <xdr:colOff>419101</xdr:colOff>
      <xdr:row>155</xdr:row>
      <xdr:rowOff>2805</xdr:rowOff>
    </xdr:to>
    <xdr:pic>
      <xdr:nvPicPr>
        <xdr:cNvPr id="19" name="Kép 18">
          <a:extLst>
            <a:ext uri="{FF2B5EF4-FFF2-40B4-BE49-F238E27FC236}">
              <a16:creationId xmlns:a16="http://schemas.microsoft.com/office/drawing/2014/main" id="{38E923C4-8164-499A-A45D-A3778AC86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114432" y="26355675"/>
          <a:ext cx="3458819" cy="1955430"/>
        </a:xfrm>
        <a:prstGeom prst="rect">
          <a:avLst/>
        </a:prstGeom>
      </xdr:spPr>
    </xdr:pic>
    <xdr:clientData/>
  </xdr:twoCellAnchor>
  <xdr:twoCellAnchor editAs="oneCell">
    <xdr:from>
      <xdr:col>6</xdr:col>
      <xdr:colOff>14967</xdr:colOff>
      <xdr:row>90</xdr:row>
      <xdr:rowOff>66675</xdr:rowOff>
    </xdr:from>
    <xdr:to>
      <xdr:col>11</xdr:col>
      <xdr:colOff>447675</xdr:colOff>
      <xdr:row>116</xdr:row>
      <xdr:rowOff>143157</xdr:rowOff>
    </xdr:to>
    <xdr:pic>
      <xdr:nvPicPr>
        <xdr:cNvPr id="20" name="Kép 19">
          <a:extLst>
            <a:ext uri="{FF2B5EF4-FFF2-40B4-BE49-F238E27FC236}">
              <a16:creationId xmlns:a16="http://schemas.microsoft.com/office/drawing/2014/main" id="{3FC9FC91-27CC-426A-86FC-A1D322652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241142" y="16465550"/>
          <a:ext cx="3483883" cy="4880257"/>
        </a:xfrm>
        <a:prstGeom prst="rect">
          <a:avLst/>
        </a:prstGeom>
      </xdr:spPr>
    </xdr:pic>
    <xdr:clientData/>
  </xdr:twoCellAnchor>
  <xdr:twoCellAnchor editAs="oneCell">
    <xdr:from>
      <xdr:col>14</xdr:col>
      <xdr:colOff>28575</xdr:colOff>
      <xdr:row>93</xdr:row>
      <xdr:rowOff>12602</xdr:rowOff>
    </xdr:from>
    <xdr:to>
      <xdr:col>24</xdr:col>
      <xdr:colOff>190500</xdr:colOff>
      <xdr:row>101</xdr:row>
      <xdr:rowOff>11615</xdr:rowOff>
    </xdr:to>
    <xdr:pic>
      <xdr:nvPicPr>
        <xdr:cNvPr id="21" name="Kép 20">
          <a:extLst>
            <a:ext uri="{FF2B5EF4-FFF2-40B4-BE49-F238E27FC236}">
              <a16:creationId xmlns:a16="http://schemas.microsoft.com/office/drawing/2014/main" id="{7352302E-F0AB-4F60-9631-A6A4ECF4C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131550" y="16963927"/>
          <a:ext cx="6261100" cy="1488088"/>
        </a:xfrm>
        <a:prstGeom prst="rect">
          <a:avLst/>
        </a:prstGeom>
      </xdr:spPr>
    </xdr:pic>
    <xdr:clientData/>
  </xdr:twoCellAnchor>
  <xdr:twoCellAnchor editAs="oneCell">
    <xdr:from>
      <xdr:col>6</xdr:col>
      <xdr:colOff>27165</xdr:colOff>
      <xdr:row>75</xdr:row>
      <xdr:rowOff>28575</xdr:rowOff>
    </xdr:from>
    <xdr:to>
      <xdr:col>11</xdr:col>
      <xdr:colOff>398085</xdr:colOff>
      <xdr:row>87</xdr:row>
      <xdr:rowOff>161925</xdr:rowOff>
    </xdr:to>
    <xdr:pic>
      <xdr:nvPicPr>
        <xdr:cNvPr id="22" name="Kép 21">
          <a:extLst>
            <a:ext uri="{FF2B5EF4-FFF2-40B4-BE49-F238E27FC236}">
              <a16:creationId xmlns:a16="http://schemas.microsoft.com/office/drawing/2014/main" id="{F1CCB0EB-B294-495D-B819-2CED165E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259690" y="13684250"/>
          <a:ext cx="3415745" cy="2327275"/>
        </a:xfrm>
        <a:prstGeom prst="rect">
          <a:avLst/>
        </a:prstGeom>
      </xdr:spPr>
    </xdr:pic>
    <xdr:clientData/>
  </xdr:twoCellAnchor>
  <xdr:twoCellAnchor editAs="oneCell">
    <xdr:from>
      <xdr:col>13</xdr:col>
      <xdr:colOff>581026</xdr:colOff>
      <xdr:row>77</xdr:row>
      <xdr:rowOff>18631</xdr:rowOff>
    </xdr:from>
    <xdr:to>
      <xdr:col>24</xdr:col>
      <xdr:colOff>295276</xdr:colOff>
      <xdr:row>86</xdr:row>
      <xdr:rowOff>170635</xdr:rowOff>
    </xdr:to>
    <xdr:pic>
      <xdr:nvPicPr>
        <xdr:cNvPr id="23" name="Kép 22">
          <a:extLst>
            <a:ext uri="{FF2B5EF4-FFF2-40B4-BE49-F238E27FC236}">
              <a16:creationId xmlns:a16="http://schemas.microsoft.com/office/drawing/2014/main" id="{B2434B0A-7CB9-4C26-8D7C-ACD64C654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74401" y="14048956"/>
          <a:ext cx="6423025" cy="1790304"/>
        </a:xfrm>
        <a:prstGeom prst="rect">
          <a:avLst/>
        </a:prstGeom>
      </xdr:spPr>
    </xdr:pic>
    <xdr:clientData/>
  </xdr:twoCellAnchor>
  <xdr:twoCellAnchor editAs="oneCell">
    <xdr:from>
      <xdr:col>6</xdr:col>
      <xdr:colOff>37246</xdr:colOff>
      <xdr:row>22</xdr:row>
      <xdr:rowOff>38100</xdr:rowOff>
    </xdr:from>
    <xdr:to>
      <xdr:col>11</xdr:col>
      <xdr:colOff>86439</xdr:colOff>
      <xdr:row>28</xdr:row>
      <xdr:rowOff>181271</xdr:rowOff>
    </xdr:to>
    <xdr:pic>
      <xdr:nvPicPr>
        <xdr:cNvPr id="24" name="Kép 23">
          <a:extLst>
            <a:ext uri="{FF2B5EF4-FFF2-40B4-BE49-F238E27FC236}">
              <a16:creationId xmlns:a16="http://schemas.microsoft.com/office/drawing/2014/main" id="{3FE3A86A-C6CD-4436-9693-DC073D952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266596" y="4029075"/>
          <a:ext cx="3097193" cy="1229021"/>
        </a:xfrm>
        <a:prstGeom prst="rect">
          <a:avLst/>
        </a:prstGeom>
      </xdr:spPr>
    </xdr:pic>
    <xdr:clientData/>
  </xdr:twoCellAnchor>
  <xdr:twoCellAnchor editAs="oneCell">
    <xdr:from>
      <xdr:col>6</xdr:col>
      <xdr:colOff>7938</xdr:colOff>
      <xdr:row>29</xdr:row>
      <xdr:rowOff>152400</xdr:rowOff>
    </xdr:from>
    <xdr:to>
      <xdr:col>11</xdr:col>
      <xdr:colOff>133350</xdr:colOff>
      <xdr:row>50</xdr:row>
      <xdr:rowOff>82933</xdr:rowOff>
    </xdr:to>
    <xdr:pic>
      <xdr:nvPicPr>
        <xdr:cNvPr id="25" name="Kép 24">
          <a:extLst>
            <a:ext uri="{FF2B5EF4-FFF2-40B4-BE49-F238E27FC236}">
              <a16:creationId xmlns:a16="http://schemas.microsoft.com/office/drawing/2014/main" id="{35B37BAD-5BAA-45AD-A406-219FEB3E8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240463" y="5419725"/>
          <a:ext cx="3170237" cy="3769108"/>
        </a:xfrm>
        <a:prstGeom prst="rect">
          <a:avLst/>
        </a:prstGeom>
      </xdr:spPr>
    </xdr:pic>
    <xdr:clientData/>
  </xdr:twoCellAnchor>
  <xdr:twoCellAnchor editAs="oneCell">
    <xdr:from>
      <xdr:col>13</xdr:col>
      <xdr:colOff>311360</xdr:colOff>
      <xdr:row>0</xdr:row>
      <xdr:rowOff>0</xdr:rowOff>
    </xdr:from>
    <xdr:to>
      <xdr:col>19</xdr:col>
      <xdr:colOff>285749</xdr:colOff>
      <xdr:row>17</xdr:row>
      <xdr:rowOff>27335</xdr:rowOff>
    </xdr:to>
    <xdr:pic>
      <xdr:nvPicPr>
        <xdr:cNvPr id="26" name="Kép 25">
          <a:extLst>
            <a:ext uri="{FF2B5EF4-FFF2-40B4-BE49-F238E27FC236}">
              <a16:creationId xmlns:a16="http://schemas.microsoft.com/office/drawing/2014/main" id="{8B5AEE9A-C186-4215-BCE6-4471A260A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811085" y="0"/>
          <a:ext cx="3628814" cy="3103910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</xdr:colOff>
      <xdr:row>25</xdr:row>
      <xdr:rowOff>57150</xdr:rowOff>
    </xdr:from>
    <xdr:to>
      <xdr:col>24</xdr:col>
      <xdr:colOff>296725</xdr:colOff>
      <xdr:row>34</xdr:row>
      <xdr:rowOff>30114</xdr:rowOff>
    </xdr:to>
    <xdr:pic>
      <xdr:nvPicPr>
        <xdr:cNvPr id="27" name="Kép 26">
          <a:extLst>
            <a:ext uri="{FF2B5EF4-FFF2-40B4-BE49-F238E27FC236}">
              <a16:creationId xmlns:a16="http://schemas.microsoft.com/office/drawing/2014/main" id="{C64A336F-AF4C-4C4B-9A1F-8000AD8F6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125200" y="4591050"/>
          <a:ext cx="6373675" cy="1649364"/>
        </a:xfrm>
        <a:prstGeom prst="rect">
          <a:avLst/>
        </a:prstGeom>
      </xdr:spPr>
    </xdr:pic>
    <xdr:clientData/>
  </xdr:twoCellAnchor>
  <xdr:twoCellAnchor editAs="oneCell">
    <xdr:from>
      <xdr:col>6</xdr:col>
      <xdr:colOff>45027</xdr:colOff>
      <xdr:row>52</xdr:row>
      <xdr:rowOff>76199</xdr:rowOff>
    </xdr:from>
    <xdr:to>
      <xdr:col>11</xdr:col>
      <xdr:colOff>254577</xdr:colOff>
      <xdr:row>63</xdr:row>
      <xdr:rowOff>133349</xdr:rowOff>
    </xdr:to>
    <xdr:pic>
      <xdr:nvPicPr>
        <xdr:cNvPr id="28" name="Kép 27">
          <a:extLst>
            <a:ext uri="{FF2B5EF4-FFF2-40B4-BE49-F238E27FC236}">
              <a16:creationId xmlns:a16="http://schemas.microsoft.com/office/drawing/2014/main" id="{F5985C10-39FF-49D6-B19E-E6D4F7062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277552" y="9544049"/>
          <a:ext cx="3254375" cy="2066925"/>
        </a:xfrm>
        <a:prstGeom prst="rect">
          <a:avLst/>
        </a:prstGeom>
      </xdr:spPr>
    </xdr:pic>
    <xdr:clientData/>
  </xdr:twoCellAnchor>
  <xdr:twoCellAnchor editAs="oneCell">
    <xdr:from>
      <xdr:col>6</xdr:col>
      <xdr:colOff>9525</xdr:colOff>
      <xdr:row>64</xdr:row>
      <xdr:rowOff>101517</xdr:rowOff>
    </xdr:from>
    <xdr:to>
      <xdr:col>11</xdr:col>
      <xdr:colOff>95250</xdr:colOff>
      <xdr:row>69</xdr:row>
      <xdr:rowOff>121228</xdr:rowOff>
    </xdr:to>
    <xdr:pic>
      <xdr:nvPicPr>
        <xdr:cNvPr id="29" name="Kép 28">
          <a:extLst>
            <a:ext uri="{FF2B5EF4-FFF2-40B4-BE49-F238E27FC236}">
              <a16:creationId xmlns:a16="http://schemas.microsoft.com/office/drawing/2014/main" id="{908D5566-3A7C-4C21-AEDC-DB856BB48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235700" y="11763292"/>
          <a:ext cx="3136900" cy="921411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</xdr:colOff>
      <xdr:row>36</xdr:row>
      <xdr:rowOff>115741</xdr:rowOff>
    </xdr:from>
    <xdr:to>
      <xdr:col>24</xdr:col>
      <xdr:colOff>266700</xdr:colOff>
      <xdr:row>46</xdr:row>
      <xdr:rowOff>160394</xdr:rowOff>
    </xdr:to>
    <xdr:pic>
      <xdr:nvPicPr>
        <xdr:cNvPr id="30" name="Kép 29">
          <a:extLst>
            <a:ext uri="{FF2B5EF4-FFF2-40B4-BE49-F238E27FC236}">
              <a16:creationId xmlns:a16="http://schemas.microsoft.com/office/drawing/2014/main" id="{766EA486-95A6-4F66-A5DF-04E0182C3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125200" y="6687991"/>
          <a:ext cx="6343650" cy="1854403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</xdr:colOff>
      <xdr:row>161</xdr:row>
      <xdr:rowOff>48599</xdr:rowOff>
    </xdr:from>
    <xdr:to>
      <xdr:col>23</xdr:col>
      <xdr:colOff>220225</xdr:colOff>
      <xdr:row>166</xdr:row>
      <xdr:rowOff>92260</xdr:rowOff>
    </xdr:to>
    <xdr:pic>
      <xdr:nvPicPr>
        <xdr:cNvPr id="31" name="Kép 30">
          <a:extLst>
            <a:ext uri="{FF2B5EF4-FFF2-40B4-BE49-F238E27FC236}">
              <a16:creationId xmlns:a16="http://schemas.microsoft.com/office/drawing/2014/main" id="{5DA89300-BD83-4D36-906E-30BD6B047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506075" y="29449099"/>
          <a:ext cx="6306700" cy="961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235976</xdr:colOff>
      <xdr:row>9</xdr:row>
      <xdr:rowOff>50785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37AA434D-8D92-5685-8F0A-C699B979D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33326" cy="1711310"/>
        </a:xfrm>
        <a:prstGeom prst="rect">
          <a:avLst/>
        </a:prstGeom>
      </xdr:spPr>
    </xdr:pic>
    <xdr:clientData/>
  </xdr:twoCellAnchor>
  <xdr:twoCellAnchor editAs="oneCell">
    <xdr:from>
      <xdr:col>7</xdr:col>
      <xdr:colOff>25400</xdr:colOff>
      <xdr:row>0</xdr:row>
      <xdr:rowOff>0</xdr:rowOff>
    </xdr:from>
    <xdr:to>
      <xdr:col>13</xdr:col>
      <xdr:colOff>334674</xdr:colOff>
      <xdr:row>17</xdr:row>
      <xdr:rowOff>9540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C659F548-34F9-60C2-A609-EEDC37AAE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92600" y="0"/>
          <a:ext cx="3963699" cy="313691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246</xdr:row>
      <xdr:rowOff>123825</xdr:rowOff>
    </xdr:from>
    <xdr:to>
      <xdr:col>12</xdr:col>
      <xdr:colOff>210090</xdr:colOff>
      <xdr:row>261</xdr:row>
      <xdr:rowOff>25791</xdr:rowOff>
    </xdr:to>
    <xdr:pic>
      <xdr:nvPicPr>
        <xdr:cNvPr id="13" name="Kép 12">
          <a:extLst>
            <a:ext uri="{FF2B5EF4-FFF2-40B4-BE49-F238E27FC236}">
              <a16:creationId xmlns:a16="http://schemas.microsoft.com/office/drawing/2014/main" id="{199FCD0E-6261-2E84-5233-94ADB65BF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81700" y="47539275"/>
          <a:ext cx="3867690" cy="2800741"/>
        </a:xfrm>
        <a:prstGeom prst="rect">
          <a:avLst/>
        </a:prstGeom>
      </xdr:spPr>
    </xdr:pic>
    <xdr:clientData/>
  </xdr:twoCellAnchor>
  <xdr:twoCellAnchor editAs="oneCell">
    <xdr:from>
      <xdr:col>14</xdr:col>
      <xdr:colOff>9524</xdr:colOff>
      <xdr:row>248</xdr:row>
      <xdr:rowOff>121268</xdr:rowOff>
    </xdr:from>
    <xdr:to>
      <xdr:col>24</xdr:col>
      <xdr:colOff>115963</xdr:colOff>
      <xdr:row>258</xdr:row>
      <xdr:rowOff>483</xdr:rowOff>
    </xdr:to>
    <xdr:pic>
      <xdr:nvPicPr>
        <xdr:cNvPr id="16" name="Kép 15">
          <a:extLst>
            <a:ext uri="{FF2B5EF4-FFF2-40B4-BE49-F238E27FC236}">
              <a16:creationId xmlns:a16="http://schemas.microsoft.com/office/drawing/2014/main" id="{950A385B-6B0D-AE36-268F-049DA193D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763124" y="35001818"/>
          <a:ext cx="6202439" cy="1803265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227</xdr:row>
      <xdr:rowOff>19050</xdr:rowOff>
    </xdr:from>
    <xdr:to>
      <xdr:col>13</xdr:col>
      <xdr:colOff>83346</xdr:colOff>
      <xdr:row>238</xdr:row>
      <xdr:rowOff>815</xdr:rowOff>
    </xdr:to>
    <xdr:pic>
      <xdr:nvPicPr>
        <xdr:cNvPr id="17" name="Kép 16">
          <a:extLst>
            <a:ext uri="{FF2B5EF4-FFF2-40B4-BE49-F238E27FC236}">
              <a16:creationId xmlns:a16="http://schemas.microsoft.com/office/drawing/2014/main" id="{27DD43A7-6D84-1BB6-8640-FFB3DB7F4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95850" y="28784550"/>
          <a:ext cx="4334671" cy="2142008"/>
        </a:xfrm>
        <a:prstGeom prst="rect">
          <a:avLst/>
        </a:prstGeom>
      </xdr:spPr>
    </xdr:pic>
    <xdr:clientData/>
  </xdr:twoCellAnchor>
  <xdr:twoCellAnchor editAs="oneCell">
    <xdr:from>
      <xdr:col>13</xdr:col>
      <xdr:colOff>590550</xdr:colOff>
      <xdr:row>229</xdr:row>
      <xdr:rowOff>43747</xdr:rowOff>
    </xdr:from>
    <xdr:to>
      <xdr:col>25</xdr:col>
      <xdr:colOff>217575</xdr:colOff>
      <xdr:row>242</xdr:row>
      <xdr:rowOff>6958</xdr:rowOff>
    </xdr:to>
    <xdr:pic>
      <xdr:nvPicPr>
        <xdr:cNvPr id="18" name="Kép 17">
          <a:extLst>
            <a:ext uri="{FF2B5EF4-FFF2-40B4-BE49-F238E27FC236}">
              <a16:creationId xmlns:a16="http://schemas.microsoft.com/office/drawing/2014/main" id="{B35B2CF8-0BC9-3990-217E-87855EDC5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734550" y="29190247"/>
          <a:ext cx="6945400" cy="2519086"/>
        </a:xfrm>
        <a:prstGeom prst="rect">
          <a:avLst/>
        </a:prstGeom>
      </xdr:spPr>
    </xdr:pic>
    <xdr:clientData/>
  </xdr:twoCellAnchor>
  <xdr:twoCellAnchor editAs="oneCell">
    <xdr:from>
      <xdr:col>6</xdr:col>
      <xdr:colOff>66676</xdr:colOff>
      <xdr:row>209</xdr:row>
      <xdr:rowOff>0</xdr:rowOff>
    </xdr:from>
    <xdr:to>
      <xdr:col>12</xdr:col>
      <xdr:colOff>196851</xdr:colOff>
      <xdr:row>214</xdr:row>
      <xdr:rowOff>2692</xdr:rowOff>
    </xdr:to>
    <xdr:pic>
      <xdr:nvPicPr>
        <xdr:cNvPr id="19" name="Kép 18">
          <a:extLst>
            <a:ext uri="{FF2B5EF4-FFF2-40B4-BE49-F238E27FC236}">
              <a16:creationId xmlns:a16="http://schemas.microsoft.com/office/drawing/2014/main" id="{8C4F09AE-3850-E875-26DA-449D46DDA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48376" y="40224075"/>
          <a:ext cx="3790950" cy="983767"/>
        </a:xfrm>
        <a:prstGeom prst="rect">
          <a:avLst/>
        </a:prstGeom>
      </xdr:spPr>
    </xdr:pic>
    <xdr:clientData/>
  </xdr:twoCellAnchor>
  <xdr:twoCellAnchor editAs="oneCell">
    <xdr:from>
      <xdr:col>6</xdr:col>
      <xdr:colOff>28574</xdr:colOff>
      <xdr:row>213</xdr:row>
      <xdr:rowOff>161925</xdr:rowOff>
    </xdr:from>
    <xdr:to>
      <xdr:col>12</xdr:col>
      <xdr:colOff>160416</xdr:colOff>
      <xdr:row>218</xdr:row>
      <xdr:rowOff>76200</xdr:rowOff>
    </xdr:to>
    <xdr:pic>
      <xdr:nvPicPr>
        <xdr:cNvPr id="20" name="Kép 19">
          <a:extLst>
            <a:ext uri="{FF2B5EF4-FFF2-40B4-BE49-F238E27FC236}">
              <a16:creationId xmlns:a16="http://schemas.microsoft.com/office/drawing/2014/main" id="{CF9E3935-60F6-98EA-28F7-E9C434BFF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10274" y="41176575"/>
          <a:ext cx="3786267" cy="885825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218</xdr:row>
      <xdr:rowOff>68140</xdr:rowOff>
    </xdr:from>
    <xdr:to>
      <xdr:col>12</xdr:col>
      <xdr:colOff>139700</xdr:colOff>
      <xdr:row>225</xdr:row>
      <xdr:rowOff>102341</xdr:rowOff>
    </xdr:to>
    <xdr:pic>
      <xdr:nvPicPr>
        <xdr:cNvPr id="21" name="Kép 20">
          <a:extLst>
            <a:ext uri="{FF2B5EF4-FFF2-40B4-BE49-F238E27FC236}">
              <a16:creationId xmlns:a16="http://schemas.microsoft.com/office/drawing/2014/main" id="{1F6A63C8-931D-70FC-F0DE-EBA9A8A94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29325" y="42054340"/>
          <a:ext cx="3752850" cy="1370876"/>
        </a:xfrm>
        <a:prstGeom prst="rect">
          <a:avLst/>
        </a:prstGeom>
      </xdr:spPr>
    </xdr:pic>
    <xdr:clientData/>
  </xdr:twoCellAnchor>
  <xdr:twoCellAnchor editAs="oneCell">
    <xdr:from>
      <xdr:col>6</xdr:col>
      <xdr:colOff>9525</xdr:colOff>
      <xdr:row>193</xdr:row>
      <xdr:rowOff>17183</xdr:rowOff>
    </xdr:from>
    <xdr:to>
      <xdr:col>12</xdr:col>
      <xdr:colOff>197650</xdr:colOff>
      <xdr:row>202</xdr:row>
      <xdr:rowOff>359</xdr:rowOff>
    </xdr:to>
    <xdr:pic>
      <xdr:nvPicPr>
        <xdr:cNvPr id="22" name="Kép 21">
          <a:extLst>
            <a:ext uri="{FF2B5EF4-FFF2-40B4-BE49-F238E27FC236}">
              <a16:creationId xmlns:a16="http://schemas.microsoft.com/office/drawing/2014/main" id="{9D192806-CC0A-29FF-F1FD-A5630BC3C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91225" y="37145633"/>
          <a:ext cx="3848900" cy="1726251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201</xdr:row>
      <xdr:rowOff>180975</xdr:rowOff>
    </xdr:from>
    <xdr:to>
      <xdr:col>12</xdr:col>
      <xdr:colOff>171450</xdr:colOff>
      <xdr:row>204</xdr:row>
      <xdr:rowOff>39947</xdr:rowOff>
    </xdr:to>
    <xdr:pic>
      <xdr:nvPicPr>
        <xdr:cNvPr id="23" name="Kép 22">
          <a:extLst>
            <a:ext uri="{FF2B5EF4-FFF2-40B4-BE49-F238E27FC236}">
              <a16:creationId xmlns:a16="http://schemas.microsoft.com/office/drawing/2014/main" id="{2A320AE6-BFDA-AF09-FFD9-6559C027D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00750" y="38862000"/>
          <a:ext cx="3810000" cy="430472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180</xdr:row>
      <xdr:rowOff>95252</xdr:rowOff>
    </xdr:from>
    <xdr:to>
      <xdr:col>11</xdr:col>
      <xdr:colOff>571500</xdr:colOff>
      <xdr:row>186</xdr:row>
      <xdr:rowOff>126509</xdr:rowOff>
    </xdr:to>
    <xdr:pic>
      <xdr:nvPicPr>
        <xdr:cNvPr id="24" name="Kép 23">
          <a:extLst>
            <a:ext uri="{FF2B5EF4-FFF2-40B4-BE49-F238E27FC236}">
              <a16:creationId xmlns:a16="http://schemas.microsoft.com/office/drawing/2014/main" id="{65FA1D2C-059E-C064-DE8C-A74F884BA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953000" y="30851477"/>
          <a:ext cx="3600450" cy="1190132"/>
        </a:xfrm>
        <a:prstGeom prst="rect">
          <a:avLst/>
        </a:prstGeom>
      </xdr:spPr>
    </xdr:pic>
    <xdr:clientData/>
  </xdr:twoCellAnchor>
  <xdr:twoCellAnchor editAs="oneCell">
    <xdr:from>
      <xdr:col>6</xdr:col>
      <xdr:colOff>8846</xdr:colOff>
      <xdr:row>158</xdr:row>
      <xdr:rowOff>38100</xdr:rowOff>
    </xdr:from>
    <xdr:to>
      <xdr:col>11</xdr:col>
      <xdr:colOff>571349</xdr:colOff>
      <xdr:row>177</xdr:row>
      <xdr:rowOff>133350</xdr:rowOff>
    </xdr:to>
    <xdr:pic>
      <xdr:nvPicPr>
        <xdr:cNvPr id="25" name="Kép 24">
          <a:extLst>
            <a:ext uri="{FF2B5EF4-FFF2-40B4-BE49-F238E27FC236}">
              <a16:creationId xmlns:a16="http://schemas.microsoft.com/office/drawing/2014/main" id="{B60CC712-C79B-2547-E254-B3B52F8D5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942796" y="26546175"/>
          <a:ext cx="3610503" cy="377190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19051</xdr:colOff>
      <xdr:row>130</xdr:row>
      <xdr:rowOff>0</xdr:rowOff>
    </xdr:from>
    <xdr:to>
      <xdr:col>11</xdr:col>
      <xdr:colOff>560078</xdr:colOff>
      <xdr:row>138</xdr:row>
      <xdr:rowOff>177800</xdr:rowOff>
    </xdr:to>
    <xdr:pic>
      <xdr:nvPicPr>
        <xdr:cNvPr id="26" name="Kép 25">
          <a:extLst>
            <a:ext uri="{FF2B5EF4-FFF2-40B4-BE49-F238E27FC236}">
              <a16:creationId xmlns:a16="http://schemas.microsoft.com/office/drawing/2014/main" id="{B1862073-EE62-7A4C-604A-16DA45917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953001" y="11049000"/>
          <a:ext cx="3592202" cy="173355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139</xdr:row>
      <xdr:rowOff>28575</xdr:rowOff>
    </xdr:from>
    <xdr:to>
      <xdr:col>11</xdr:col>
      <xdr:colOff>596900</xdr:colOff>
      <xdr:row>154</xdr:row>
      <xdr:rowOff>164238</xdr:rowOff>
    </xdr:to>
    <xdr:pic>
      <xdr:nvPicPr>
        <xdr:cNvPr id="27" name="Kép 26">
          <a:extLst>
            <a:ext uri="{FF2B5EF4-FFF2-40B4-BE49-F238E27FC236}">
              <a16:creationId xmlns:a16="http://schemas.microsoft.com/office/drawing/2014/main" id="{C7FFD7C3-AC76-F0AF-8959-6EC2402B9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953000" y="12792075"/>
          <a:ext cx="3629025" cy="2989988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</xdr:colOff>
      <xdr:row>130</xdr:row>
      <xdr:rowOff>28575</xdr:rowOff>
    </xdr:from>
    <xdr:to>
      <xdr:col>16</xdr:col>
      <xdr:colOff>168</xdr:colOff>
      <xdr:row>135</xdr:row>
      <xdr:rowOff>129</xdr:rowOff>
    </xdr:to>
    <xdr:pic>
      <xdr:nvPicPr>
        <xdr:cNvPr id="28" name="Kép 27">
          <a:extLst>
            <a:ext uri="{FF2B5EF4-FFF2-40B4-BE49-F238E27FC236}">
              <a16:creationId xmlns:a16="http://schemas.microsoft.com/office/drawing/2014/main" id="{95DF2E83-9440-CD15-CF6E-FF817F5E0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829800" y="11087100"/>
          <a:ext cx="1200318" cy="924054"/>
        </a:xfrm>
        <a:prstGeom prst="rect">
          <a:avLst/>
        </a:prstGeom>
      </xdr:spPr>
    </xdr:pic>
    <xdr:clientData/>
  </xdr:twoCellAnchor>
  <xdr:twoCellAnchor editAs="oneCell">
    <xdr:from>
      <xdr:col>14</xdr:col>
      <xdr:colOff>47624</xdr:colOff>
      <xdr:row>135</xdr:row>
      <xdr:rowOff>38100</xdr:rowOff>
    </xdr:from>
    <xdr:to>
      <xdr:col>23</xdr:col>
      <xdr:colOff>558800</xdr:colOff>
      <xdr:row>141</xdr:row>
      <xdr:rowOff>752</xdr:rowOff>
    </xdr:to>
    <xdr:pic>
      <xdr:nvPicPr>
        <xdr:cNvPr id="29" name="Kép 28">
          <a:extLst>
            <a:ext uri="{FF2B5EF4-FFF2-40B4-BE49-F238E27FC236}">
              <a16:creationId xmlns:a16="http://schemas.microsoft.com/office/drawing/2014/main" id="{06CDC63D-4A1B-82E1-CE4E-DA6C8900C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858374" y="12058650"/>
          <a:ext cx="6000751" cy="1121527"/>
        </a:xfrm>
        <a:prstGeom prst="rect">
          <a:avLst/>
        </a:prstGeom>
      </xdr:spPr>
    </xdr:pic>
    <xdr:clientData/>
  </xdr:twoCellAnchor>
  <xdr:twoCellAnchor editAs="oneCell">
    <xdr:from>
      <xdr:col>14</xdr:col>
      <xdr:colOff>5107</xdr:colOff>
      <xdr:row>144</xdr:row>
      <xdr:rowOff>38100</xdr:rowOff>
    </xdr:from>
    <xdr:to>
      <xdr:col>19</xdr:col>
      <xdr:colOff>419101</xdr:colOff>
      <xdr:row>155</xdr:row>
      <xdr:rowOff>2805</xdr:rowOff>
    </xdr:to>
    <xdr:pic>
      <xdr:nvPicPr>
        <xdr:cNvPr id="30" name="Kép 29">
          <a:extLst>
            <a:ext uri="{FF2B5EF4-FFF2-40B4-BE49-F238E27FC236}">
              <a16:creationId xmlns:a16="http://schemas.microsoft.com/office/drawing/2014/main" id="{4676E40D-4894-940B-D13A-FB872E542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815857" y="13801725"/>
          <a:ext cx="3461994" cy="2060205"/>
        </a:xfrm>
        <a:prstGeom prst="rect">
          <a:avLst/>
        </a:prstGeom>
      </xdr:spPr>
    </xdr:pic>
    <xdr:clientData/>
  </xdr:twoCellAnchor>
  <xdr:twoCellAnchor editAs="oneCell">
    <xdr:from>
      <xdr:col>6</xdr:col>
      <xdr:colOff>14967</xdr:colOff>
      <xdr:row>90</xdr:row>
      <xdr:rowOff>66675</xdr:rowOff>
    </xdr:from>
    <xdr:to>
      <xdr:col>11</xdr:col>
      <xdr:colOff>444500</xdr:colOff>
      <xdr:row>116</xdr:row>
      <xdr:rowOff>146332</xdr:rowOff>
    </xdr:to>
    <xdr:pic>
      <xdr:nvPicPr>
        <xdr:cNvPr id="31" name="Kép 30">
          <a:extLst>
            <a:ext uri="{FF2B5EF4-FFF2-40B4-BE49-F238E27FC236}">
              <a16:creationId xmlns:a16="http://schemas.microsoft.com/office/drawing/2014/main" id="{736081FE-643B-F8D7-492A-9698AD6E9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948917" y="17287875"/>
          <a:ext cx="3480708" cy="5124732"/>
        </a:xfrm>
        <a:prstGeom prst="rect">
          <a:avLst/>
        </a:prstGeom>
      </xdr:spPr>
    </xdr:pic>
    <xdr:clientData/>
  </xdr:twoCellAnchor>
  <xdr:twoCellAnchor editAs="oneCell">
    <xdr:from>
      <xdr:col>14</xdr:col>
      <xdr:colOff>28575</xdr:colOff>
      <xdr:row>93</xdr:row>
      <xdr:rowOff>12602</xdr:rowOff>
    </xdr:from>
    <xdr:to>
      <xdr:col>24</xdr:col>
      <xdr:colOff>190500</xdr:colOff>
      <xdr:row>101</xdr:row>
      <xdr:rowOff>8440</xdr:rowOff>
    </xdr:to>
    <xdr:pic>
      <xdr:nvPicPr>
        <xdr:cNvPr id="32" name="Kép 31">
          <a:extLst>
            <a:ext uri="{FF2B5EF4-FFF2-40B4-BE49-F238E27FC236}">
              <a16:creationId xmlns:a16="http://schemas.microsoft.com/office/drawing/2014/main" id="{860A5431-EFF9-410D-1BB7-49EFA4B88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839325" y="8775602"/>
          <a:ext cx="6257925" cy="1554763"/>
        </a:xfrm>
        <a:prstGeom prst="rect">
          <a:avLst/>
        </a:prstGeom>
      </xdr:spPr>
    </xdr:pic>
    <xdr:clientData/>
  </xdr:twoCellAnchor>
  <xdr:twoCellAnchor editAs="oneCell">
    <xdr:from>
      <xdr:col>6</xdr:col>
      <xdr:colOff>27165</xdr:colOff>
      <xdr:row>75</xdr:row>
      <xdr:rowOff>28575</xdr:rowOff>
    </xdr:from>
    <xdr:to>
      <xdr:col>11</xdr:col>
      <xdr:colOff>398085</xdr:colOff>
      <xdr:row>87</xdr:row>
      <xdr:rowOff>158750</xdr:rowOff>
    </xdr:to>
    <xdr:pic>
      <xdr:nvPicPr>
        <xdr:cNvPr id="33" name="Kép 32">
          <a:extLst>
            <a:ext uri="{FF2B5EF4-FFF2-40B4-BE49-F238E27FC236}">
              <a16:creationId xmlns:a16="http://schemas.microsoft.com/office/drawing/2014/main" id="{CCEBE720-DCEC-738B-F5C1-F94FA57AF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961115" y="6696075"/>
          <a:ext cx="3418920" cy="2438400"/>
        </a:xfrm>
        <a:prstGeom prst="rect">
          <a:avLst/>
        </a:prstGeom>
      </xdr:spPr>
    </xdr:pic>
    <xdr:clientData/>
  </xdr:twoCellAnchor>
  <xdr:twoCellAnchor editAs="oneCell">
    <xdr:from>
      <xdr:col>13</xdr:col>
      <xdr:colOff>581026</xdr:colOff>
      <xdr:row>77</xdr:row>
      <xdr:rowOff>18631</xdr:rowOff>
    </xdr:from>
    <xdr:to>
      <xdr:col>24</xdr:col>
      <xdr:colOff>292101</xdr:colOff>
      <xdr:row>86</xdr:row>
      <xdr:rowOff>170635</xdr:rowOff>
    </xdr:to>
    <xdr:pic>
      <xdr:nvPicPr>
        <xdr:cNvPr id="34" name="Kép 33">
          <a:extLst>
            <a:ext uri="{FF2B5EF4-FFF2-40B4-BE49-F238E27FC236}">
              <a16:creationId xmlns:a16="http://schemas.microsoft.com/office/drawing/2014/main" id="{649B4175-5E70-F0F6-28D1-37656D427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782176" y="7067131"/>
          <a:ext cx="6419850" cy="1876029"/>
        </a:xfrm>
        <a:prstGeom prst="rect">
          <a:avLst/>
        </a:prstGeom>
      </xdr:spPr>
    </xdr:pic>
    <xdr:clientData/>
  </xdr:twoCellAnchor>
  <xdr:twoCellAnchor editAs="oneCell">
    <xdr:from>
      <xdr:col>6</xdr:col>
      <xdr:colOff>37246</xdr:colOff>
      <xdr:row>22</xdr:row>
      <xdr:rowOff>38100</xdr:rowOff>
    </xdr:from>
    <xdr:to>
      <xdr:col>11</xdr:col>
      <xdr:colOff>83264</xdr:colOff>
      <xdr:row>28</xdr:row>
      <xdr:rowOff>178096</xdr:rowOff>
    </xdr:to>
    <xdr:pic>
      <xdr:nvPicPr>
        <xdr:cNvPr id="35" name="Kép 34">
          <a:extLst>
            <a:ext uri="{FF2B5EF4-FFF2-40B4-BE49-F238E27FC236}">
              <a16:creationId xmlns:a16="http://schemas.microsoft.com/office/drawing/2014/main" id="{46F70D4A-A863-AD3B-2FA4-4799F18FC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971196" y="3657600"/>
          <a:ext cx="3097193" cy="1286171"/>
        </a:xfrm>
        <a:prstGeom prst="rect">
          <a:avLst/>
        </a:prstGeom>
      </xdr:spPr>
    </xdr:pic>
    <xdr:clientData/>
  </xdr:twoCellAnchor>
  <xdr:twoCellAnchor editAs="oneCell">
    <xdr:from>
      <xdr:col>6</xdr:col>
      <xdr:colOff>7938</xdr:colOff>
      <xdr:row>29</xdr:row>
      <xdr:rowOff>152400</xdr:rowOff>
    </xdr:from>
    <xdr:to>
      <xdr:col>11</xdr:col>
      <xdr:colOff>133350</xdr:colOff>
      <xdr:row>50</xdr:row>
      <xdr:rowOff>86108</xdr:rowOff>
    </xdr:to>
    <xdr:pic>
      <xdr:nvPicPr>
        <xdr:cNvPr id="36" name="Kép 35">
          <a:extLst>
            <a:ext uri="{FF2B5EF4-FFF2-40B4-BE49-F238E27FC236}">
              <a16:creationId xmlns:a16="http://schemas.microsoft.com/office/drawing/2014/main" id="{1FD29662-6AAF-2D52-003C-F294C48AC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941888" y="4914900"/>
          <a:ext cx="3173412" cy="3975483"/>
        </a:xfrm>
        <a:prstGeom prst="rect">
          <a:avLst/>
        </a:prstGeom>
      </xdr:spPr>
    </xdr:pic>
    <xdr:clientData/>
  </xdr:twoCellAnchor>
  <xdr:twoCellAnchor editAs="oneCell">
    <xdr:from>
      <xdr:col>13</xdr:col>
      <xdr:colOff>311360</xdr:colOff>
      <xdr:row>0</xdr:row>
      <xdr:rowOff>0</xdr:rowOff>
    </xdr:from>
    <xdr:to>
      <xdr:col>19</xdr:col>
      <xdr:colOff>285749</xdr:colOff>
      <xdr:row>17</xdr:row>
      <xdr:rowOff>30510</xdr:rowOff>
    </xdr:to>
    <xdr:pic>
      <xdr:nvPicPr>
        <xdr:cNvPr id="37" name="Kép 36">
          <a:extLst>
            <a:ext uri="{FF2B5EF4-FFF2-40B4-BE49-F238E27FC236}">
              <a16:creationId xmlns:a16="http://schemas.microsoft.com/office/drawing/2014/main" id="{31E38E7E-4EC5-0D3B-BC68-78226FB31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512510" y="0"/>
          <a:ext cx="3631989" cy="3272185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</xdr:colOff>
      <xdr:row>25</xdr:row>
      <xdr:rowOff>57150</xdr:rowOff>
    </xdr:from>
    <xdr:to>
      <xdr:col>24</xdr:col>
      <xdr:colOff>293550</xdr:colOff>
      <xdr:row>34</xdr:row>
      <xdr:rowOff>26939</xdr:rowOff>
    </xdr:to>
    <xdr:pic>
      <xdr:nvPicPr>
        <xdr:cNvPr id="38" name="Kép 37">
          <a:extLst>
            <a:ext uri="{FF2B5EF4-FFF2-40B4-BE49-F238E27FC236}">
              <a16:creationId xmlns:a16="http://schemas.microsoft.com/office/drawing/2014/main" id="{A5125E50-EE11-46F1-9234-768027F15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9829800" y="4819650"/>
          <a:ext cx="6373675" cy="1735089"/>
        </a:xfrm>
        <a:prstGeom prst="rect">
          <a:avLst/>
        </a:prstGeom>
      </xdr:spPr>
    </xdr:pic>
    <xdr:clientData/>
  </xdr:twoCellAnchor>
  <xdr:twoCellAnchor editAs="oneCell">
    <xdr:from>
      <xdr:col>6</xdr:col>
      <xdr:colOff>45027</xdr:colOff>
      <xdr:row>52</xdr:row>
      <xdr:rowOff>76199</xdr:rowOff>
    </xdr:from>
    <xdr:to>
      <xdr:col>11</xdr:col>
      <xdr:colOff>257752</xdr:colOff>
      <xdr:row>63</xdr:row>
      <xdr:rowOff>133349</xdr:rowOff>
    </xdr:to>
    <xdr:pic>
      <xdr:nvPicPr>
        <xdr:cNvPr id="39" name="Kép 38">
          <a:extLst>
            <a:ext uri="{FF2B5EF4-FFF2-40B4-BE49-F238E27FC236}">
              <a16:creationId xmlns:a16="http://schemas.microsoft.com/office/drawing/2014/main" id="{E4DC8060-62DF-F5BC-3150-ABB666BDE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272357" y="9832108"/>
          <a:ext cx="3240231" cy="212090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</xdr:colOff>
      <xdr:row>64</xdr:row>
      <xdr:rowOff>101517</xdr:rowOff>
    </xdr:from>
    <xdr:to>
      <xdr:col>11</xdr:col>
      <xdr:colOff>95250</xdr:colOff>
      <xdr:row>69</xdr:row>
      <xdr:rowOff>124403</xdr:rowOff>
    </xdr:to>
    <xdr:pic>
      <xdr:nvPicPr>
        <xdr:cNvPr id="40" name="Kép 39">
          <a:extLst>
            <a:ext uri="{FF2B5EF4-FFF2-40B4-BE49-F238E27FC236}">
              <a16:creationId xmlns:a16="http://schemas.microsoft.com/office/drawing/2014/main" id="{AFE6BF2B-D1BA-E436-56B8-A6AB9FF91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943475" y="12360192"/>
          <a:ext cx="3133725" cy="978561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</xdr:colOff>
      <xdr:row>36</xdr:row>
      <xdr:rowOff>115741</xdr:rowOff>
    </xdr:from>
    <xdr:to>
      <xdr:col>24</xdr:col>
      <xdr:colOff>266700</xdr:colOff>
      <xdr:row>46</xdr:row>
      <xdr:rowOff>163569</xdr:rowOff>
    </xdr:to>
    <xdr:pic>
      <xdr:nvPicPr>
        <xdr:cNvPr id="41" name="Kép 40">
          <a:extLst>
            <a:ext uri="{FF2B5EF4-FFF2-40B4-BE49-F238E27FC236}">
              <a16:creationId xmlns:a16="http://schemas.microsoft.com/office/drawing/2014/main" id="{BA359DEF-69B0-6427-5C9B-2811FF241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829800" y="6621316"/>
          <a:ext cx="6343650" cy="1949653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</xdr:colOff>
      <xdr:row>161</xdr:row>
      <xdr:rowOff>48599</xdr:rowOff>
    </xdr:from>
    <xdr:to>
      <xdr:col>23</xdr:col>
      <xdr:colOff>217050</xdr:colOff>
      <xdr:row>166</xdr:row>
      <xdr:rowOff>92260</xdr:rowOff>
    </xdr:to>
    <xdr:pic>
      <xdr:nvPicPr>
        <xdr:cNvPr id="4" name="Kép 3">
          <a:extLst>
            <a:ext uri="{FF2B5EF4-FFF2-40B4-BE49-F238E27FC236}">
              <a16:creationId xmlns:a16="http://schemas.microsoft.com/office/drawing/2014/main" id="{73BA9FE6-FB55-AE9D-5382-CBB38ED55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267950" y="31074699"/>
          <a:ext cx="6303525" cy="10088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114300</xdr:colOff>
      <xdr:row>11</xdr:row>
      <xdr:rowOff>13692</xdr:rowOff>
    </xdr:from>
    <xdr:to>
      <xdr:col>11</xdr:col>
      <xdr:colOff>143534</xdr:colOff>
      <xdr:row>23</xdr:row>
      <xdr:rowOff>48201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542A8BB6-05B7-07E5-26A7-2339733DA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7925" y="2128242"/>
          <a:ext cx="2658134" cy="2320509"/>
        </a:xfrm>
        <a:prstGeom prst="rect">
          <a:avLst/>
        </a:prstGeom>
      </xdr:spPr>
    </xdr:pic>
    <xdr:clientData/>
  </xdr:twoCellAnchor>
  <xdr:twoCellAnchor editAs="oneCell">
    <xdr:from>
      <xdr:col>13</xdr:col>
      <xdr:colOff>609599</xdr:colOff>
      <xdr:row>12</xdr:row>
      <xdr:rowOff>31200</xdr:rowOff>
    </xdr:from>
    <xdr:to>
      <xdr:col>24</xdr:col>
      <xdr:colOff>582688</xdr:colOff>
      <xdr:row>22</xdr:row>
      <xdr:rowOff>105268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A69F6A1D-1D5F-B96C-16C2-23B577EAD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43974" y="2526750"/>
          <a:ext cx="6678689" cy="1979068"/>
        </a:xfrm>
        <a:prstGeom prst="rect">
          <a:avLst/>
        </a:prstGeom>
      </xdr:spPr>
    </xdr:pic>
    <xdr:clientData/>
  </xdr:twoCellAnchor>
  <xdr:twoCellAnchor editAs="oneCell">
    <xdr:from>
      <xdr:col>7</xdr:col>
      <xdr:colOff>17433</xdr:colOff>
      <xdr:row>26</xdr:row>
      <xdr:rowOff>66675</xdr:rowOff>
    </xdr:from>
    <xdr:to>
      <xdr:col>11</xdr:col>
      <xdr:colOff>105426</xdr:colOff>
      <xdr:row>46</xdr:row>
      <xdr:rowOff>899</xdr:rowOff>
    </xdr:to>
    <xdr:pic>
      <xdr:nvPicPr>
        <xdr:cNvPr id="4" name="Kép 3">
          <a:extLst>
            <a:ext uri="{FF2B5EF4-FFF2-40B4-BE49-F238E27FC236}">
              <a16:creationId xmlns:a16="http://schemas.microsoft.com/office/drawing/2014/main" id="{EE490B0D-7BA4-8FE2-3EC4-BC7123D86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94208" y="4857750"/>
          <a:ext cx="2716893" cy="3753749"/>
        </a:xfrm>
        <a:prstGeom prst="rect">
          <a:avLst/>
        </a:prstGeom>
      </xdr:spPr>
    </xdr:pic>
    <xdr:clientData/>
  </xdr:twoCellAnchor>
  <xdr:twoCellAnchor editAs="oneCell">
    <xdr:from>
      <xdr:col>11</xdr:col>
      <xdr:colOff>303488</xdr:colOff>
      <xdr:row>26</xdr:row>
      <xdr:rowOff>85725</xdr:rowOff>
    </xdr:from>
    <xdr:to>
      <xdr:col>17</xdr:col>
      <xdr:colOff>140469</xdr:colOff>
      <xdr:row>45</xdr:row>
      <xdr:rowOff>9525</xdr:rowOff>
    </xdr:to>
    <xdr:pic>
      <xdr:nvPicPr>
        <xdr:cNvPr id="5" name="Kép 4">
          <a:extLst>
            <a:ext uri="{FF2B5EF4-FFF2-40B4-BE49-F238E27FC236}">
              <a16:creationId xmlns:a16="http://schemas.microsoft.com/office/drawing/2014/main" id="{9BC0EDFE-4478-C475-DF46-4B080BB02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18663" y="4876800"/>
          <a:ext cx="3500931" cy="3562350"/>
        </a:xfrm>
        <a:prstGeom prst="rect">
          <a:avLst/>
        </a:prstGeom>
      </xdr:spPr>
    </xdr:pic>
    <xdr:clientData/>
  </xdr:twoCellAnchor>
  <xdr:twoCellAnchor editAs="oneCell">
    <xdr:from>
      <xdr:col>17</xdr:col>
      <xdr:colOff>105468</xdr:colOff>
      <xdr:row>26</xdr:row>
      <xdr:rowOff>95249</xdr:rowOff>
    </xdr:from>
    <xdr:to>
      <xdr:col>23</xdr:col>
      <xdr:colOff>152400</xdr:colOff>
      <xdr:row>45</xdr:row>
      <xdr:rowOff>912</xdr:rowOff>
    </xdr:to>
    <xdr:pic>
      <xdr:nvPicPr>
        <xdr:cNvPr id="6" name="Kép 5">
          <a:extLst>
            <a:ext uri="{FF2B5EF4-FFF2-40B4-BE49-F238E27FC236}">
              <a16:creationId xmlns:a16="http://schemas.microsoft.com/office/drawing/2014/main" id="{CCD8C023-261D-735A-C3D4-CC19186F5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154468" y="4886324"/>
          <a:ext cx="3704532" cy="3544213"/>
        </a:xfrm>
        <a:prstGeom prst="rect">
          <a:avLst/>
        </a:prstGeom>
      </xdr:spPr>
    </xdr:pic>
    <xdr:clientData/>
  </xdr:twoCellAnchor>
  <xdr:twoCellAnchor editAs="oneCell">
    <xdr:from>
      <xdr:col>23</xdr:col>
      <xdr:colOff>179680</xdr:colOff>
      <xdr:row>26</xdr:row>
      <xdr:rowOff>85724</xdr:rowOff>
    </xdr:from>
    <xdr:to>
      <xdr:col>28</xdr:col>
      <xdr:colOff>477047</xdr:colOff>
      <xdr:row>46</xdr:row>
      <xdr:rowOff>142875</xdr:rowOff>
    </xdr:to>
    <xdr:pic>
      <xdr:nvPicPr>
        <xdr:cNvPr id="7" name="Kép 6">
          <a:extLst>
            <a:ext uri="{FF2B5EF4-FFF2-40B4-BE49-F238E27FC236}">
              <a16:creationId xmlns:a16="http://schemas.microsoft.com/office/drawing/2014/main" id="{4619F95F-B90C-9220-B500-D4E966F77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076780" y="4876799"/>
          <a:ext cx="3345367" cy="3886201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54</xdr:row>
      <xdr:rowOff>21634</xdr:rowOff>
    </xdr:from>
    <xdr:to>
      <xdr:col>12</xdr:col>
      <xdr:colOff>47625</xdr:colOff>
      <xdr:row>69</xdr:row>
      <xdr:rowOff>87801</xdr:rowOff>
    </xdr:to>
    <xdr:pic>
      <xdr:nvPicPr>
        <xdr:cNvPr id="8" name="Kép 7">
          <a:extLst>
            <a:ext uri="{FF2B5EF4-FFF2-40B4-BE49-F238E27FC236}">
              <a16:creationId xmlns:a16="http://schemas.microsoft.com/office/drawing/2014/main" id="{362C0FFA-85B4-2E18-8320-63DB27061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15000" y="9384709"/>
          <a:ext cx="3257550" cy="2917317"/>
        </a:xfrm>
        <a:prstGeom prst="rect">
          <a:avLst/>
        </a:prstGeom>
      </xdr:spPr>
    </xdr:pic>
    <xdr:clientData/>
  </xdr:twoCellAnchor>
  <xdr:twoCellAnchor editAs="oneCell">
    <xdr:from>
      <xdr:col>7</xdr:col>
      <xdr:colOff>5443</xdr:colOff>
      <xdr:row>71</xdr:row>
      <xdr:rowOff>104775</xdr:rowOff>
    </xdr:from>
    <xdr:to>
      <xdr:col>12</xdr:col>
      <xdr:colOff>524489</xdr:colOff>
      <xdr:row>96</xdr:row>
      <xdr:rowOff>124607</xdr:rowOff>
    </xdr:to>
    <xdr:pic>
      <xdr:nvPicPr>
        <xdr:cNvPr id="9" name="Kép 8">
          <a:extLst>
            <a:ext uri="{FF2B5EF4-FFF2-40B4-BE49-F238E27FC236}">
              <a16:creationId xmlns:a16="http://schemas.microsoft.com/office/drawing/2014/main" id="{D5EB6F39-F31C-6A6C-D98F-249F7C24E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91868" y="12715875"/>
          <a:ext cx="3757546" cy="4782332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95250</xdr:colOff>
      <xdr:row>71</xdr:row>
      <xdr:rowOff>123825</xdr:rowOff>
    </xdr:from>
    <xdr:to>
      <xdr:col>20</xdr:col>
      <xdr:colOff>76793</xdr:colOff>
      <xdr:row>80</xdr:row>
      <xdr:rowOff>19275</xdr:rowOff>
    </xdr:to>
    <xdr:pic>
      <xdr:nvPicPr>
        <xdr:cNvPr id="10" name="Kép 9">
          <a:extLst>
            <a:ext uri="{FF2B5EF4-FFF2-40B4-BE49-F238E27FC236}">
              <a16:creationId xmlns:a16="http://schemas.microsoft.com/office/drawing/2014/main" id="{5E4C19E5-BC48-21FA-C838-E2456B277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439275" y="12734925"/>
          <a:ext cx="4248743" cy="1609950"/>
        </a:xfrm>
        <a:prstGeom prst="rect">
          <a:avLst/>
        </a:prstGeom>
      </xdr:spPr>
    </xdr:pic>
    <xdr:clientData/>
  </xdr:twoCellAnchor>
  <xdr:twoCellAnchor editAs="oneCell">
    <xdr:from>
      <xdr:col>14</xdr:col>
      <xdr:colOff>28575</xdr:colOff>
      <xdr:row>82</xdr:row>
      <xdr:rowOff>91062</xdr:rowOff>
    </xdr:from>
    <xdr:to>
      <xdr:col>24</xdr:col>
      <xdr:colOff>239787</xdr:colOff>
      <xdr:row>99</xdr:row>
      <xdr:rowOff>38939</xdr:rowOff>
    </xdr:to>
    <xdr:pic>
      <xdr:nvPicPr>
        <xdr:cNvPr id="11" name="Kép 10">
          <a:extLst>
            <a:ext uri="{FF2B5EF4-FFF2-40B4-BE49-F238E27FC236}">
              <a16:creationId xmlns:a16="http://schemas.microsoft.com/office/drawing/2014/main" id="{953C7F41-7998-6256-F976-44E98B7FF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982200" y="14797662"/>
          <a:ext cx="6307212" cy="3186377"/>
        </a:xfrm>
        <a:prstGeom prst="rect">
          <a:avLst/>
        </a:prstGeom>
      </xdr:spPr>
    </xdr:pic>
    <xdr:clientData/>
  </xdr:twoCellAnchor>
  <xdr:twoCellAnchor editAs="oneCell">
    <xdr:from>
      <xdr:col>0</xdr:col>
      <xdr:colOff>92246</xdr:colOff>
      <xdr:row>101</xdr:row>
      <xdr:rowOff>28575</xdr:rowOff>
    </xdr:from>
    <xdr:to>
      <xdr:col>5</xdr:col>
      <xdr:colOff>400050</xdr:colOff>
      <xdr:row>119</xdr:row>
      <xdr:rowOff>66377</xdr:rowOff>
    </xdr:to>
    <xdr:pic>
      <xdr:nvPicPr>
        <xdr:cNvPr id="12" name="Kép 11">
          <a:extLst>
            <a:ext uri="{FF2B5EF4-FFF2-40B4-BE49-F238E27FC236}">
              <a16:creationId xmlns:a16="http://schemas.microsoft.com/office/drawing/2014/main" id="{22A7C829-C1F9-F554-6B5D-12E39FDBA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2246" y="18354675"/>
          <a:ext cx="5870404" cy="34922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industrial.panasonic.com/cdbs/www-data/pdf/RDA0000/AOA0000C301.pdf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fr.farnell.com/en-FR/kemet/c1206x222kcrac3316/capacitor-2200pf-x7r-500v-1206/dp/4242429RL" TargetMode="External"/><Relationship Id="rId7" Type="http://schemas.openxmlformats.org/officeDocument/2006/relationships/hyperlink" Target="https://www.farnell.com/datasheets/2813662.pdf" TargetMode="External"/><Relationship Id="rId12" Type="http://schemas.openxmlformats.org/officeDocument/2006/relationships/hyperlink" Target="https://www.farnell.com/datasheets/2863884.pdf" TargetMode="External"/><Relationship Id="rId2" Type="http://schemas.openxmlformats.org/officeDocument/2006/relationships/hyperlink" Target="https://4donline.ihs.com/images/VipMasterIC/IC/NEXP/NEXP-S-A0003060256/NEXP-S-A0003060216-1.pdf?hkey=6D3A4C79FDBF58556ACFDE234799DDF0" TargetMode="External"/><Relationship Id="rId1" Type="http://schemas.openxmlformats.org/officeDocument/2006/relationships/hyperlink" Target="https://4donline.ihs.com/images/VipMasterIC/IC/NEXP/NEXP-S-A0003105620/NEXP-S-A0003105670-1.pdf?hkey=6D3A4C79FDBF58556ACFDE234799DDF0" TargetMode="External"/><Relationship Id="rId6" Type="http://schemas.openxmlformats.org/officeDocument/2006/relationships/hyperlink" Target="https://www.onsemi.com/pdf/datasheet/ncv898031-d.pdf" TargetMode="External"/><Relationship Id="rId11" Type="http://schemas.openxmlformats.org/officeDocument/2006/relationships/hyperlink" Target="https://4donline.ihs.com/images/VipMasterIC/IC/PANA/PANA-S-A0007945459/PANA-S-A0007945459-1.pdf?hkey=6D3A4C79FDBF58556ACFDE234799DDF0" TargetMode="External"/><Relationship Id="rId5" Type="http://schemas.openxmlformats.org/officeDocument/2006/relationships/hyperlink" Target="https://fr.farnell.com/en-FR/multicomp-pro/mclrp12dtwrr050/res-detec-corriente-0r05-0-5-3w/dp/2828168" TargetMode="External"/><Relationship Id="rId10" Type="http://schemas.openxmlformats.org/officeDocument/2006/relationships/hyperlink" Target="https://www.farnell.com/datasheets/3816851.pdf" TargetMode="External"/><Relationship Id="rId4" Type="http://schemas.openxmlformats.org/officeDocument/2006/relationships/hyperlink" Target="https://www.cyntec.com/upfile/products/download/(A8)%20VCSC108T%20MS6K%20Series_standard.pdf" TargetMode="External"/><Relationship Id="rId9" Type="http://schemas.openxmlformats.org/officeDocument/2006/relationships/hyperlink" Target="https://www.onsemi.com/products/power-management/dc-dc-power-conversion/controllers/NCV898031" TargetMode="External"/><Relationship Id="rId1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industrial.panasonic.com/cdbs/www-data/pdf/RDA0000/AOA0000C301.pdf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https://fr.farnell.com/en-FR/kemet/c1206x222kcrac3316/capacitor-2200pf-x7r-500v-1206/dp/4242429RL" TargetMode="External"/><Relationship Id="rId7" Type="http://schemas.openxmlformats.org/officeDocument/2006/relationships/hyperlink" Target="https://www.farnell.com/datasheets/2813662.pdf" TargetMode="External"/><Relationship Id="rId12" Type="http://schemas.openxmlformats.org/officeDocument/2006/relationships/hyperlink" Target="https://www.farnell.com/datasheets/2863884.pdf" TargetMode="External"/><Relationship Id="rId2" Type="http://schemas.openxmlformats.org/officeDocument/2006/relationships/hyperlink" Target="https://4donline.ihs.com/images/VipMasterIC/IC/NEXP/NEXP-S-A0003060256/NEXP-S-A0003060216-1.pdf?hkey=6D3A4C79FDBF58556ACFDE234799DDF0" TargetMode="External"/><Relationship Id="rId1" Type="http://schemas.openxmlformats.org/officeDocument/2006/relationships/hyperlink" Target="https://4donline.ihs.com/images/VipMasterIC/IC/NEXP/NEXP-S-A0003105620/NEXP-S-A0003105670-1.pdf?hkey=6D3A4C79FDBF58556ACFDE234799DDF0" TargetMode="External"/><Relationship Id="rId6" Type="http://schemas.openxmlformats.org/officeDocument/2006/relationships/hyperlink" Target="https://www.onsemi.com/pdf/datasheet/ncv898031-d.pdf" TargetMode="External"/><Relationship Id="rId11" Type="http://schemas.openxmlformats.org/officeDocument/2006/relationships/hyperlink" Target="https://4donline.ihs.com/images/VipMasterIC/IC/PANA/PANA-S-A0007945459/PANA-S-A0007945459-1.pdf?hkey=6D3A4C79FDBF58556ACFDE234799DDF0" TargetMode="External"/><Relationship Id="rId5" Type="http://schemas.openxmlformats.org/officeDocument/2006/relationships/hyperlink" Target="https://fr.farnell.com/en-FR/multicomp-pro/mclrp12dtwrr050/res-detec-corriente-0r05-0-5-3w/dp/2828168" TargetMode="External"/><Relationship Id="rId10" Type="http://schemas.openxmlformats.org/officeDocument/2006/relationships/hyperlink" Target="https://www.farnell.com/datasheets/3816851.pdf" TargetMode="External"/><Relationship Id="rId4" Type="http://schemas.openxmlformats.org/officeDocument/2006/relationships/hyperlink" Target="https://www.cyntec.com/upfile/products/download/(A8)%20VCSC108T%20MS6K%20Series_standard.pdf" TargetMode="External"/><Relationship Id="rId9" Type="http://schemas.openxmlformats.org/officeDocument/2006/relationships/hyperlink" Target="https://www.onsemi.com/products/power-management/dc-dc-power-conversion/controllers/NCV898031" TargetMode="External"/><Relationship Id="rId1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ti.com/lit/an/slyt309/slyt30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EE91C-A4D2-4314-A9FB-178CE0E2ADD2}">
  <dimension ref="A20:AA276"/>
  <sheetViews>
    <sheetView topLeftCell="A90" zoomScaleNormal="100" workbookViewId="0">
      <selection activeCell="F270" sqref="F270"/>
    </sheetView>
  </sheetViews>
  <sheetFormatPr defaultRowHeight="14.5" x14ac:dyDescent="0.35"/>
  <cols>
    <col min="1" max="1" width="20.26953125" customWidth="1"/>
    <col min="2" max="2" width="13.26953125" bestFit="1" customWidth="1"/>
    <col min="3" max="3" width="12.453125" customWidth="1"/>
    <col min="4" max="4" width="15.81640625" customWidth="1"/>
    <col min="6" max="6" width="18.7265625" customWidth="1"/>
  </cols>
  <sheetData>
    <row r="20" spans="1:27" x14ac:dyDescent="0.35">
      <c r="A20" s="1" t="s">
        <v>3</v>
      </c>
    </row>
    <row r="21" spans="1:27" x14ac:dyDescent="0.35">
      <c r="A21" s="6" t="s">
        <v>153</v>
      </c>
    </row>
    <row r="22" spans="1:27" ht="15" thickBot="1" x14ac:dyDescent="0.4">
      <c r="A22" s="15" t="s">
        <v>0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x14ac:dyDescent="0.35">
      <c r="A23" t="s">
        <v>57</v>
      </c>
      <c r="B23" s="36">
        <v>13.5</v>
      </c>
      <c r="C23" t="s">
        <v>1</v>
      </c>
    </row>
    <row r="24" spans="1:27" x14ac:dyDescent="0.35">
      <c r="A24" t="s">
        <v>27</v>
      </c>
      <c r="B24" s="36">
        <v>32</v>
      </c>
      <c r="C24" t="s">
        <v>1</v>
      </c>
      <c r="O24" t="s">
        <v>72</v>
      </c>
    </row>
    <row r="25" spans="1:27" x14ac:dyDescent="0.35">
      <c r="A25" t="s">
        <v>77</v>
      </c>
      <c r="B25" s="36">
        <v>11</v>
      </c>
      <c r="C25" t="s">
        <v>1</v>
      </c>
      <c r="O25" s="6" t="s">
        <v>84</v>
      </c>
    </row>
    <row r="26" spans="1:27" x14ac:dyDescent="0.35">
      <c r="A26" t="s">
        <v>23</v>
      </c>
      <c r="B26" s="36">
        <v>1</v>
      </c>
      <c r="C26" t="s">
        <v>2</v>
      </c>
    </row>
    <row r="27" spans="1:27" x14ac:dyDescent="0.35">
      <c r="A27" t="s">
        <v>85</v>
      </c>
      <c r="B27" s="36">
        <v>8</v>
      </c>
      <c r="C27" t="s">
        <v>2</v>
      </c>
    </row>
    <row r="29" spans="1:27" ht="15" thickBot="1" x14ac:dyDescent="0.4">
      <c r="A29" s="1" t="s">
        <v>96</v>
      </c>
    </row>
    <row r="30" spans="1:27" ht="15" thickBot="1" x14ac:dyDescent="0.4">
      <c r="A30" t="s">
        <v>86</v>
      </c>
      <c r="B30" s="5">
        <f>B25/(B24+B25)</f>
        <v>0.2558139534883721</v>
      </c>
      <c r="C30" s="2" t="s">
        <v>62</v>
      </c>
    </row>
    <row r="31" spans="1:27" ht="15" thickBot="1" x14ac:dyDescent="0.4">
      <c r="A31" t="s">
        <v>87</v>
      </c>
      <c r="B31" s="5">
        <f>B25/(B23+B25)</f>
        <v>0.44897959183673469</v>
      </c>
      <c r="C31" s="2" t="s">
        <v>62</v>
      </c>
      <c r="D31" t="s">
        <v>139</v>
      </c>
      <c r="E31" s="13">
        <v>0.85</v>
      </c>
      <c r="F31" s="3" t="s">
        <v>5</v>
      </c>
    </row>
    <row r="32" spans="1:27" x14ac:dyDescent="0.35">
      <c r="B32" s="8"/>
      <c r="C32" s="2"/>
      <c r="E32" s="12"/>
      <c r="F32" s="12"/>
    </row>
    <row r="33" spans="1:6" ht="15" thickBot="1" x14ac:dyDescent="0.4">
      <c r="A33" s="1" t="s">
        <v>141</v>
      </c>
    </row>
    <row r="34" spans="1:6" ht="15" thickBot="1" x14ac:dyDescent="0.4">
      <c r="A34" t="s">
        <v>88</v>
      </c>
      <c r="B34" s="5">
        <f>B30/B35</f>
        <v>1.2790697674418605E-7</v>
      </c>
      <c r="C34" t="s">
        <v>89</v>
      </c>
      <c r="D34" t="s">
        <v>140</v>
      </c>
      <c r="E34" s="14">
        <f>30*10^-9</f>
        <v>3.0000000000000004E-8</v>
      </c>
      <c r="F34" s="3" t="s">
        <v>5</v>
      </c>
    </row>
    <row r="35" spans="1:6" x14ac:dyDescent="0.35">
      <c r="A35" t="s">
        <v>6</v>
      </c>
      <c r="B35" s="36">
        <f>2*10^6</f>
        <v>2000000</v>
      </c>
      <c r="C35" t="s">
        <v>15</v>
      </c>
    </row>
    <row r="37" spans="1:6" x14ac:dyDescent="0.35">
      <c r="E37" s="12"/>
    </row>
    <row r="38" spans="1:6" x14ac:dyDescent="0.35">
      <c r="E38" s="12"/>
    </row>
    <row r="39" spans="1:6" x14ac:dyDescent="0.35">
      <c r="E39" s="12"/>
    </row>
    <row r="40" spans="1:6" x14ac:dyDescent="0.35">
      <c r="E40" s="12"/>
    </row>
    <row r="41" spans="1:6" x14ac:dyDescent="0.35">
      <c r="E41" s="12"/>
    </row>
    <row r="42" spans="1:6" x14ac:dyDescent="0.35">
      <c r="E42" s="12"/>
    </row>
    <row r="43" spans="1:6" x14ac:dyDescent="0.35">
      <c r="E43" s="12"/>
    </row>
    <row r="44" spans="1:6" x14ac:dyDescent="0.35">
      <c r="E44" s="12"/>
    </row>
    <row r="45" spans="1:6" x14ac:dyDescent="0.35">
      <c r="E45" s="12"/>
    </row>
    <row r="46" spans="1:6" x14ac:dyDescent="0.35">
      <c r="E46" s="12"/>
    </row>
    <row r="47" spans="1:6" x14ac:dyDescent="0.35">
      <c r="E47" s="12"/>
    </row>
    <row r="48" spans="1:6" x14ac:dyDescent="0.35">
      <c r="E48" s="12"/>
    </row>
    <row r="49" spans="1:16" x14ac:dyDescent="0.35">
      <c r="E49" s="12"/>
    </row>
    <row r="50" spans="1:16" x14ac:dyDescent="0.35">
      <c r="E50" s="12"/>
    </row>
    <row r="51" spans="1:16" x14ac:dyDescent="0.35">
      <c r="E51" s="12"/>
    </row>
    <row r="52" spans="1:16" x14ac:dyDescent="0.35">
      <c r="A52" s="44" t="s">
        <v>142</v>
      </c>
      <c r="B52" s="7"/>
      <c r="C52" s="7"/>
      <c r="D52" s="7"/>
      <c r="E52" s="13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 x14ac:dyDescent="0.35">
      <c r="A53" t="s">
        <v>90</v>
      </c>
      <c r="B53" s="36">
        <v>0.4</v>
      </c>
      <c r="C53" s="12" t="s">
        <v>1</v>
      </c>
    </row>
    <row r="54" spans="1:16" ht="15" thickBot="1" x14ac:dyDescent="0.4">
      <c r="A54" t="s">
        <v>92</v>
      </c>
      <c r="B54" s="36">
        <v>1100</v>
      </c>
      <c r="C54" s="12" t="s">
        <v>7</v>
      </c>
    </row>
    <row r="55" spans="1:16" ht="15" thickBot="1" x14ac:dyDescent="0.4">
      <c r="A55" t="s">
        <v>91</v>
      </c>
      <c r="B55" s="5">
        <f>B53/B54</f>
        <v>3.6363636363636367E-4</v>
      </c>
      <c r="C55" s="12" t="s">
        <v>2</v>
      </c>
      <c r="M55" t="s">
        <v>147</v>
      </c>
    </row>
    <row r="56" spans="1:16" x14ac:dyDescent="0.35">
      <c r="E56" s="12"/>
      <c r="M56" s="6" t="s">
        <v>148</v>
      </c>
    </row>
    <row r="57" spans="1:16" x14ac:dyDescent="0.35">
      <c r="E57" s="12"/>
    </row>
    <row r="58" spans="1:16" x14ac:dyDescent="0.35">
      <c r="E58" s="12"/>
    </row>
    <row r="59" spans="1:16" x14ac:dyDescent="0.35">
      <c r="E59" s="12"/>
    </row>
    <row r="60" spans="1:16" x14ac:dyDescent="0.35">
      <c r="E60" s="12"/>
    </row>
    <row r="61" spans="1:16" x14ac:dyDescent="0.35">
      <c r="E61" s="12"/>
    </row>
    <row r="62" spans="1:16" x14ac:dyDescent="0.35">
      <c r="E62" s="12"/>
    </row>
    <row r="63" spans="1:16" x14ac:dyDescent="0.35">
      <c r="E63" s="12"/>
    </row>
    <row r="64" spans="1:16" x14ac:dyDescent="0.35">
      <c r="A64" s="1" t="s">
        <v>143</v>
      </c>
      <c r="E64" s="12"/>
    </row>
    <row r="65" spans="1:27" x14ac:dyDescent="0.35">
      <c r="A65" t="s">
        <v>144</v>
      </c>
      <c r="B65" s="36">
        <v>1</v>
      </c>
      <c r="C65" t="s">
        <v>145</v>
      </c>
    </row>
    <row r="66" spans="1:27" x14ac:dyDescent="0.35">
      <c r="A66" t="s">
        <v>146</v>
      </c>
      <c r="B66" s="36">
        <v>25</v>
      </c>
      <c r="C66" t="s">
        <v>1</v>
      </c>
    </row>
    <row r="68" spans="1:27" x14ac:dyDescent="0.35">
      <c r="E68" s="12"/>
    </row>
    <row r="69" spans="1:27" x14ac:dyDescent="0.35">
      <c r="E69" s="12"/>
    </row>
    <row r="70" spans="1:27" x14ac:dyDescent="0.35">
      <c r="E70" s="12"/>
    </row>
    <row r="71" spans="1:27" x14ac:dyDescent="0.35">
      <c r="E71" s="12"/>
    </row>
    <row r="72" spans="1:27" x14ac:dyDescent="0.35">
      <c r="E72" s="12"/>
    </row>
    <row r="75" spans="1:27" ht="15" thickBot="1" x14ac:dyDescent="0.4">
      <c r="A75" s="15" t="s">
        <v>4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spans="1:27" x14ac:dyDescent="0.35">
      <c r="A76" t="s">
        <v>81</v>
      </c>
      <c r="B76" s="36">
        <v>0.4</v>
      </c>
      <c r="C76" t="s">
        <v>1</v>
      </c>
      <c r="D76" s="35"/>
      <c r="E76" s="35"/>
      <c r="O76" t="s">
        <v>72</v>
      </c>
    </row>
    <row r="77" spans="1:27" ht="15" thickBot="1" x14ac:dyDescent="0.4">
      <c r="A77" t="s">
        <v>82</v>
      </c>
      <c r="B77" s="36">
        <v>8</v>
      </c>
      <c r="C77" t="s">
        <v>2</v>
      </c>
      <c r="D77" s="35"/>
      <c r="E77" s="35"/>
      <c r="O77" s="6" t="s">
        <v>83</v>
      </c>
    </row>
    <row r="78" spans="1:27" ht="15" thickBot="1" x14ac:dyDescent="0.4">
      <c r="A78" t="s">
        <v>80</v>
      </c>
      <c r="B78" s="5">
        <f>B76/B77</f>
        <v>0.05</v>
      </c>
      <c r="C78" t="s">
        <v>7</v>
      </c>
      <c r="D78" s="35"/>
      <c r="E78" s="35"/>
    </row>
    <row r="90" spans="1:27" ht="15" thickBot="1" x14ac:dyDescent="0.4">
      <c r="A90" s="15" t="s">
        <v>8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spans="1:27" x14ac:dyDescent="0.35">
      <c r="A91" s="10" t="s">
        <v>74</v>
      </c>
      <c r="B91" s="36">
        <f>B23</f>
        <v>13.5</v>
      </c>
      <c r="C91" t="s">
        <v>1</v>
      </c>
      <c r="O91" t="s">
        <v>72</v>
      </c>
      <c r="Q91" t="s">
        <v>79</v>
      </c>
    </row>
    <row r="92" spans="1:27" x14ac:dyDescent="0.35">
      <c r="A92" t="s">
        <v>46</v>
      </c>
      <c r="B92" s="36">
        <f>B31</f>
        <v>0.44897959183673469</v>
      </c>
      <c r="C92" t="s">
        <v>62</v>
      </c>
      <c r="O92" s="6" t="s">
        <v>12</v>
      </c>
    </row>
    <row r="93" spans="1:27" ht="15" thickBot="1" x14ac:dyDescent="0.4">
      <c r="A93" t="s">
        <v>149</v>
      </c>
      <c r="B93" s="36">
        <v>20</v>
      </c>
      <c r="C93" t="s">
        <v>150</v>
      </c>
      <c r="O93" s="6"/>
    </row>
    <row r="94" spans="1:27" ht="15" thickBot="1" x14ac:dyDescent="0.4">
      <c r="A94" s="10" t="s">
        <v>75</v>
      </c>
      <c r="B94" s="5">
        <f>B102*B93/100</f>
        <v>0.18106995884773663</v>
      </c>
      <c r="C94" t="s">
        <v>2</v>
      </c>
      <c r="D94" s="17"/>
    </row>
    <row r="95" spans="1:27" ht="15" thickBot="1" x14ac:dyDescent="0.4">
      <c r="A95" s="10" t="s">
        <v>6</v>
      </c>
      <c r="B95" s="36">
        <f>2*10^6</f>
        <v>2000000</v>
      </c>
      <c r="C95" t="s">
        <v>15</v>
      </c>
    </row>
    <row r="96" spans="1:27" ht="15" thickBot="1" x14ac:dyDescent="0.4">
      <c r="A96" t="s">
        <v>9</v>
      </c>
      <c r="B96" s="5">
        <f>(B91*B92)/(B94*B95)</f>
        <v>1.6737244897959184E-5</v>
      </c>
      <c r="C96" t="s">
        <v>63</v>
      </c>
      <c r="D96" t="s">
        <v>152</v>
      </c>
      <c r="E96" s="38"/>
    </row>
    <row r="97" spans="1:6" x14ac:dyDescent="0.35">
      <c r="B97" s="8"/>
    </row>
    <row r="98" spans="1:6" x14ac:dyDescent="0.35">
      <c r="A98" t="s">
        <v>77</v>
      </c>
      <c r="B98" s="37">
        <v>11</v>
      </c>
      <c r="C98" t="s">
        <v>1</v>
      </c>
    </row>
    <row r="99" spans="1:6" x14ac:dyDescent="0.35">
      <c r="A99" t="s">
        <v>23</v>
      </c>
      <c r="B99" s="37">
        <f>B26</f>
        <v>1</v>
      </c>
      <c r="C99" t="s">
        <v>2</v>
      </c>
    </row>
    <row r="100" spans="1:6" x14ac:dyDescent="0.35">
      <c r="A100" t="s">
        <v>57</v>
      </c>
      <c r="B100" s="37">
        <f>B23</f>
        <v>13.5</v>
      </c>
      <c r="C100" t="s">
        <v>1</v>
      </c>
    </row>
    <row r="101" spans="1:6" ht="15" thickBot="1" x14ac:dyDescent="0.4">
      <c r="A101" t="s">
        <v>154</v>
      </c>
      <c r="B101" s="37">
        <v>90</v>
      </c>
      <c r="C101" t="s">
        <v>150</v>
      </c>
    </row>
    <row r="102" spans="1:6" ht="15" thickBot="1" x14ac:dyDescent="0.4">
      <c r="A102" t="s">
        <v>76</v>
      </c>
      <c r="B102" s="5">
        <f>(B98*B99)/(B100*B101/100)</f>
        <v>0.90534979423868311</v>
      </c>
      <c r="C102" t="s">
        <v>2</v>
      </c>
      <c r="D102" t="s">
        <v>152</v>
      </c>
    </row>
    <row r="103" spans="1:6" x14ac:dyDescent="0.35">
      <c r="A103" t="s">
        <v>178</v>
      </c>
      <c r="B103" s="8">
        <f>(B91*B92)/(14*2)</f>
        <v>0.21647230320699709</v>
      </c>
    </row>
    <row r="104" spans="1:6" x14ac:dyDescent="0.35">
      <c r="A104" t="s">
        <v>78</v>
      </c>
      <c r="B104" s="37">
        <f>B102</f>
        <v>0.90534979423868311</v>
      </c>
      <c r="C104" t="s">
        <v>2</v>
      </c>
    </row>
    <row r="105" spans="1:6" x14ac:dyDescent="0.35">
      <c r="A105" t="s">
        <v>47</v>
      </c>
      <c r="B105" s="36">
        <f>B103</f>
        <v>0.21647230320699709</v>
      </c>
      <c r="C105" t="s">
        <v>2</v>
      </c>
    </row>
    <row r="106" spans="1:6" ht="15" thickBot="1" x14ac:dyDescent="0.4">
      <c r="A106" t="s">
        <v>48</v>
      </c>
      <c r="B106" s="36">
        <f>B105</f>
        <v>0.21647230320699709</v>
      </c>
      <c r="C106" t="s">
        <v>2</v>
      </c>
    </row>
    <row r="107" spans="1:6" ht="15" thickBot="1" x14ac:dyDescent="0.4">
      <c r="A107" t="s">
        <v>10</v>
      </c>
      <c r="B107" s="5">
        <f>B104+B105/2</f>
        <v>1.0135859458421816</v>
      </c>
      <c r="C107" s="4" t="s">
        <v>2</v>
      </c>
    </row>
    <row r="108" spans="1:6" ht="15" thickBot="1" x14ac:dyDescent="0.4">
      <c r="A108" t="s">
        <v>11</v>
      </c>
      <c r="B108" s="11">
        <f>B99+B106/2</f>
        <v>1.1082361516034986</v>
      </c>
      <c r="C108" s="4" t="s">
        <v>2</v>
      </c>
    </row>
    <row r="109" spans="1:6" ht="15" thickBot="1" x14ac:dyDescent="0.4">
      <c r="A109" t="s">
        <v>151</v>
      </c>
      <c r="B109" s="5"/>
      <c r="C109" t="s">
        <v>2</v>
      </c>
      <c r="D109" s="41">
        <f>B109/B104*100</f>
        <v>0</v>
      </c>
      <c r="E109" t="s">
        <v>150</v>
      </c>
      <c r="F109" t="s">
        <v>155</v>
      </c>
    </row>
    <row r="130" spans="1:27" ht="15" thickBot="1" x14ac:dyDescent="0.4">
      <c r="A130" s="15" t="s">
        <v>13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spans="1:27" ht="15" thickBot="1" x14ac:dyDescent="0.4">
      <c r="A131" t="s">
        <v>65</v>
      </c>
      <c r="B131" s="39">
        <f>(B132*B133)/(B135*B134)</f>
        <v>0.1020408163265306</v>
      </c>
      <c r="C131" t="s">
        <v>1</v>
      </c>
      <c r="D131" t="s">
        <v>140</v>
      </c>
      <c r="E131" s="40" t="s">
        <v>14</v>
      </c>
      <c r="R131" t="s">
        <v>71</v>
      </c>
    </row>
    <row r="132" spans="1:27" x14ac:dyDescent="0.35">
      <c r="A132" t="s">
        <v>64</v>
      </c>
      <c r="B132">
        <f>B26</f>
        <v>1</v>
      </c>
      <c r="C132" t="s">
        <v>2</v>
      </c>
    </row>
    <row r="133" spans="1:27" x14ac:dyDescent="0.35">
      <c r="A133" t="s">
        <v>46</v>
      </c>
      <c r="B133" s="36">
        <f>B92</f>
        <v>0.44897959183673469</v>
      </c>
      <c r="C133" t="s">
        <v>62</v>
      </c>
    </row>
    <row r="134" spans="1:27" x14ac:dyDescent="0.35">
      <c r="A134" t="s">
        <v>6</v>
      </c>
      <c r="B134" s="36">
        <f>B95</f>
        <v>2000000</v>
      </c>
      <c r="C134" t="s">
        <v>15</v>
      </c>
    </row>
    <row r="135" spans="1:27" x14ac:dyDescent="0.35">
      <c r="A135" t="s">
        <v>66</v>
      </c>
      <c r="B135" s="36">
        <f>2.2*10^-6</f>
        <v>2.2000000000000001E-6</v>
      </c>
      <c r="C135" t="s">
        <v>39</v>
      </c>
    </row>
    <row r="136" spans="1:27" x14ac:dyDescent="0.35">
      <c r="A136" t="s">
        <v>67</v>
      </c>
      <c r="B136" s="36">
        <f>14*10^-6</f>
        <v>1.4E-5</v>
      </c>
      <c r="C136" t="s">
        <v>63</v>
      </c>
      <c r="D136" s="9"/>
    </row>
    <row r="137" spans="1:27" ht="15" thickBot="1" x14ac:dyDescent="0.4">
      <c r="A137" t="s">
        <v>68</v>
      </c>
      <c r="B137" s="36">
        <f>B136</f>
        <v>1.4E-5</v>
      </c>
      <c r="C137" t="s">
        <v>63</v>
      </c>
    </row>
    <row r="138" spans="1:27" ht="15" thickBot="1" x14ac:dyDescent="0.4">
      <c r="A138" t="s">
        <v>69</v>
      </c>
      <c r="B138" s="5">
        <f>1/(2*PI()*SQRT((B136+B137)*B135))</f>
        <v>20278.217437549898</v>
      </c>
      <c r="C138" t="s">
        <v>15</v>
      </c>
    </row>
    <row r="139" spans="1:27" ht="15" thickBot="1" x14ac:dyDescent="0.4">
      <c r="A139" t="s">
        <v>70</v>
      </c>
      <c r="B139" s="5">
        <f>SQRT((B136+B137)/B135)</f>
        <v>3.5675303400633789</v>
      </c>
      <c r="C139" t="s">
        <v>7</v>
      </c>
    </row>
    <row r="143" spans="1:27" x14ac:dyDescent="0.35">
      <c r="O143" t="s">
        <v>72</v>
      </c>
    </row>
    <row r="144" spans="1:27" x14ac:dyDescent="0.35">
      <c r="O144" s="6" t="s">
        <v>73</v>
      </c>
    </row>
    <row r="158" spans="1:27" ht="15" thickBot="1" x14ac:dyDescent="0.4">
      <c r="A158" s="15" t="s">
        <v>16</v>
      </c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1:27" x14ac:dyDescent="0.35">
      <c r="A159" t="s">
        <v>23</v>
      </c>
      <c r="B159" s="36">
        <f>B132</f>
        <v>1</v>
      </c>
      <c r="C159" t="s">
        <v>2</v>
      </c>
    </row>
    <row r="160" spans="1:27" x14ac:dyDescent="0.35">
      <c r="A160" t="s">
        <v>46</v>
      </c>
      <c r="B160" s="36">
        <f>B133</f>
        <v>0.44897959183673469</v>
      </c>
      <c r="C160" t="s">
        <v>62</v>
      </c>
      <c r="N160" t="s">
        <v>72</v>
      </c>
    </row>
    <row r="161" spans="1:14" x14ac:dyDescent="0.35">
      <c r="A161" t="s">
        <v>55</v>
      </c>
      <c r="B161" s="36">
        <f>290*10^-6</f>
        <v>2.9E-4</v>
      </c>
      <c r="C161" t="s">
        <v>93</v>
      </c>
      <c r="N161" s="6" t="s">
        <v>156</v>
      </c>
    </row>
    <row r="162" spans="1:14" x14ac:dyDescent="0.35">
      <c r="A162" t="s">
        <v>6</v>
      </c>
      <c r="B162" s="36">
        <f>2*10^6</f>
        <v>2000000</v>
      </c>
      <c r="C162" t="s">
        <v>15</v>
      </c>
    </row>
    <row r="163" spans="1:14" x14ac:dyDescent="0.35">
      <c r="A163" t="s">
        <v>17</v>
      </c>
      <c r="B163" s="36">
        <f>B137</f>
        <v>1.4E-5</v>
      </c>
      <c r="C163" t="s">
        <v>63</v>
      </c>
    </row>
    <row r="164" spans="1:14" x14ac:dyDescent="0.35">
      <c r="A164" t="s">
        <v>56</v>
      </c>
      <c r="B164" s="36">
        <v>0.02</v>
      </c>
      <c r="C164" t="s">
        <v>7</v>
      </c>
    </row>
    <row r="165" spans="1:14" x14ac:dyDescent="0.35">
      <c r="A165" t="s">
        <v>57</v>
      </c>
      <c r="B165" s="36">
        <f>B23</f>
        <v>13.5</v>
      </c>
      <c r="C165" t="s">
        <v>1</v>
      </c>
    </row>
    <row r="166" spans="1:14" ht="15" thickBot="1" x14ac:dyDescent="0.4"/>
    <row r="167" spans="1:14" ht="15" thickBot="1" x14ac:dyDescent="0.4">
      <c r="A167" t="s">
        <v>58</v>
      </c>
      <c r="B167" s="5">
        <f>B159*B160/(B161*B162)+(B159/(1-B160)+(B160*B165)/(2*B162*B163))*B164</f>
        <v>3.9235122072912375E-2</v>
      </c>
      <c r="C167" t="s">
        <v>1</v>
      </c>
    </row>
    <row r="168" spans="1:14" ht="15" thickBot="1" x14ac:dyDescent="0.4">
      <c r="A168" t="s">
        <v>59</v>
      </c>
      <c r="B168" s="5">
        <f>SQRT(B159^2*B160+(B170^2*B171^2/3-B170*B171)*(1-B160))</f>
        <v>0.51968286592930668</v>
      </c>
      <c r="C168" t="s">
        <v>2</v>
      </c>
      <c r="D168" t="s">
        <v>139</v>
      </c>
      <c r="E168" s="7">
        <v>0.85</v>
      </c>
      <c r="F168" t="s">
        <v>2</v>
      </c>
    </row>
    <row r="169" spans="1:14" ht="15" thickBot="1" x14ac:dyDescent="0.4"/>
    <row r="170" spans="1:14" ht="15" thickBot="1" x14ac:dyDescent="0.4">
      <c r="A170" t="s">
        <v>60</v>
      </c>
      <c r="B170" s="5">
        <f>B172+B173-B174</f>
        <v>1.1218220974456803</v>
      </c>
      <c r="C170" t="s">
        <v>2</v>
      </c>
    </row>
    <row r="171" spans="1:14" ht="15" thickBot="1" x14ac:dyDescent="0.4">
      <c r="A171" t="s">
        <v>61</v>
      </c>
      <c r="B171" s="5">
        <f>B175+B176</f>
        <v>0.33019999999999999</v>
      </c>
      <c r="C171" t="s">
        <v>2</v>
      </c>
    </row>
    <row r="172" spans="1:14" x14ac:dyDescent="0.35">
      <c r="A172" t="s">
        <v>42</v>
      </c>
      <c r="B172" s="36">
        <f>B107</f>
        <v>1.0135859458421816</v>
      </c>
      <c r="C172" t="s">
        <v>2</v>
      </c>
    </row>
    <row r="173" spans="1:14" x14ac:dyDescent="0.35">
      <c r="A173" t="s">
        <v>43</v>
      </c>
      <c r="B173" s="36">
        <f>B108</f>
        <v>1.1082361516034986</v>
      </c>
      <c r="C173" t="s">
        <v>2</v>
      </c>
    </row>
    <row r="174" spans="1:14" x14ac:dyDescent="0.35">
      <c r="A174" t="s">
        <v>64</v>
      </c>
      <c r="B174" s="36">
        <f>B99</f>
        <v>1</v>
      </c>
      <c r="C174" t="s">
        <v>2</v>
      </c>
    </row>
    <row r="175" spans="1:14" x14ac:dyDescent="0.35">
      <c r="A175" t="s">
        <v>47</v>
      </c>
      <c r="B175" s="36">
        <v>0.1651</v>
      </c>
      <c r="C175" t="s">
        <v>2</v>
      </c>
    </row>
    <row r="176" spans="1:14" x14ac:dyDescent="0.35">
      <c r="A176" t="s">
        <v>48</v>
      </c>
      <c r="B176" s="36">
        <f>B175</f>
        <v>0.1651</v>
      </c>
      <c r="C176" t="s">
        <v>2</v>
      </c>
    </row>
    <row r="180" spans="1:27" ht="15" thickBot="1" x14ac:dyDescent="0.4">
      <c r="A180" s="15" t="s">
        <v>18</v>
      </c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spans="1:27" ht="15" thickBot="1" x14ac:dyDescent="0.4">
      <c r="A181" t="s">
        <v>47</v>
      </c>
      <c r="B181" s="36">
        <f>B175</f>
        <v>0.1651</v>
      </c>
      <c r="C181" t="s">
        <v>2</v>
      </c>
    </row>
    <row r="182" spans="1:27" ht="15" thickBot="1" x14ac:dyDescent="0.4">
      <c r="A182" t="s">
        <v>54</v>
      </c>
      <c r="B182" s="5">
        <f>B181/SQRT(12)</f>
        <v>4.7660264721603611E-2</v>
      </c>
      <c r="C182" t="s">
        <v>2</v>
      </c>
      <c r="N182" t="s">
        <v>72</v>
      </c>
    </row>
    <row r="183" spans="1:27" x14ac:dyDescent="0.35">
      <c r="N183" s="6" t="s">
        <v>157</v>
      </c>
    </row>
    <row r="193" spans="1:26" ht="15" thickBot="1" x14ac:dyDescent="0.4">
      <c r="A193" s="15" t="s">
        <v>19</v>
      </c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x14ac:dyDescent="0.35">
      <c r="A194" t="s">
        <v>50</v>
      </c>
      <c r="B194" s="36">
        <f>B98</f>
        <v>11</v>
      </c>
      <c r="C194" t="s">
        <v>1</v>
      </c>
    </row>
    <row r="195" spans="1:26" x14ac:dyDescent="0.35">
      <c r="A195" t="s">
        <v>51</v>
      </c>
      <c r="B195" s="36">
        <v>1.2</v>
      </c>
      <c r="C195" s="7" t="s">
        <v>1</v>
      </c>
      <c r="N195" t="s">
        <v>158</v>
      </c>
    </row>
    <row r="196" spans="1:26" ht="15" thickBot="1" x14ac:dyDescent="0.4">
      <c r="A196" t="s">
        <v>52</v>
      </c>
      <c r="B196" s="36">
        <v>5620</v>
      </c>
      <c r="C196" t="s">
        <v>7</v>
      </c>
      <c r="N196" s="6" t="s">
        <v>162</v>
      </c>
    </row>
    <row r="197" spans="1:26" ht="15" thickBot="1" x14ac:dyDescent="0.4">
      <c r="A197" t="s">
        <v>53</v>
      </c>
      <c r="B197" s="5">
        <f>B196*(B194-B195)/B195</f>
        <v>45896.666666666672</v>
      </c>
      <c r="C197" t="s">
        <v>7</v>
      </c>
      <c r="D197">
        <f>B194/(2*(B196+B198))</f>
        <v>9.6260428213056407E-5</v>
      </c>
      <c r="N197" t="s">
        <v>159</v>
      </c>
    </row>
    <row r="198" spans="1:26" ht="15" thickBot="1" x14ac:dyDescent="0.4">
      <c r="A198" t="s">
        <v>160</v>
      </c>
      <c r="B198" s="5">
        <f>B197+B196</f>
        <v>51516.666666666672</v>
      </c>
      <c r="C198" t="s">
        <v>7</v>
      </c>
      <c r="D198" s="36" t="s">
        <v>5</v>
      </c>
      <c r="N198" s="6" t="s">
        <v>161</v>
      </c>
    </row>
    <row r="207" spans="1:26" ht="15" thickBot="1" x14ac:dyDescent="0.4">
      <c r="A207" s="15" t="s">
        <v>20</v>
      </c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x14ac:dyDescent="0.35">
      <c r="A208" t="s">
        <v>42</v>
      </c>
      <c r="B208" s="36">
        <f>B107</f>
        <v>1.0135859458421816</v>
      </c>
      <c r="C208" t="s">
        <v>2</v>
      </c>
    </row>
    <row r="209" spans="1:3" ht="15" thickBot="1" x14ac:dyDescent="0.4">
      <c r="A209" t="s">
        <v>43</v>
      </c>
      <c r="B209" s="36">
        <f>B108</f>
        <v>1.1082361516034986</v>
      </c>
      <c r="C209" t="s">
        <v>2</v>
      </c>
    </row>
    <row r="210" spans="1:3" ht="15" thickBot="1" x14ac:dyDescent="0.4">
      <c r="A210" t="s">
        <v>44</v>
      </c>
      <c r="B210" s="5">
        <f>B208+B209</f>
        <v>2.1218220974456803</v>
      </c>
      <c r="C210" t="s">
        <v>2</v>
      </c>
    </row>
    <row r="211" spans="1:3" x14ac:dyDescent="0.35">
      <c r="A211" t="s">
        <v>26</v>
      </c>
      <c r="B211" s="36">
        <v>11</v>
      </c>
      <c r="C211" t="s">
        <v>1</v>
      </c>
    </row>
    <row r="212" spans="1:3" ht="15" thickBot="1" x14ac:dyDescent="0.4">
      <c r="A212" t="s">
        <v>27</v>
      </c>
      <c r="B212" s="36">
        <v>13.5</v>
      </c>
      <c r="C212" t="s">
        <v>1</v>
      </c>
    </row>
    <row r="213" spans="1:3" ht="15" thickBot="1" x14ac:dyDescent="0.4">
      <c r="A213" t="s">
        <v>45</v>
      </c>
      <c r="B213" s="5">
        <f>B211+B212</f>
        <v>24.5</v>
      </c>
      <c r="C213" t="s">
        <v>1</v>
      </c>
    </row>
    <row r="215" spans="1:3" x14ac:dyDescent="0.35">
      <c r="A215" t="s">
        <v>46</v>
      </c>
      <c r="B215" s="36">
        <f>B160</f>
        <v>0.44897959183673469</v>
      </c>
      <c r="C215" t="s">
        <v>62</v>
      </c>
    </row>
    <row r="216" spans="1:3" x14ac:dyDescent="0.35">
      <c r="A216" t="s">
        <v>47</v>
      </c>
      <c r="B216" s="36">
        <f>B175</f>
        <v>0.1651</v>
      </c>
      <c r="C216" t="s">
        <v>2</v>
      </c>
    </row>
    <row r="217" spans="1:3" ht="15" thickBot="1" x14ac:dyDescent="0.4">
      <c r="A217" t="s">
        <v>48</v>
      </c>
      <c r="B217" s="36">
        <f>B216</f>
        <v>0.1651</v>
      </c>
      <c r="C217" t="s">
        <v>2</v>
      </c>
    </row>
    <row r="218" spans="1:3" ht="15" thickBot="1" x14ac:dyDescent="0.4">
      <c r="A218" t="s">
        <v>49</v>
      </c>
      <c r="B218" s="5">
        <f>SQRT(B215*(B210^2+((B216+B217)^2)/3-B210*(B216+B217)))</f>
        <v>1.3126748057682911</v>
      </c>
      <c r="C218" t="s">
        <v>2</v>
      </c>
    </row>
    <row r="227" spans="1:26" ht="15" thickBot="1" x14ac:dyDescent="0.4">
      <c r="A227" s="15" t="s">
        <v>21</v>
      </c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x14ac:dyDescent="0.35">
      <c r="A228" t="s">
        <v>36</v>
      </c>
      <c r="B228" s="42">
        <f>12*10^-9</f>
        <v>1.2000000000000002E-8</v>
      </c>
      <c r="C228" t="s">
        <v>39</v>
      </c>
      <c r="O228" t="s">
        <v>34</v>
      </c>
    </row>
    <row r="229" spans="1:26" x14ac:dyDescent="0.35">
      <c r="A229" t="s">
        <v>37</v>
      </c>
      <c r="B229" s="36">
        <v>0.12</v>
      </c>
      <c r="C229" t="s">
        <v>2</v>
      </c>
      <c r="O229" s="6" t="s">
        <v>35</v>
      </c>
    </row>
    <row r="230" spans="1:26" ht="15" thickBot="1" x14ac:dyDescent="0.4">
      <c r="A230" t="s">
        <v>38</v>
      </c>
      <c r="B230" s="36">
        <f>2*10^6</f>
        <v>2000000</v>
      </c>
      <c r="C230" t="s">
        <v>15</v>
      </c>
    </row>
    <row r="231" spans="1:26" ht="15" thickBot="1" x14ac:dyDescent="0.4">
      <c r="A231" t="s">
        <v>40</v>
      </c>
      <c r="B231" s="5">
        <f>B229/B230</f>
        <v>5.9999999999999995E-8</v>
      </c>
      <c r="C231" s="7" t="s">
        <v>39</v>
      </c>
    </row>
    <row r="232" spans="1:26" ht="15" thickBot="1" x14ac:dyDescent="0.4"/>
    <row r="233" spans="1:26" ht="15" thickBot="1" x14ac:dyDescent="0.4">
      <c r="A233" t="s">
        <v>41</v>
      </c>
      <c r="B233" s="43" t="str">
        <f>IF(B228&lt;=B231,"OK","FAIL")</f>
        <v>OK</v>
      </c>
    </row>
    <row r="234" spans="1:26" ht="15" thickBot="1" x14ac:dyDescent="0.4"/>
    <row r="235" spans="1:26" ht="15" thickBot="1" x14ac:dyDescent="0.4">
      <c r="A235" t="s">
        <v>163</v>
      </c>
      <c r="B235" s="5"/>
    </row>
    <row r="236" spans="1:26" ht="15" thickBot="1" x14ac:dyDescent="0.4">
      <c r="A236" t="s">
        <v>164</v>
      </c>
      <c r="B236" s="5"/>
    </row>
    <row r="237" spans="1:26" ht="15" thickBot="1" x14ac:dyDescent="0.4">
      <c r="A237" t="s">
        <v>165</v>
      </c>
      <c r="B237" s="5"/>
    </row>
    <row r="246" spans="1:26" ht="15" thickBot="1" x14ac:dyDescent="0.4">
      <c r="A246" s="15" t="s">
        <v>22</v>
      </c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x14ac:dyDescent="0.35">
      <c r="A247" t="s">
        <v>23</v>
      </c>
      <c r="B247" s="37">
        <v>1</v>
      </c>
      <c r="C247" t="s">
        <v>2</v>
      </c>
      <c r="O247" t="s">
        <v>31</v>
      </c>
    </row>
    <row r="248" spans="1:26" ht="15" thickBot="1" x14ac:dyDescent="0.4">
      <c r="A248" t="s">
        <v>24</v>
      </c>
      <c r="B248" s="36">
        <f>B247</f>
        <v>1</v>
      </c>
      <c r="C248" t="s">
        <v>2</v>
      </c>
      <c r="O248" s="6" t="s">
        <v>32</v>
      </c>
    </row>
    <row r="249" spans="1:26" ht="15" thickBot="1" x14ac:dyDescent="0.4">
      <c r="A249" t="s">
        <v>25</v>
      </c>
      <c r="B249" s="5">
        <f>B250+B251</f>
        <v>43</v>
      </c>
      <c r="C249" t="s">
        <v>1</v>
      </c>
    </row>
    <row r="250" spans="1:26" x14ac:dyDescent="0.35">
      <c r="A250" t="s">
        <v>26</v>
      </c>
      <c r="B250" s="36">
        <v>11</v>
      </c>
      <c r="C250" t="s">
        <v>1</v>
      </c>
    </row>
    <row r="251" spans="1:26" x14ac:dyDescent="0.35">
      <c r="A251" t="s">
        <v>27</v>
      </c>
      <c r="B251" s="36">
        <v>32</v>
      </c>
      <c r="C251" t="s">
        <v>1</v>
      </c>
    </row>
    <row r="252" spans="1:26" ht="15" thickBot="1" x14ac:dyDescent="0.4">
      <c r="A252" t="s">
        <v>28</v>
      </c>
      <c r="B252" s="36">
        <v>0.67</v>
      </c>
      <c r="C252" t="s">
        <v>1</v>
      </c>
      <c r="D252" t="s">
        <v>33</v>
      </c>
    </row>
    <row r="253" spans="1:26" ht="15" thickBot="1" x14ac:dyDescent="0.4">
      <c r="A253" t="s">
        <v>29</v>
      </c>
      <c r="B253" s="5">
        <f>B252*B247</f>
        <v>0.67</v>
      </c>
      <c r="C253" t="s">
        <v>30</v>
      </c>
    </row>
    <row r="254" spans="1:26" x14ac:dyDescent="0.35">
      <c r="A254" t="s">
        <v>191</v>
      </c>
      <c r="B254" s="37">
        <v>8</v>
      </c>
      <c r="C254" t="s">
        <v>1</v>
      </c>
    </row>
    <row r="265" spans="1:7" x14ac:dyDescent="0.35">
      <c r="A265" s="1" t="s">
        <v>189</v>
      </c>
    </row>
    <row r="266" spans="1:7" x14ac:dyDescent="0.35">
      <c r="A266" t="s">
        <v>195</v>
      </c>
      <c r="B266">
        <v>13.5</v>
      </c>
      <c r="D266">
        <f>B266^2*B267*B268+B269*(MAX(B270,B271+B272))*(B273+B274)/2*B275</f>
        <v>6.4548733350130183</v>
      </c>
    </row>
    <row r="267" spans="1:7" x14ac:dyDescent="0.35">
      <c r="A267" t="s">
        <v>180</v>
      </c>
      <c r="B267">
        <f>20.8/1000</f>
        <v>2.0799999999999999E-2</v>
      </c>
      <c r="E267" t="s">
        <v>179</v>
      </c>
      <c r="F267">
        <f>B247*SQRT(((B250+B254)*(B250+B252))/(B254^2))</f>
        <v>1.8613251328018972</v>
      </c>
      <c r="G267" t="s">
        <v>2</v>
      </c>
    </row>
    <row r="268" spans="1:7" x14ac:dyDescent="0.35">
      <c r="A268" t="s">
        <v>194</v>
      </c>
      <c r="B268">
        <f>11/(B266+11)</f>
        <v>0.44897959183673469</v>
      </c>
      <c r="E268" t="s">
        <v>192</v>
      </c>
      <c r="F268">
        <f>F267^2*B267*B268+B269*(B254+B250)*4.2*10^-9*B275/F269</f>
        <v>1.0200626659528009</v>
      </c>
      <c r="G268" t="s">
        <v>188</v>
      </c>
    </row>
    <row r="269" spans="1:7" x14ac:dyDescent="0.35">
      <c r="A269" t="s">
        <v>181</v>
      </c>
      <c r="B269">
        <f>B210</f>
        <v>2.1218220974456803</v>
      </c>
      <c r="E269" t="s">
        <v>193</v>
      </c>
      <c r="F269">
        <f>(12*10^-9)/(35*10^-9)</f>
        <v>0.34285714285714286</v>
      </c>
      <c r="G269" t="s">
        <v>2</v>
      </c>
    </row>
    <row r="270" spans="1:7" x14ac:dyDescent="0.35">
      <c r="A270" t="s">
        <v>187</v>
      </c>
      <c r="B270">
        <v>32</v>
      </c>
    </row>
    <row r="271" spans="1:7" x14ac:dyDescent="0.35">
      <c r="A271" t="s">
        <v>182</v>
      </c>
      <c r="B271">
        <v>11</v>
      </c>
    </row>
    <row r="272" spans="1:7" x14ac:dyDescent="0.35">
      <c r="A272" t="s">
        <v>183</v>
      </c>
      <c r="B272">
        <v>0.67</v>
      </c>
    </row>
    <row r="273" spans="1:2" x14ac:dyDescent="0.35">
      <c r="A273" t="s">
        <v>184</v>
      </c>
      <c r="B273">
        <f>35*10^-9</f>
        <v>3.5000000000000002E-8</v>
      </c>
    </row>
    <row r="274" spans="1:2" x14ac:dyDescent="0.35">
      <c r="A274" t="s">
        <v>185</v>
      </c>
      <c r="B274">
        <f>35*10^-9</f>
        <v>3.5000000000000002E-8</v>
      </c>
    </row>
    <row r="275" spans="1:2" x14ac:dyDescent="0.35">
      <c r="A275" t="s">
        <v>186</v>
      </c>
      <c r="B275">
        <f>B230</f>
        <v>2000000</v>
      </c>
    </row>
    <row r="276" spans="1:2" x14ac:dyDescent="0.35">
      <c r="A276" t="s">
        <v>190</v>
      </c>
      <c r="B276">
        <v>4.2</v>
      </c>
    </row>
  </sheetData>
  <hyperlinks>
    <hyperlink ref="O248" r:id="rId1" xr:uid="{DE91A096-B537-4782-814A-E1EAEF870BA4}"/>
    <hyperlink ref="O229" r:id="rId2" xr:uid="{6330477D-1C88-4E25-AB36-77B6E2982D00}"/>
    <hyperlink ref="O144" r:id="rId3" xr:uid="{B480E1A0-00AC-4AD8-8FC6-078BBFA25667}"/>
    <hyperlink ref="O92" r:id="rId4" xr:uid="{326B2205-3F60-4E40-A5D3-A642A67D3266}"/>
    <hyperlink ref="O77" r:id="rId5" xr:uid="{8C28CC88-E542-405B-A129-1EB12E2832C3}"/>
    <hyperlink ref="O25" r:id="rId6" xr:uid="{334B6D23-A1C9-4E61-BA3D-93D85A9825E2}"/>
    <hyperlink ref="N161" r:id="rId7" xr:uid="{FF3E8330-1528-4797-ABAA-D8D43D498D02}"/>
    <hyperlink ref="M56" r:id="rId8" xr:uid="{D4D98DA1-AE5B-4881-A099-F4B2A8A08A78}"/>
    <hyperlink ref="A21" r:id="rId9" location="overview" xr:uid="{A8BA8959-29D1-41CA-8EA2-B6C0B4953276}"/>
    <hyperlink ref="N183" r:id="rId10" xr:uid="{4F6575D4-2D81-4D4F-8D63-9CB633C74ADA}"/>
    <hyperlink ref="N196" r:id="rId11" xr:uid="{772C7666-2DA8-430B-BFBF-AB2A39E5BCA8}"/>
    <hyperlink ref="N198" r:id="rId12" xr:uid="{74AB7454-AD0B-45ED-861F-5AD4DA96C2CE}"/>
  </hyperlinks>
  <pageMargins left="0.7" right="0.7" top="0.75" bottom="0.75" header="0.3" footer="0.3"/>
  <pageSetup paperSize="9" orientation="portrait" r:id="rId13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1"/>
  <dimension ref="A20:AA276"/>
  <sheetViews>
    <sheetView tabSelected="1" topLeftCell="A146" zoomScaleNormal="100" workbookViewId="0">
      <selection activeCell="Q173" sqref="Q173"/>
    </sheetView>
  </sheetViews>
  <sheetFormatPr defaultRowHeight="14.5" x14ac:dyDescent="0.35"/>
  <cols>
    <col min="1" max="1" width="20.26953125" customWidth="1"/>
    <col min="2" max="2" width="13.26953125" bestFit="1" customWidth="1"/>
    <col min="3" max="3" width="12.453125" customWidth="1"/>
    <col min="4" max="4" width="15.81640625" customWidth="1"/>
    <col min="6" max="6" width="18.7265625" customWidth="1"/>
  </cols>
  <sheetData>
    <row r="20" spans="1:27" x14ac:dyDescent="0.35">
      <c r="A20" s="1" t="s">
        <v>3</v>
      </c>
    </row>
    <row r="21" spans="1:27" x14ac:dyDescent="0.35">
      <c r="A21" s="6" t="s">
        <v>153</v>
      </c>
    </row>
    <row r="22" spans="1:27" ht="15" thickBot="1" x14ac:dyDescent="0.4">
      <c r="A22" s="15" t="s">
        <v>0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x14ac:dyDescent="0.35">
      <c r="A23" t="s">
        <v>57</v>
      </c>
      <c r="B23" s="36">
        <v>8</v>
      </c>
      <c r="C23" t="s">
        <v>1</v>
      </c>
    </row>
    <row r="24" spans="1:27" x14ac:dyDescent="0.35">
      <c r="A24" t="s">
        <v>27</v>
      </c>
      <c r="B24" s="36">
        <v>32</v>
      </c>
      <c r="C24" t="s">
        <v>1</v>
      </c>
      <c r="O24" t="s">
        <v>72</v>
      </c>
    </row>
    <row r="25" spans="1:27" x14ac:dyDescent="0.35">
      <c r="A25" t="s">
        <v>77</v>
      </c>
      <c r="B25" s="36">
        <v>11</v>
      </c>
      <c r="C25" t="s">
        <v>1</v>
      </c>
      <c r="O25" s="6" t="s">
        <v>84</v>
      </c>
    </row>
    <row r="26" spans="1:27" x14ac:dyDescent="0.35">
      <c r="A26" t="s">
        <v>23</v>
      </c>
      <c r="B26" s="36">
        <v>1</v>
      </c>
      <c r="C26" t="s">
        <v>2</v>
      </c>
    </row>
    <row r="27" spans="1:27" x14ac:dyDescent="0.35">
      <c r="A27" t="s">
        <v>85</v>
      </c>
      <c r="B27" s="36">
        <v>8</v>
      </c>
      <c r="C27" t="s">
        <v>2</v>
      </c>
    </row>
    <row r="29" spans="1:27" ht="15" thickBot="1" x14ac:dyDescent="0.4">
      <c r="A29" s="1" t="s">
        <v>96</v>
      </c>
    </row>
    <row r="30" spans="1:27" ht="15" thickBot="1" x14ac:dyDescent="0.4">
      <c r="A30" t="s">
        <v>86</v>
      </c>
      <c r="B30" s="5">
        <f>B25/(B24+B25)</f>
        <v>0.2558139534883721</v>
      </c>
      <c r="C30" s="2" t="s">
        <v>62</v>
      </c>
    </row>
    <row r="31" spans="1:27" ht="15" thickBot="1" x14ac:dyDescent="0.4">
      <c r="A31" t="s">
        <v>87</v>
      </c>
      <c r="B31" s="5">
        <f>B25/(B23+B25)</f>
        <v>0.57894736842105265</v>
      </c>
      <c r="C31" s="2" t="s">
        <v>62</v>
      </c>
      <c r="D31" t="s">
        <v>139</v>
      </c>
      <c r="E31" s="13">
        <v>0.85</v>
      </c>
      <c r="F31" s="3" t="s">
        <v>5</v>
      </c>
    </row>
    <row r="32" spans="1:27" x14ac:dyDescent="0.35">
      <c r="B32" s="8"/>
      <c r="C32" s="2"/>
      <c r="E32" s="12"/>
      <c r="F32" s="12"/>
    </row>
    <row r="33" spans="1:6" ht="15" thickBot="1" x14ac:dyDescent="0.4">
      <c r="A33" s="1" t="s">
        <v>141</v>
      </c>
    </row>
    <row r="34" spans="1:6" ht="15" thickBot="1" x14ac:dyDescent="0.4">
      <c r="A34" t="s">
        <v>88</v>
      </c>
      <c r="B34" s="5">
        <f>B30/B35</f>
        <v>1.2790697674418605E-7</v>
      </c>
      <c r="C34" t="s">
        <v>89</v>
      </c>
      <c r="D34" t="s">
        <v>140</v>
      </c>
      <c r="E34" s="14">
        <f>30*10^-9</f>
        <v>3.0000000000000004E-8</v>
      </c>
      <c r="F34" s="3" t="s">
        <v>5</v>
      </c>
    </row>
    <row r="35" spans="1:6" x14ac:dyDescent="0.35">
      <c r="A35" t="s">
        <v>6</v>
      </c>
      <c r="B35" s="36">
        <f>2*10^6</f>
        <v>2000000</v>
      </c>
      <c r="C35" t="s">
        <v>15</v>
      </c>
    </row>
    <row r="37" spans="1:6" x14ac:dyDescent="0.35">
      <c r="E37" s="12"/>
    </row>
    <row r="38" spans="1:6" x14ac:dyDescent="0.35">
      <c r="E38" s="12"/>
    </row>
    <row r="39" spans="1:6" x14ac:dyDescent="0.35">
      <c r="E39" s="12"/>
    </row>
    <row r="40" spans="1:6" x14ac:dyDescent="0.35">
      <c r="E40" s="12"/>
    </row>
    <row r="41" spans="1:6" x14ac:dyDescent="0.35">
      <c r="E41" s="12"/>
    </row>
    <row r="42" spans="1:6" x14ac:dyDescent="0.35">
      <c r="E42" s="12"/>
    </row>
    <row r="43" spans="1:6" x14ac:dyDescent="0.35">
      <c r="E43" s="12"/>
    </row>
    <row r="44" spans="1:6" x14ac:dyDescent="0.35">
      <c r="E44" s="12"/>
    </row>
    <row r="45" spans="1:6" x14ac:dyDescent="0.35">
      <c r="E45" s="12"/>
    </row>
    <row r="46" spans="1:6" x14ac:dyDescent="0.35">
      <c r="E46" s="12"/>
    </row>
    <row r="47" spans="1:6" x14ac:dyDescent="0.35">
      <c r="E47" s="12"/>
    </row>
    <row r="48" spans="1:6" x14ac:dyDescent="0.35">
      <c r="E48" s="12"/>
    </row>
    <row r="49" spans="1:16" x14ac:dyDescent="0.35">
      <c r="E49" s="12"/>
    </row>
    <row r="50" spans="1:16" x14ac:dyDescent="0.35">
      <c r="E50" s="12"/>
    </row>
    <row r="51" spans="1:16" x14ac:dyDescent="0.35">
      <c r="E51" s="12"/>
    </row>
    <row r="52" spans="1:16" x14ac:dyDescent="0.35">
      <c r="A52" s="44" t="s">
        <v>142</v>
      </c>
      <c r="B52" s="7"/>
      <c r="C52" s="7"/>
      <c r="D52" s="7"/>
      <c r="E52" s="13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 x14ac:dyDescent="0.35">
      <c r="A53" t="s">
        <v>90</v>
      </c>
      <c r="B53" s="36">
        <v>0.4</v>
      </c>
      <c r="C53" s="12" t="s">
        <v>1</v>
      </c>
    </row>
    <row r="54" spans="1:16" ht="15" thickBot="1" x14ac:dyDescent="0.4">
      <c r="A54" t="s">
        <v>92</v>
      </c>
      <c r="B54" s="36">
        <v>1100</v>
      </c>
      <c r="C54" s="12" t="s">
        <v>7</v>
      </c>
    </row>
    <row r="55" spans="1:16" ht="15" thickBot="1" x14ac:dyDescent="0.4">
      <c r="A55" t="s">
        <v>91</v>
      </c>
      <c r="B55" s="5">
        <f>B53/B54</f>
        <v>3.6363636363636367E-4</v>
      </c>
      <c r="C55" s="12" t="s">
        <v>2</v>
      </c>
      <c r="M55" t="s">
        <v>147</v>
      </c>
    </row>
    <row r="56" spans="1:16" x14ac:dyDescent="0.35">
      <c r="E56" s="12"/>
      <c r="M56" s="6" t="s">
        <v>148</v>
      </c>
    </row>
    <row r="57" spans="1:16" x14ac:dyDescent="0.35">
      <c r="E57" s="12"/>
    </row>
    <row r="58" spans="1:16" x14ac:dyDescent="0.35">
      <c r="E58" s="12"/>
    </row>
    <row r="59" spans="1:16" x14ac:dyDescent="0.35">
      <c r="E59" s="12"/>
    </row>
    <row r="60" spans="1:16" x14ac:dyDescent="0.35">
      <c r="E60" s="12"/>
    </row>
    <row r="61" spans="1:16" x14ac:dyDescent="0.35">
      <c r="E61" s="12"/>
    </row>
    <row r="62" spans="1:16" x14ac:dyDescent="0.35">
      <c r="E62" s="12"/>
    </row>
    <row r="63" spans="1:16" x14ac:dyDescent="0.35">
      <c r="E63" s="12"/>
    </row>
    <row r="64" spans="1:16" x14ac:dyDescent="0.35">
      <c r="A64" s="1" t="s">
        <v>143</v>
      </c>
      <c r="E64" s="12"/>
    </row>
    <row r="65" spans="1:27" x14ac:dyDescent="0.35">
      <c r="A65" t="s">
        <v>144</v>
      </c>
      <c r="B65" s="36">
        <v>1</v>
      </c>
      <c r="C65" t="s">
        <v>145</v>
      </c>
    </row>
    <row r="66" spans="1:27" x14ac:dyDescent="0.35">
      <c r="A66" t="s">
        <v>146</v>
      </c>
      <c r="B66" s="36">
        <v>25</v>
      </c>
      <c r="C66" t="s">
        <v>1</v>
      </c>
    </row>
    <row r="68" spans="1:27" x14ac:dyDescent="0.35">
      <c r="E68" s="12"/>
    </row>
    <row r="69" spans="1:27" x14ac:dyDescent="0.35">
      <c r="E69" s="12"/>
    </row>
    <row r="70" spans="1:27" x14ac:dyDescent="0.35">
      <c r="E70" s="12"/>
    </row>
    <row r="71" spans="1:27" x14ac:dyDescent="0.35">
      <c r="E71" s="12"/>
    </row>
    <row r="72" spans="1:27" x14ac:dyDescent="0.35">
      <c r="E72" s="12"/>
    </row>
    <row r="75" spans="1:27" ht="15" thickBot="1" x14ac:dyDescent="0.4">
      <c r="A75" s="15" t="s">
        <v>4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spans="1:27" x14ac:dyDescent="0.35">
      <c r="A76" t="s">
        <v>81</v>
      </c>
      <c r="B76" s="36">
        <v>0.4</v>
      </c>
      <c r="C76" t="s">
        <v>1</v>
      </c>
      <c r="D76" s="35"/>
      <c r="E76" s="35"/>
      <c r="O76" t="s">
        <v>72</v>
      </c>
    </row>
    <row r="77" spans="1:27" ht="15" thickBot="1" x14ac:dyDescent="0.4">
      <c r="A77" t="s">
        <v>82</v>
      </c>
      <c r="B77" s="36">
        <v>8</v>
      </c>
      <c r="C77" t="s">
        <v>2</v>
      </c>
      <c r="D77" s="35"/>
      <c r="E77" s="35"/>
      <c r="O77" s="6" t="s">
        <v>83</v>
      </c>
    </row>
    <row r="78" spans="1:27" ht="15" thickBot="1" x14ac:dyDescent="0.4">
      <c r="A78" t="s">
        <v>80</v>
      </c>
      <c r="B78" s="5">
        <f>B76/B77</f>
        <v>0.05</v>
      </c>
      <c r="C78" t="s">
        <v>7</v>
      </c>
      <c r="D78" s="35"/>
      <c r="E78" s="35"/>
    </row>
    <row r="90" spans="1:27" ht="15" thickBot="1" x14ac:dyDescent="0.4">
      <c r="A90" s="15" t="s">
        <v>8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spans="1:27" x14ac:dyDescent="0.35">
      <c r="A91" s="10" t="s">
        <v>74</v>
      </c>
      <c r="B91" s="36">
        <v>8</v>
      </c>
      <c r="C91" t="s">
        <v>1</v>
      </c>
      <c r="O91" t="s">
        <v>72</v>
      </c>
      <c r="Q91" t="s">
        <v>79</v>
      </c>
    </row>
    <row r="92" spans="1:27" x14ac:dyDescent="0.35">
      <c r="A92" t="s">
        <v>46</v>
      </c>
      <c r="B92" s="36">
        <f>B31</f>
        <v>0.57894736842105265</v>
      </c>
      <c r="C92" t="s">
        <v>62</v>
      </c>
      <c r="O92" s="6" t="s">
        <v>12</v>
      </c>
    </row>
    <row r="93" spans="1:27" ht="15" thickBot="1" x14ac:dyDescent="0.4">
      <c r="A93" t="s">
        <v>149</v>
      </c>
      <c r="B93" s="36">
        <v>20</v>
      </c>
      <c r="C93" t="s">
        <v>150</v>
      </c>
      <c r="O93" s="6"/>
    </row>
    <row r="94" spans="1:27" ht="15" thickBot="1" x14ac:dyDescent="0.4">
      <c r="A94" s="10" t="s">
        <v>75</v>
      </c>
      <c r="B94" s="5">
        <f>B102*B93/100</f>
        <v>0.30555555555555552</v>
      </c>
      <c r="C94" t="s">
        <v>2</v>
      </c>
      <c r="D94" s="17"/>
    </row>
    <row r="95" spans="1:27" ht="15" thickBot="1" x14ac:dyDescent="0.4">
      <c r="A95" s="10" t="s">
        <v>6</v>
      </c>
      <c r="B95" s="36">
        <f>2*10^6</f>
        <v>2000000</v>
      </c>
      <c r="C95" t="s">
        <v>15</v>
      </c>
    </row>
    <row r="96" spans="1:27" ht="15" thickBot="1" x14ac:dyDescent="0.4">
      <c r="A96" t="s">
        <v>9</v>
      </c>
      <c r="B96" s="5">
        <f>(B91*B92)/(B94*B95)</f>
        <v>7.5789473684210544E-6</v>
      </c>
      <c r="C96" t="s">
        <v>63</v>
      </c>
      <c r="D96" t="s">
        <v>152</v>
      </c>
      <c r="E96" s="38"/>
    </row>
    <row r="97" spans="1:6" x14ac:dyDescent="0.35">
      <c r="B97" s="8"/>
    </row>
    <row r="98" spans="1:6" x14ac:dyDescent="0.35">
      <c r="A98" t="s">
        <v>77</v>
      </c>
      <c r="B98" s="37">
        <v>11</v>
      </c>
      <c r="C98" t="s">
        <v>1</v>
      </c>
    </row>
    <row r="99" spans="1:6" x14ac:dyDescent="0.35">
      <c r="A99" t="s">
        <v>23</v>
      </c>
      <c r="B99" s="37">
        <f>B26</f>
        <v>1</v>
      </c>
      <c r="C99" t="s">
        <v>2</v>
      </c>
    </row>
    <row r="100" spans="1:6" x14ac:dyDescent="0.35">
      <c r="A100" t="s">
        <v>57</v>
      </c>
      <c r="B100" s="37">
        <f>B23</f>
        <v>8</v>
      </c>
      <c r="C100" t="s">
        <v>1</v>
      </c>
    </row>
    <row r="101" spans="1:6" ht="15" thickBot="1" x14ac:dyDescent="0.4">
      <c r="A101" t="s">
        <v>154</v>
      </c>
      <c r="B101" s="37">
        <v>90</v>
      </c>
      <c r="C101" t="s">
        <v>150</v>
      </c>
    </row>
    <row r="102" spans="1:6" x14ac:dyDescent="0.35">
      <c r="A102" t="s">
        <v>76</v>
      </c>
      <c r="B102" s="48">
        <f>(B98*B99)/(B100*B101/100)</f>
        <v>1.5277777777777777</v>
      </c>
      <c r="C102" t="s">
        <v>2</v>
      </c>
      <c r="D102" t="s">
        <v>152</v>
      </c>
    </row>
    <row r="103" spans="1:6" x14ac:dyDescent="0.35">
      <c r="A103" t="s">
        <v>178</v>
      </c>
      <c r="B103" s="49">
        <f>(B91*B92)/(B95*B136)</f>
        <v>0.15438596491228074</v>
      </c>
    </row>
    <row r="104" spans="1:6" x14ac:dyDescent="0.35">
      <c r="A104" t="s">
        <v>78</v>
      </c>
      <c r="B104" s="37">
        <f>B102</f>
        <v>1.5277777777777777</v>
      </c>
      <c r="C104" t="s">
        <v>2</v>
      </c>
    </row>
    <row r="105" spans="1:6" x14ac:dyDescent="0.35">
      <c r="A105" t="s">
        <v>47</v>
      </c>
      <c r="B105" s="36">
        <f>B103</f>
        <v>0.15438596491228074</v>
      </c>
      <c r="C105" t="s">
        <v>2</v>
      </c>
    </row>
    <row r="106" spans="1:6" ht="15" thickBot="1" x14ac:dyDescent="0.4">
      <c r="A106" t="s">
        <v>48</v>
      </c>
      <c r="B106" s="36">
        <f>B105</f>
        <v>0.15438596491228074</v>
      </c>
      <c r="C106" t="s">
        <v>2</v>
      </c>
    </row>
    <row r="107" spans="1:6" ht="15" thickBot="1" x14ac:dyDescent="0.4">
      <c r="A107" t="s">
        <v>10</v>
      </c>
      <c r="B107" s="5">
        <f>B104+B105/2</f>
        <v>1.604970760233918</v>
      </c>
      <c r="C107" s="4" t="s">
        <v>2</v>
      </c>
    </row>
    <row r="108" spans="1:6" ht="15" thickBot="1" x14ac:dyDescent="0.4">
      <c r="A108" t="s">
        <v>11</v>
      </c>
      <c r="B108" s="11">
        <f>B99+B106/2</f>
        <v>1.0771929824561404</v>
      </c>
      <c r="C108" s="4" t="s">
        <v>2</v>
      </c>
    </row>
    <row r="109" spans="1:6" ht="15" thickBot="1" x14ac:dyDescent="0.4">
      <c r="A109" t="s">
        <v>151</v>
      </c>
      <c r="B109" s="5">
        <f>B107-B108</f>
        <v>0.52777777777777768</v>
      </c>
      <c r="C109" t="s">
        <v>2</v>
      </c>
      <c r="D109" s="41">
        <f>B109/B104*100</f>
        <v>34.54545454545454</v>
      </c>
      <c r="E109" t="s">
        <v>150</v>
      </c>
      <c r="F109" t="s">
        <v>155</v>
      </c>
    </row>
    <row r="130" spans="1:27" ht="15" thickBot="1" x14ac:dyDescent="0.4">
      <c r="A130" s="15" t="s">
        <v>13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spans="1:27" ht="15" thickBot="1" x14ac:dyDescent="0.4">
      <c r="A131" t="s">
        <v>65</v>
      </c>
      <c r="B131" s="39">
        <f>(B132*B133)/(B135*B134)</f>
        <v>0.13157894736842105</v>
      </c>
      <c r="C131" t="s">
        <v>1</v>
      </c>
      <c r="D131" t="s">
        <v>140</v>
      </c>
      <c r="E131" s="40" t="s">
        <v>14</v>
      </c>
      <c r="R131" t="s">
        <v>71</v>
      </c>
    </row>
    <row r="132" spans="1:27" x14ac:dyDescent="0.35">
      <c r="A132" t="s">
        <v>64</v>
      </c>
      <c r="B132">
        <f>B26</f>
        <v>1</v>
      </c>
      <c r="C132" t="s">
        <v>2</v>
      </c>
    </row>
    <row r="133" spans="1:27" x14ac:dyDescent="0.35">
      <c r="A133" t="s">
        <v>46</v>
      </c>
      <c r="B133" s="36">
        <f>B92</f>
        <v>0.57894736842105265</v>
      </c>
      <c r="C133" t="s">
        <v>62</v>
      </c>
    </row>
    <row r="134" spans="1:27" x14ac:dyDescent="0.35">
      <c r="A134" t="s">
        <v>6</v>
      </c>
      <c r="B134" s="36">
        <f>B95</f>
        <v>2000000</v>
      </c>
      <c r="C134" t="s">
        <v>15</v>
      </c>
    </row>
    <row r="135" spans="1:27" x14ac:dyDescent="0.35">
      <c r="A135" t="s">
        <v>66</v>
      </c>
      <c r="B135" s="36">
        <f>2.2*10^-6</f>
        <v>2.2000000000000001E-6</v>
      </c>
      <c r="C135" t="s">
        <v>39</v>
      </c>
    </row>
    <row r="136" spans="1:27" x14ac:dyDescent="0.35">
      <c r="A136" t="s">
        <v>67</v>
      </c>
      <c r="B136" s="36">
        <f>15*10^-6</f>
        <v>1.4999999999999999E-5</v>
      </c>
      <c r="C136" t="s">
        <v>63</v>
      </c>
      <c r="D136" s="9"/>
    </row>
    <row r="137" spans="1:27" ht="15" thickBot="1" x14ac:dyDescent="0.4">
      <c r="A137" t="s">
        <v>68</v>
      </c>
      <c r="B137" s="36">
        <f>B136</f>
        <v>1.4999999999999999E-5</v>
      </c>
      <c r="C137" t="s">
        <v>63</v>
      </c>
    </row>
    <row r="138" spans="1:27" ht="15" thickBot="1" x14ac:dyDescent="0.4">
      <c r="A138" t="s">
        <v>69</v>
      </c>
      <c r="B138" s="5">
        <f>1/(2*PI()*SQRT((B136+B137)*B135))</f>
        <v>19590.619241912249</v>
      </c>
      <c r="C138" t="s">
        <v>15</v>
      </c>
    </row>
    <row r="139" spans="1:27" ht="15" thickBot="1" x14ac:dyDescent="0.4">
      <c r="A139" t="s">
        <v>70</v>
      </c>
      <c r="B139" s="5">
        <f>SQRT((B136+B137)/B135)</f>
        <v>3.692744729379982</v>
      </c>
      <c r="C139" t="s">
        <v>7</v>
      </c>
    </row>
    <row r="143" spans="1:27" x14ac:dyDescent="0.35">
      <c r="O143" t="s">
        <v>72</v>
      </c>
    </row>
    <row r="144" spans="1:27" x14ac:dyDescent="0.35">
      <c r="O144" s="6" t="s">
        <v>73</v>
      </c>
    </row>
    <row r="158" spans="1:27" ht="15" thickBot="1" x14ac:dyDescent="0.4">
      <c r="A158" s="15" t="s">
        <v>16</v>
      </c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1:27" x14ac:dyDescent="0.35">
      <c r="A159" t="s">
        <v>23</v>
      </c>
      <c r="B159" s="36">
        <f>B132</f>
        <v>1</v>
      </c>
      <c r="C159" t="s">
        <v>2</v>
      </c>
    </row>
    <row r="160" spans="1:27" x14ac:dyDescent="0.35">
      <c r="A160" t="s">
        <v>46</v>
      </c>
      <c r="B160" s="36">
        <f>B133</f>
        <v>0.57894736842105265</v>
      </c>
      <c r="C160" t="s">
        <v>62</v>
      </c>
      <c r="N160" t="s">
        <v>72</v>
      </c>
    </row>
    <row r="161" spans="1:14" x14ac:dyDescent="0.35">
      <c r="A161" t="s">
        <v>55</v>
      </c>
      <c r="B161" s="36">
        <f>290*10^-6</f>
        <v>2.9E-4</v>
      </c>
      <c r="C161" t="s">
        <v>93</v>
      </c>
      <c r="N161" s="6" t="s">
        <v>156</v>
      </c>
    </row>
    <row r="162" spans="1:14" x14ac:dyDescent="0.35">
      <c r="A162" t="s">
        <v>6</v>
      </c>
      <c r="B162" s="36">
        <f>2*10^6</f>
        <v>2000000</v>
      </c>
      <c r="C162" t="s">
        <v>15</v>
      </c>
    </row>
    <row r="163" spans="1:14" x14ac:dyDescent="0.35">
      <c r="A163" t="s">
        <v>17</v>
      </c>
      <c r="B163" s="36">
        <f>B137</f>
        <v>1.4999999999999999E-5</v>
      </c>
      <c r="C163" t="s">
        <v>63</v>
      </c>
    </row>
    <row r="164" spans="1:14" x14ac:dyDescent="0.35">
      <c r="A164" t="s">
        <v>56</v>
      </c>
      <c r="B164" s="36">
        <v>0.02</v>
      </c>
      <c r="C164" t="s">
        <v>7</v>
      </c>
    </row>
    <row r="165" spans="1:14" x14ac:dyDescent="0.35">
      <c r="A165" t="s">
        <v>57</v>
      </c>
      <c r="B165" s="36">
        <f>B23</f>
        <v>8</v>
      </c>
      <c r="C165" t="s">
        <v>1</v>
      </c>
    </row>
    <row r="166" spans="1:14" ht="15" thickBot="1" x14ac:dyDescent="0.4"/>
    <row r="167" spans="1:14" ht="15" thickBot="1" x14ac:dyDescent="0.4">
      <c r="A167" t="s">
        <v>58</v>
      </c>
      <c r="B167" s="5">
        <f>B159*B160/(B161*B162)+(B159/(1-B160)+(B160*B165)/(2*B162*B163))*B164</f>
        <v>5.0042044767090142E-2</v>
      </c>
      <c r="C167" t="s">
        <v>1</v>
      </c>
    </row>
    <row r="168" spans="1:14" ht="15" thickBot="1" x14ac:dyDescent="0.4">
      <c r="A168" t="s">
        <v>59</v>
      </c>
      <c r="B168" s="5">
        <f>SQRT(B159^2*B160+(B170^2*B171^2/3-B170*B171)*(1-B160))</f>
        <v>0.63096324709293072</v>
      </c>
      <c r="C168" t="s">
        <v>2</v>
      </c>
      <c r="D168" t="s">
        <v>139</v>
      </c>
      <c r="E168" s="7">
        <v>0.85</v>
      </c>
      <c r="F168" t="s">
        <v>2</v>
      </c>
    </row>
    <row r="169" spans="1:14" ht="15" thickBot="1" x14ac:dyDescent="0.4"/>
    <row r="170" spans="1:14" ht="15" thickBot="1" x14ac:dyDescent="0.4">
      <c r="A170" t="s">
        <v>60</v>
      </c>
      <c r="B170" s="5">
        <f>B172+B173-B174</f>
        <v>1.6821637426900584</v>
      </c>
      <c r="C170" t="s">
        <v>2</v>
      </c>
    </row>
    <row r="171" spans="1:14" ht="15" thickBot="1" x14ac:dyDescent="0.4">
      <c r="A171" t="s">
        <v>61</v>
      </c>
      <c r="B171" s="5">
        <f>B175+B176</f>
        <v>0.30877192982456148</v>
      </c>
      <c r="C171" t="s">
        <v>2</v>
      </c>
    </row>
    <row r="172" spans="1:14" x14ac:dyDescent="0.35">
      <c r="A172" t="s">
        <v>42</v>
      </c>
      <c r="B172" s="36">
        <f>B107</f>
        <v>1.604970760233918</v>
      </c>
      <c r="C172" t="s">
        <v>2</v>
      </c>
    </row>
    <row r="173" spans="1:14" x14ac:dyDescent="0.35">
      <c r="A173" t="s">
        <v>43</v>
      </c>
      <c r="B173" s="36">
        <f>B108</f>
        <v>1.0771929824561404</v>
      </c>
      <c r="C173" t="s">
        <v>2</v>
      </c>
    </row>
    <row r="174" spans="1:14" x14ac:dyDescent="0.35">
      <c r="A174" t="s">
        <v>64</v>
      </c>
      <c r="B174" s="36">
        <f>B99</f>
        <v>1</v>
      </c>
      <c r="C174" t="s">
        <v>2</v>
      </c>
    </row>
    <row r="175" spans="1:14" x14ac:dyDescent="0.35">
      <c r="A175" t="s">
        <v>47</v>
      </c>
      <c r="B175" s="36">
        <f>B105</f>
        <v>0.15438596491228074</v>
      </c>
      <c r="C175" t="s">
        <v>2</v>
      </c>
    </row>
    <row r="176" spans="1:14" x14ac:dyDescent="0.35">
      <c r="A176" t="s">
        <v>48</v>
      </c>
      <c r="B176" s="36">
        <f>B175</f>
        <v>0.15438596491228074</v>
      </c>
      <c r="C176" t="s">
        <v>2</v>
      </c>
    </row>
    <row r="180" spans="1:27" ht="15" thickBot="1" x14ac:dyDescent="0.4">
      <c r="A180" s="15" t="s">
        <v>18</v>
      </c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spans="1:27" ht="15" thickBot="1" x14ac:dyDescent="0.4">
      <c r="A181" t="s">
        <v>47</v>
      </c>
      <c r="B181" s="36">
        <f>B175</f>
        <v>0.15438596491228074</v>
      </c>
      <c r="C181" t="s">
        <v>2</v>
      </c>
    </row>
    <row r="182" spans="1:27" ht="15" thickBot="1" x14ac:dyDescent="0.4">
      <c r="A182" t="s">
        <v>54</v>
      </c>
      <c r="B182" s="5">
        <f>B181/SQRT(12)</f>
        <v>4.4567389200602707E-2</v>
      </c>
      <c r="C182" t="s">
        <v>2</v>
      </c>
      <c r="N182" t="s">
        <v>72</v>
      </c>
    </row>
    <row r="183" spans="1:27" x14ac:dyDescent="0.35">
      <c r="N183" s="6" t="s">
        <v>157</v>
      </c>
    </row>
    <row r="193" spans="1:26" ht="15" thickBot="1" x14ac:dyDescent="0.4">
      <c r="A193" s="15" t="s">
        <v>19</v>
      </c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x14ac:dyDescent="0.35">
      <c r="A194" t="s">
        <v>50</v>
      </c>
      <c r="B194" s="36">
        <f>B98</f>
        <v>11</v>
      </c>
      <c r="C194" t="s">
        <v>1</v>
      </c>
    </row>
    <row r="195" spans="1:26" x14ac:dyDescent="0.35">
      <c r="A195" t="s">
        <v>51</v>
      </c>
      <c r="B195" s="36">
        <v>1.2</v>
      </c>
      <c r="C195" s="7" t="s">
        <v>1</v>
      </c>
      <c r="N195" t="s">
        <v>158</v>
      </c>
    </row>
    <row r="196" spans="1:26" ht="15" thickBot="1" x14ac:dyDescent="0.4">
      <c r="A196" t="s">
        <v>52</v>
      </c>
      <c r="B196" s="36">
        <v>5620</v>
      </c>
      <c r="C196" t="s">
        <v>7</v>
      </c>
      <c r="N196" s="6" t="s">
        <v>162</v>
      </c>
    </row>
    <row r="197" spans="1:26" ht="15" thickBot="1" x14ac:dyDescent="0.4">
      <c r="A197" t="s">
        <v>53</v>
      </c>
      <c r="B197" s="5">
        <f>B196*(B194-B195)/B195</f>
        <v>45896.666666666672</v>
      </c>
      <c r="C197" t="s">
        <v>7</v>
      </c>
      <c r="D197">
        <f>B194/(2*(B196+B198))</f>
        <v>9.6260428213056407E-5</v>
      </c>
      <c r="N197" t="s">
        <v>159</v>
      </c>
    </row>
    <row r="198" spans="1:26" ht="15" thickBot="1" x14ac:dyDescent="0.4">
      <c r="A198" t="s">
        <v>160</v>
      </c>
      <c r="B198" s="5">
        <f>B197+B196</f>
        <v>51516.666666666672</v>
      </c>
      <c r="C198" t="s">
        <v>7</v>
      </c>
      <c r="D198" s="36" t="s">
        <v>5</v>
      </c>
      <c r="N198" s="6" t="s">
        <v>161</v>
      </c>
    </row>
    <row r="207" spans="1:26" ht="15" thickBot="1" x14ac:dyDescent="0.4">
      <c r="A207" s="15" t="s">
        <v>20</v>
      </c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x14ac:dyDescent="0.35">
      <c r="A208" t="s">
        <v>42</v>
      </c>
      <c r="B208" s="36">
        <f>B107</f>
        <v>1.604970760233918</v>
      </c>
      <c r="C208" t="s">
        <v>2</v>
      </c>
    </row>
    <row r="209" spans="1:3" ht="15" thickBot="1" x14ac:dyDescent="0.4">
      <c r="A209" t="s">
        <v>43</v>
      </c>
      <c r="B209" s="36">
        <f>B108</f>
        <v>1.0771929824561404</v>
      </c>
      <c r="C209" t="s">
        <v>2</v>
      </c>
    </row>
    <row r="210" spans="1:3" ht="15" thickBot="1" x14ac:dyDescent="0.4">
      <c r="A210" t="s">
        <v>44</v>
      </c>
      <c r="B210" s="5">
        <f>B208+B209</f>
        <v>2.6821637426900584</v>
      </c>
      <c r="C210" t="s">
        <v>2</v>
      </c>
    </row>
    <row r="211" spans="1:3" x14ac:dyDescent="0.35">
      <c r="A211" t="s">
        <v>26</v>
      </c>
      <c r="B211" s="36">
        <v>11</v>
      </c>
      <c r="C211" t="s">
        <v>1</v>
      </c>
    </row>
    <row r="212" spans="1:3" ht="15" thickBot="1" x14ac:dyDescent="0.4">
      <c r="A212" t="s">
        <v>27</v>
      </c>
      <c r="B212" s="36">
        <v>32</v>
      </c>
      <c r="C212" t="s">
        <v>1</v>
      </c>
    </row>
    <row r="213" spans="1:3" ht="15" thickBot="1" x14ac:dyDescent="0.4">
      <c r="A213" t="s">
        <v>45</v>
      </c>
      <c r="B213" s="5">
        <f>B211+B212</f>
        <v>43</v>
      </c>
      <c r="C213" t="s">
        <v>1</v>
      </c>
    </row>
    <row r="215" spans="1:3" x14ac:dyDescent="0.35">
      <c r="A215" t="s">
        <v>46</v>
      </c>
      <c r="B215" s="36">
        <f>B160</f>
        <v>0.57894736842105265</v>
      </c>
      <c r="C215" t="s">
        <v>62</v>
      </c>
    </row>
    <row r="216" spans="1:3" x14ac:dyDescent="0.35">
      <c r="A216" t="s">
        <v>47</v>
      </c>
      <c r="B216" s="36">
        <f>B175</f>
        <v>0.15438596491228074</v>
      </c>
      <c r="C216" t="s">
        <v>2</v>
      </c>
    </row>
    <row r="217" spans="1:3" ht="15" thickBot="1" x14ac:dyDescent="0.4">
      <c r="A217" t="s">
        <v>48</v>
      </c>
      <c r="B217" s="36">
        <f>B216</f>
        <v>0.15438596491228074</v>
      </c>
      <c r="C217" t="s">
        <v>2</v>
      </c>
    </row>
    <row r="218" spans="1:3" ht="15" thickBot="1" x14ac:dyDescent="0.4">
      <c r="A218" t="s">
        <v>49</v>
      </c>
      <c r="B218" s="5">
        <f>SQRT(B215*(B210^2+((B216+B217)^2)/3-B210*(B216+B217)))</f>
        <v>1.9245458866693956</v>
      </c>
      <c r="C218" t="s">
        <v>2</v>
      </c>
    </row>
    <row r="227" spans="1:26" ht="15" thickBot="1" x14ac:dyDescent="0.4">
      <c r="A227" s="15" t="s">
        <v>21</v>
      </c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x14ac:dyDescent="0.35">
      <c r="A228" t="s">
        <v>36</v>
      </c>
      <c r="B228" s="42">
        <f>12*10^-9</f>
        <v>1.2000000000000002E-8</v>
      </c>
      <c r="C228" t="s">
        <v>39</v>
      </c>
      <c r="O228" t="s">
        <v>34</v>
      </c>
    </row>
    <row r="229" spans="1:26" x14ac:dyDescent="0.35">
      <c r="A229" t="s">
        <v>37</v>
      </c>
      <c r="B229" s="36">
        <v>0.12</v>
      </c>
      <c r="C229" t="s">
        <v>2</v>
      </c>
      <c r="O229" s="6" t="s">
        <v>35</v>
      </c>
    </row>
    <row r="230" spans="1:26" ht="15" thickBot="1" x14ac:dyDescent="0.4">
      <c r="A230" t="s">
        <v>38</v>
      </c>
      <c r="B230" s="36">
        <f>2*10^6</f>
        <v>2000000</v>
      </c>
      <c r="C230" t="s">
        <v>15</v>
      </c>
    </row>
    <row r="231" spans="1:26" ht="15" thickBot="1" x14ac:dyDescent="0.4">
      <c r="A231" t="s">
        <v>40</v>
      </c>
      <c r="B231" s="5">
        <f>B229/B230</f>
        <v>5.9999999999999995E-8</v>
      </c>
      <c r="C231" s="7" t="s">
        <v>39</v>
      </c>
    </row>
    <row r="232" spans="1:26" ht="15" thickBot="1" x14ac:dyDescent="0.4"/>
    <row r="233" spans="1:26" ht="15" thickBot="1" x14ac:dyDescent="0.4">
      <c r="A233" t="s">
        <v>41</v>
      </c>
      <c r="B233" s="43" t="str">
        <f>IF(B228&lt;=B231,"OK","FAIL")</f>
        <v>OK</v>
      </c>
    </row>
    <row r="234" spans="1:26" ht="15" thickBot="1" x14ac:dyDescent="0.4"/>
    <row r="235" spans="1:26" ht="15" thickBot="1" x14ac:dyDescent="0.4">
      <c r="A235" t="s">
        <v>163</v>
      </c>
      <c r="B235" s="5"/>
    </row>
    <row r="236" spans="1:26" ht="15" thickBot="1" x14ac:dyDescent="0.4">
      <c r="A236" t="s">
        <v>164</v>
      </c>
      <c r="B236" s="5"/>
    </row>
    <row r="237" spans="1:26" ht="15" thickBot="1" x14ac:dyDescent="0.4">
      <c r="A237" t="s">
        <v>165</v>
      </c>
      <c r="B237" s="5"/>
    </row>
    <row r="246" spans="1:26" ht="15" thickBot="1" x14ac:dyDescent="0.4">
      <c r="A246" s="15" t="s">
        <v>22</v>
      </c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x14ac:dyDescent="0.35">
      <c r="A247" t="s">
        <v>23</v>
      </c>
      <c r="B247" s="37">
        <v>1</v>
      </c>
      <c r="C247" t="s">
        <v>2</v>
      </c>
      <c r="O247" t="s">
        <v>31</v>
      </c>
    </row>
    <row r="248" spans="1:26" ht="15" thickBot="1" x14ac:dyDescent="0.4">
      <c r="A248" t="s">
        <v>24</v>
      </c>
      <c r="B248" s="36">
        <f>B247</f>
        <v>1</v>
      </c>
      <c r="C248" t="s">
        <v>2</v>
      </c>
      <c r="O248" s="6" t="s">
        <v>32</v>
      </c>
    </row>
    <row r="249" spans="1:26" ht="15" thickBot="1" x14ac:dyDescent="0.4">
      <c r="A249" t="s">
        <v>25</v>
      </c>
      <c r="B249" s="5">
        <f>B250+B251</f>
        <v>43</v>
      </c>
      <c r="C249" t="s">
        <v>1</v>
      </c>
    </row>
    <row r="250" spans="1:26" x14ac:dyDescent="0.35">
      <c r="A250" t="s">
        <v>26</v>
      </c>
      <c r="B250" s="36">
        <v>11</v>
      </c>
      <c r="C250" t="s">
        <v>1</v>
      </c>
    </row>
    <row r="251" spans="1:26" x14ac:dyDescent="0.35">
      <c r="A251" t="s">
        <v>27</v>
      </c>
      <c r="B251" s="36">
        <v>32</v>
      </c>
      <c r="C251" t="s">
        <v>1</v>
      </c>
    </row>
    <row r="252" spans="1:26" ht="15" thickBot="1" x14ac:dyDescent="0.4">
      <c r="A252" t="s">
        <v>28</v>
      </c>
      <c r="B252" s="36">
        <v>0.67</v>
      </c>
      <c r="C252" t="s">
        <v>1</v>
      </c>
      <c r="D252" t="s">
        <v>33</v>
      </c>
    </row>
    <row r="253" spans="1:26" ht="15" thickBot="1" x14ac:dyDescent="0.4">
      <c r="A253" t="s">
        <v>29</v>
      </c>
      <c r="B253" s="5">
        <f>B252*B247</f>
        <v>0.67</v>
      </c>
      <c r="C253" t="s">
        <v>30</v>
      </c>
    </row>
    <row r="254" spans="1:26" x14ac:dyDescent="0.35">
      <c r="A254" t="s">
        <v>191</v>
      </c>
      <c r="B254" s="37">
        <v>8</v>
      </c>
      <c r="C254" t="s">
        <v>1</v>
      </c>
    </row>
    <row r="265" spans="1:7" x14ac:dyDescent="0.35">
      <c r="A265" s="1" t="s">
        <v>189</v>
      </c>
    </row>
    <row r="266" spans="1:7" x14ac:dyDescent="0.35">
      <c r="D266">
        <f>B266^2*B267*B268+B269*(MAX(B270,B271+B272))*(B273+B274)/2*B275</f>
        <v>6.0080467836257307</v>
      </c>
    </row>
    <row r="267" spans="1:7" x14ac:dyDescent="0.35">
      <c r="A267" t="s">
        <v>180</v>
      </c>
      <c r="B267">
        <f>20.8/1000</f>
        <v>2.0799999999999999E-2</v>
      </c>
      <c r="E267" t="s">
        <v>179</v>
      </c>
      <c r="F267">
        <f>B247*SQRT(((B250+B254+B252)*(B250+B252))/(B254^2))</f>
        <v>1.8938589077594985</v>
      </c>
      <c r="G267" t="s">
        <v>2</v>
      </c>
    </row>
    <row r="268" spans="1:7" x14ac:dyDescent="0.35">
      <c r="A268" t="s">
        <v>87</v>
      </c>
      <c r="B268">
        <f>B215</f>
        <v>0.57894736842105265</v>
      </c>
      <c r="E268" t="s">
        <v>192</v>
      </c>
      <c r="F268">
        <f>(F267^2)*B267*B268+B269*(B254+B250)*(4.2*10^-9)*B275/F269</f>
        <v>1.2917386599853802</v>
      </c>
      <c r="G268" t="s">
        <v>188</v>
      </c>
    </row>
    <row r="269" spans="1:7" x14ac:dyDescent="0.35">
      <c r="A269" t="s">
        <v>181</v>
      </c>
      <c r="B269">
        <f>B210</f>
        <v>2.6821637426900584</v>
      </c>
      <c r="E269" t="s">
        <v>193</v>
      </c>
      <c r="F269">
        <f>(12*10^-9)/(35*10^-9)</f>
        <v>0.34285714285714286</v>
      </c>
      <c r="G269" t="s">
        <v>2</v>
      </c>
    </row>
    <row r="270" spans="1:7" x14ac:dyDescent="0.35">
      <c r="A270" t="s">
        <v>187</v>
      </c>
      <c r="B270">
        <v>32</v>
      </c>
    </row>
    <row r="271" spans="1:7" x14ac:dyDescent="0.35">
      <c r="A271" t="s">
        <v>182</v>
      </c>
      <c r="B271">
        <v>11</v>
      </c>
    </row>
    <row r="272" spans="1:7" x14ac:dyDescent="0.35">
      <c r="A272" t="s">
        <v>183</v>
      </c>
      <c r="B272">
        <v>0.67</v>
      </c>
    </row>
    <row r="273" spans="1:2" x14ac:dyDescent="0.35">
      <c r="A273" t="s">
        <v>184</v>
      </c>
      <c r="B273">
        <f>35*10^-9</f>
        <v>3.5000000000000002E-8</v>
      </c>
    </row>
    <row r="274" spans="1:2" x14ac:dyDescent="0.35">
      <c r="A274" t="s">
        <v>185</v>
      </c>
      <c r="B274">
        <f>35*10^-9</f>
        <v>3.5000000000000002E-8</v>
      </c>
    </row>
    <row r="275" spans="1:2" x14ac:dyDescent="0.35">
      <c r="A275" t="s">
        <v>186</v>
      </c>
      <c r="B275">
        <f>B230</f>
        <v>2000000</v>
      </c>
    </row>
    <row r="276" spans="1:2" x14ac:dyDescent="0.35">
      <c r="A276" t="s">
        <v>190</v>
      </c>
      <c r="B276">
        <v>4.2</v>
      </c>
    </row>
  </sheetData>
  <hyperlinks>
    <hyperlink ref="O248" r:id="rId1" xr:uid="{CB465349-4289-4129-BEDD-2403450E1427}"/>
    <hyperlink ref="O229" r:id="rId2" xr:uid="{3F7E0A9D-9770-49A9-B3F9-5C417391C9E2}"/>
    <hyperlink ref="O144" r:id="rId3" xr:uid="{E752AF20-83BB-43A0-883D-187C6D726EE4}"/>
    <hyperlink ref="O92" r:id="rId4" xr:uid="{3788F54D-5593-4210-ABC1-32944F7C76F2}"/>
    <hyperlink ref="O77" r:id="rId5" xr:uid="{41462D16-283B-4E73-8EB1-B4E64ABC3B86}"/>
    <hyperlink ref="O25" r:id="rId6" xr:uid="{D534C2E8-3B0C-4C41-8508-F0AE668EE609}"/>
    <hyperlink ref="N161" r:id="rId7" xr:uid="{2C43C66B-915D-4D89-AA98-68E4311F8A32}"/>
    <hyperlink ref="M56" r:id="rId8" xr:uid="{8F012C21-5FE8-4BF0-A532-6B61D917A6FC}"/>
    <hyperlink ref="A21" r:id="rId9" location="overview" xr:uid="{017FB9B5-26A1-41CA-A3B4-7CA670E5B450}"/>
    <hyperlink ref="N183" r:id="rId10" xr:uid="{40BE704C-D44F-42C0-81C9-EBFB516123C8}"/>
    <hyperlink ref="N196" r:id="rId11" xr:uid="{9B55F25A-C429-44CB-B3C7-B27EB0A3C0CA}"/>
    <hyperlink ref="N198" r:id="rId12" xr:uid="{93F12B9C-918C-4B32-8E71-355C5EE2F6AE}"/>
  </hyperlinks>
  <pageMargins left="0.7" right="0.7" top="0.75" bottom="0.75" header="0.3" footer="0.3"/>
  <pageSetup paperSize="9" orientation="portrait" r:id="rId13"/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0D283-BB53-4A5A-9BB5-C71BCDDB1AEE}">
  <dimension ref="A1:C13"/>
  <sheetViews>
    <sheetView workbookViewId="0">
      <selection activeCell="H21" sqref="H21"/>
    </sheetView>
  </sheetViews>
  <sheetFormatPr defaultRowHeight="14.5" x14ac:dyDescent="0.35"/>
  <cols>
    <col min="2" max="2" width="13.26953125" bestFit="1" customWidth="1"/>
  </cols>
  <sheetData>
    <row r="1" spans="1:3" x14ac:dyDescent="0.35">
      <c r="A1" t="s">
        <v>166</v>
      </c>
      <c r="B1">
        <v>4.7</v>
      </c>
      <c r="C1" t="s">
        <v>175</v>
      </c>
    </row>
    <row r="2" spans="1:3" x14ac:dyDescent="0.35">
      <c r="A2" t="s">
        <v>167</v>
      </c>
      <c r="B2">
        <v>330</v>
      </c>
      <c r="C2" t="s">
        <v>145</v>
      </c>
    </row>
    <row r="3" spans="1:3" x14ac:dyDescent="0.35">
      <c r="A3" t="s">
        <v>168</v>
      </c>
      <c r="B3">
        <f>1/(2*PI()*SQRT(B1*10^6*B2*10^6))</f>
        <v>4.0412361826949262E-9</v>
      </c>
      <c r="C3" t="s">
        <v>15</v>
      </c>
    </row>
    <row r="5" spans="1:3" x14ac:dyDescent="0.35">
      <c r="A5" t="s">
        <v>169</v>
      </c>
      <c r="B5">
        <f>1.8*10^6</f>
        <v>1800000</v>
      </c>
      <c r="C5" t="s">
        <v>15</v>
      </c>
    </row>
    <row r="6" spans="1:3" x14ac:dyDescent="0.35">
      <c r="A6" t="s">
        <v>166</v>
      </c>
      <c r="B6">
        <f>1/((2*PI()*0.1*B5)^2*B2)</f>
        <v>2.3690886560591509E-15</v>
      </c>
    </row>
    <row r="9" spans="1:3" x14ac:dyDescent="0.35">
      <c r="A9" t="s">
        <v>174</v>
      </c>
      <c r="B9">
        <v>0.05</v>
      </c>
      <c r="C9" t="s">
        <v>7</v>
      </c>
    </row>
    <row r="10" spans="1:3" x14ac:dyDescent="0.35">
      <c r="A10" t="s">
        <v>170</v>
      </c>
      <c r="B10">
        <v>51</v>
      </c>
      <c r="C10" t="s">
        <v>145</v>
      </c>
    </row>
    <row r="11" spans="1:3" x14ac:dyDescent="0.35">
      <c r="A11" t="s">
        <v>171</v>
      </c>
      <c r="B11">
        <v>330</v>
      </c>
      <c r="C11" t="s">
        <v>145</v>
      </c>
    </row>
    <row r="12" spans="1:3" x14ac:dyDescent="0.35">
      <c r="A12" t="s">
        <v>172</v>
      </c>
      <c r="B12">
        <f>((B13+1)/B13)*B1/(2*B9*SQRT(B1*B10))</f>
        <v>3.5048939093547635</v>
      </c>
    </row>
    <row r="13" spans="1:3" x14ac:dyDescent="0.35">
      <c r="A13" t="s">
        <v>173</v>
      </c>
      <c r="B13">
        <f>B11/B10</f>
        <v>6.4705882352941178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33C3C-7CBB-4EA0-99EA-1E6331F592EF}">
  <sheetPr codeName="Munka2"/>
  <dimension ref="A1:AA114"/>
  <sheetViews>
    <sheetView workbookViewId="0">
      <selection activeCell="I5" sqref="I5"/>
    </sheetView>
  </sheetViews>
  <sheetFormatPr defaultRowHeight="14.5" x14ac:dyDescent="0.35"/>
  <cols>
    <col min="1" max="1" width="23.453125" customWidth="1"/>
    <col min="2" max="2" width="13.26953125" bestFit="1" customWidth="1"/>
    <col min="5" max="5" width="28.453125" customWidth="1"/>
    <col min="6" max="6" width="12" bestFit="1" customWidth="1"/>
    <col min="10" max="10" width="12" bestFit="1" customWidth="1"/>
  </cols>
  <sheetData>
    <row r="1" spans="1:25" x14ac:dyDescent="0.35">
      <c r="A1" t="s">
        <v>94</v>
      </c>
    </row>
    <row r="2" spans="1:25" x14ac:dyDescent="0.35">
      <c r="A2" s="6" t="s">
        <v>95</v>
      </c>
    </row>
    <row r="4" spans="1:25" ht="15" thickBot="1" x14ac:dyDescent="0.4">
      <c r="A4" s="15" t="s">
        <v>0</v>
      </c>
      <c r="B4" s="16"/>
      <c r="C4" s="16"/>
    </row>
    <row r="5" spans="1:25" x14ac:dyDescent="0.35">
      <c r="A5" t="s">
        <v>57</v>
      </c>
      <c r="B5">
        <v>8</v>
      </c>
      <c r="C5" t="s">
        <v>1</v>
      </c>
      <c r="E5">
        <v>8</v>
      </c>
    </row>
    <row r="6" spans="1:25" x14ac:dyDescent="0.35">
      <c r="A6" t="s">
        <v>27</v>
      </c>
      <c r="B6">
        <v>32</v>
      </c>
      <c r="C6" t="s">
        <v>1</v>
      </c>
      <c r="E6">
        <v>32</v>
      </c>
    </row>
    <row r="7" spans="1:25" x14ac:dyDescent="0.35">
      <c r="A7" t="s">
        <v>77</v>
      </c>
      <c r="B7">
        <v>11</v>
      </c>
      <c r="C7" t="s">
        <v>1</v>
      </c>
      <c r="E7">
        <v>11</v>
      </c>
    </row>
    <row r="8" spans="1:25" x14ac:dyDescent="0.35">
      <c r="A8" t="s">
        <v>23</v>
      </c>
      <c r="B8">
        <v>1</v>
      </c>
      <c r="C8" t="s">
        <v>2</v>
      </c>
      <c r="E8">
        <v>1</v>
      </c>
      <c r="J8" t="s">
        <v>177</v>
      </c>
    </row>
    <row r="9" spans="1:25" x14ac:dyDescent="0.35">
      <c r="A9" t="s">
        <v>85</v>
      </c>
      <c r="B9">
        <v>8</v>
      </c>
      <c r="C9" t="s">
        <v>2</v>
      </c>
      <c r="E9">
        <v>8</v>
      </c>
      <c r="J9" t="s">
        <v>176</v>
      </c>
    </row>
    <row r="11" spans="1:25" ht="15" thickBot="1" x14ac:dyDescent="0.4">
      <c r="A11" s="15" t="s">
        <v>96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 spans="1:25" x14ac:dyDescent="0.35">
      <c r="A12" t="s">
        <v>127</v>
      </c>
      <c r="B12" s="7">
        <v>0.9</v>
      </c>
      <c r="C12" t="s">
        <v>62</v>
      </c>
      <c r="E12" s="2" t="s">
        <v>134</v>
      </c>
      <c r="O12" t="s">
        <v>31</v>
      </c>
    </row>
    <row r="13" spans="1:25" x14ac:dyDescent="0.35">
      <c r="A13" t="s">
        <v>98</v>
      </c>
      <c r="B13" s="18">
        <f>ROUND((B7+B18)/(B5+B7+B18),2)</f>
        <v>0.59</v>
      </c>
      <c r="C13" t="s">
        <v>1</v>
      </c>
      <c r="D13" s="1">
        <v>1</v>
      </c>
    </row>
    <row r="14" spans="1:25" x14ac:dyDescent="0.35">
      <c r="A14" t="s">
        <v>99</v>
      </c>
      <c r="B14">
        <f>B13/(1-B13)*B8</f>
        <v>1.4390243902439022</v>
      </c>
      <c r="C14" t="s">
        <v>2</v>
      </c>
      <c r="D14" s="1">
        <v>2</v>
      </c>
      <c r="F14">
        <f>(B7+B18)/B5*B8</f>
        <v>1.45</v>
      </c>
    </row>
    <row r="15" spans="1:25" x14ac:dyDescent="0.35">
      <c r="A15" t="s">
        <v>128</v>
      </c>
      <c r="B15" s="7">
        <v>0.3</v>
      </c>
      <c r="C15" t="s">
        <v>62</v>
      </c>
      <c r="E15" s="2" t="s">
        <v>133</v>
      </c>
    </row>
    <row r="16" spans="1:25" x14ac:dyDescent="0.35">
      <c r="D16" s="1"/>
    </row>
    <row r="17" spans="1:27" x14ac:dyDescent="0.35">
      <c r="A17" s="47" t="s">
        <v>135</v>
      </c>
      <c r="B17" s="47"/>
      <c r="C17" s="47"/>
    </row>
    <row r="18" spans="1:27" x14ac:dyDescent="0.35">
      <c r="A18" t="s">
        <v>97</v>
      </c>
      <c r="B18">
        <v>0.6</v>
      </c>
      <c r="C18" t="s">
        <v>1</v>
      </c>
      <c r="D18" s="19"/>
    </row>
    <row r="19" spans="1:27" x14ac:dyDescent="0.35">
      <c r="A19" t="s">
        <v>29</v>
      </c>
      <c r="B19">
        <f>B8*B18</f>
        <v>0.6</v>
      </c>
      <c r="C19" t="s">
        <v>123</v>
      </c>
    </row>
    <row r="20" spans="1:27" x14ac:dyDescent="0.35">
      <c r="A20" t="s">
        <v>113</v>
      </c>
      <c r="B20">
        <f>B73</f>
        <v>3.0546070460704602</v>
      </c>
      <c r="C20" t="s">
        <v>2</v>
      </c>
      <c r="D20" s="1">
        <v>12</v>
      </c>
    </row>
    <row r="24" spans="1:27" ht="15" thickBot="1" x14ac:dyDescent="0.4">
      <c r="A24" s="15" t="s">
        <v>100</v>
      </c>
      <c r="B24" s="15"/>
      <c r="C24" s="15"/>
      <c r="D24" s="15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x14ac:dyDescent="0.35">
      <c r="A25" s="45" t="s">
        <v>125</v>
      </c>
      <c r="B25" s="45"/>
      <c r="C25" s="45"/>
      <c r="D25" s="45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x14ac:dyDescent="0.35">
      <c r="A26" s="30" t="s">
        <v>129</v>
      </c>
      <c r="B26">
        <f>1.8*10^6</f>
        <v>1800000</v>
      </c>
      <c r="C26" s="30" t="s">
        <v>15</v>
      </c>
      <c r="D26" s="29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x14ac:dyDescent="0.35">
      <c r="A27" t="s">
        <v>130</v>
      </c>
      <c r="B27">
        <f>2*10^6</f>
        <v>2000000</v>
      </c>
      <c r="C27" t="s">
        <v>15</v>
      </c>
    </row>
    <row r="28" spans="1:27" x14ac:dyDescent="0.35">
      <c r="A28" t="s">
        <v>120</v>
      </c>
      <c r="B28">
        <f>B14/B12</f>
        <v>1.5989159891598912</v>
      </c>
      <c r="C28" t="s">
        <v>2</v>
      </c>
    </row>
    <row r="29" spans="1:27" x14ac:dyDescent="0.35">
      <c r="A29" t="s">
        <v>101</v>
      </c>
      <c r="B29">
        <f>B15*B14</f>
        <v>0.43170731707317062</v>
      </c>
      <c r="C29" t="s">
        <v>2</v>
      </c>
      <c r="D29" s="1">
        <v>3</v>
      </c>
    </row>
    <row r="30" spans="1:27" x14ac:dyDescent="0.35">
      <c r="A30" t="s">
        <v>109</v>
      </c>
      <c r="B30">
        <f>0.5*(B5*B13)/(B29*B27)</f>
        <v>2.733333333333334E-6</v>
      </c>
      <c r="C30" t="s">
        <v>63</v>
      </c>
      <c r="D30">
        <v>4</v>
      </c>
      <c r="E30" s="28"/>
    </row>
    <row r="31" spans="1:27" x14ac:dyDescent="0.35">
      <c r="A31" t="s">
        <v>102</v>
      </c>
      <c r="B31">
        <f>B28*(1+B15/2)</f>
        <v>1.8387533875338746</v>
      </c>
      <c r="C31" t="s">
        <v>2</v>
      </c>
      <c r="D31" s="1">
        <v>5</v>
      </c>
      <c r="E31" s="28"/>
    </row>
    <row r="32" spans="1:27" x14ac:dyDescent="0.35">
      <c r="A32" t="s">
        <v>107</v>
      </c>
      <c r="B32">
        <f>B8+B29/2</f>
        <v>1.2158536585365853</v>
      </c>
      <c r="C32" t="s">
        <v>2</v>
      </c>
      <c r="D32" s="1"/>
      <c r="E32" s="28"/>
    </row>
    <row r="33" spans="1:8" x14ac:dyDescent="0.35">
      <c r="D33" s="1"/>
      <c r="E33" s="27"/>
    </row>
    <row r="34" spans="1:8" x14ac:dyDescent="0.35">
      <c r="A34" s="46" t="s">
        <v>136</v>
      </c>
      <c r="B34" s="46"/>
      <c r="C34" s="46"/>
      <c r="D34" s="46"/>
      <c r="E34" s="27"/>
    </row>
    <row r="35" spans="1:8" x14ac:dyDescent="0.35">
      <c r="A35" s="1" t="s">
        <v>131</v>
      </c>
    </row>
    <row r="36" spans="1:8" x14ac:dyDescent="0.35">
      <c r="A36" t="s">
        <v>55</v>
      </c>
      <c r="B36" s="17">
        <f>270*10^-6</f>
        <v>2.7E-4</v>
      </c>
      <c r="C36" t="s">
        <v>93</v>
      </c>
    </row>
    <row r="37" spans="1:8" x14ac:dyDescent="0.35">
      <c r="A37" t="s">
        <v>103</v>
      </c>
      <c r="B37">
        <v>0.16</v>
      </c>
      <c r="C37" t="s">
        <v>7</v>
      </c>
    </row>
    <row r="38" spans="1:8" x14ac:dyDescent="0.35">
      <c r="A38" t="s">
        <v>106</v>
      </c>
      <c r="B38" s="18">
        <f>B8*B13/(B36*B26)+B37*(B31+B32)</f>
        <v>0.48995111914082096</v>
      </c>
      <c r="C38" t="s">
        <v>1</v>
      </c>
      <c r="D38" s="1">
        <v>6</v>
      </c>
    </row>
    <row r="39" spans="1:8" x14ac:dyDescent="0.35">
      <c r="A39" t="s">
        <v>59</v>
      </c>
      <c r="B39">
        <f>B8*SQRT(B13/(1-B13))</f>
        <v>1.1995934270593109</v>
      </c>
      <c r="C39" t="s">
        <v>2</v>
      </c>
      <c r="D39" s="1">
        <v>8</v>
      </c>
    </row>
    <row r="40" spans="1:8" ht="15" thickBot="1" x14ac:dyDescent="0.4">
      <c r="D40" s="1"/>
    </row>
    <row r="41" spans="1:8" x14ac:dyDescent="0.35">
      <c r="A41" s="31" t="s">
        <v>132</v>
      </c>
      <c r="B41" s="21"/>
      <c r="C41" s="21"/>
      <c r="D41" s="22"/>
    </row>
    <row r="42" spans="1:8" x14ac:dyDescent="0.35">
      <c r="A42" s="23" t="s">
        <v>106</v>
      </c>
      <c r="B42" s="32">
        <v>0.1</v>
      </c>
      <c r="C42" s="8" t="s">
        <v>1</v>
      </c>
      <c r="D42" s="24"/>
      <c r="E42" s="28"/>
    </row>
    <row r="43" spans="1:8" x14ac:dyDescent="0.35">
      <c r="A43" s="23" t="s">
        <v>55</v>
      </c>
      <c r="B43" s="8">
        <f>B8*B13/(B42*B26)</f>
        <v>3.2777777777777778E-6</v>
      </c>
      <c r="C43" s="8" t="s">
        <v>93</v>
      </c>
      <c r="D43" s="33">
        <v>7</v>
      </c>
      <c r="E43" s="28"/>
    </row>
    <row r="44" spans="1:8" ht="15" thickBot="1" x14ac:dyDescent="0.4">
      <c r="A44" s="25" t="s">
        <v>59</v>
      </c>
      <c r="B44" s="16">
        <f>B8*SQRT(B13/(1-B13))</f>
        <v>1.1995934270593109</v>
      </c>
      <c r="C44" s="16" t="s">
        <v>2</v>
      </c>
      <c r="D44" s="34">
        <v>8</v>
      </c>
    </row>
    <row r="47" spans="1:8" x14ac:dyDescent="0.35">
      <c r="H47" t="s">
        <v>104</v>
      </c>
    </row>
    <row r="48" spans="1:8" x14ac:dyDescent="0.35">
      <c r="H48" s="6" t="s">
        <v>105</v>
      </c>
    </row>
    <row r="52" spans="1:25" ht="15" thickBot="1" x14ac:dyDescent="0.4">
      <c r="A52" s="15" t="s">
        <v>137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spans="1:25" x14ac:dyDescent="0.35">
      <c r="A53" s="30" t="s">
        <v>126</v>
      </c>
    </row>
    <row r="54" spans="1:25" x14ac:dyDescent="0.35">
      <c r="A54" t="s">
        <v>6</v>
      </c>
      <c r="B54">
        <f>2*10^6</f>
        <v>2000000</v>
      </c>
      <c r="C54" t="s">
        <v>15</v>
      </c>
    </row>
    <row r="55" spans="1:25" x14ac:dyDescent="0.35">
      <c r="A55" t="s">
        <v>111</v>
      </c>
      <c r="B55">
        <f>2.2*10^-6</f>
        <v>2.2000000000000001E-6</v>
      </c>
      <c r="C55" t="s">
        <v>93</v>
      </c>
    </row>
    <row r="56" spans="1:25" x14ac:dyDescent="0.35">
      <c r="A56" t="s">
        <v>54</v>
      </c>
      <c r="B56">
        <f>B29/SQRT(12)</f>
        <v>0.1246231678616631</v>
      </c>
      <c r="C56" t="s">
        <v>2</v>
      </c>
      <c r="D56" s="1">
        <v>9</v>
      </c>
    </row>
    <row r="57" spans="1:25" x14ac:dyDescent="0.35">
      <c r="A57" t="s">
        <v>108</v>
      </c>
      <c r="B57">
        <f>B28*SQRT((1-B13)/B13)</f>
        <v>1.3328815856214562</v>
      </c>
      <c r="C57" t="s">
        <v>2</v>
      </c>
      <c r="D57" s="1">
        <v>10</v>
      </c>
    </row>
    <row r="58" spans="1:25" x14ac:dyDescent="0.35">
      <c r="A58" t="s">
        <v>110</v>
      </c>
      <c r="B58">
        <f>B8*B13/(B55*B54)</f>
        <v>0.13409090909090907</v>
      </c>
      <c r="C58" t="s">
        <v>1</v>
      </c>
      <c r="D58" s="1">
        <v>11</v>
      </c>
    </row>
    <row r="71" spans="1:25" ht="15" thickBot="1" x14ac:dyDescent="0.4">
      <c r="A71" s="15" t="s">
        <v>112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spans="1:25" x14ac:dyDescent="0.35">
      <c r="A72" s="1" t="s">
        <v>138</v>
      </c>
    </row>
    <row r="73" spans="1:25" x14ac:dyDescent="0.35">
      <c r="A73" t="s">
        <v>113</v>
      </c>
      <c r="B73">
        <f>B31+B32</f>
        <v>3.0546070460704602</v>
      </c>
      <c r="C73" t="s">
        <v>2</v>
      </c>
      <c r="D73" s="1">
        <v>12</v>
      </c>
      <c r="E73" s="28"/>
    </row>
    <row r="74" spans="1:25" x14ac:dyDescent="0.35">
      <c r="A74" t="s">
        <v>114</v>
      </c>
      <c r="B74" s="7">
        <f>B75^2*B76*B13+B73*(B5+B7+B18)*(B77+B78)/2*B54</f>
        <v>1.4002575799972092</v>
      </c>
      <c r="C74" t="s">
        <v>30</v>
      </c>
      <c r="D74" s="1">
        <v>13</v>
      </c>
      <c r="E74" s="28"/>
    </row>
    <row r="75" spans="1:25" x14ac:dyDescent="0.35">
      <c r="A75" t="s">
        <v>115</v>
      </c>
      <c r="B75">
        <f>B28/SQRT(B13)</f>
        <v>2.0816113137855301</v>
      </c>
      <c r="C75" t="s">
        <v>2</v>
      </c>
      <c r="D75" s="1">
        <v>14</v>
      </c>
      <c r="E75" s="28"/>
    </row>
    <row r="76" spans="1:25" x14ac:dyDescent="0.35">
      <c r="A76" t="s">
        <v>116</v>
      </c>
      <c r="B76">
        <v>2.0799999999999999E-2</v>
      </c>
      <c r="C76" t="s">
        <v>7</v>
      </c>
    </row>
    <row r="77" spans="1:25" x14ac:dyDescent="0.35">
      <c r="A77" t="s">
        <v>118</v>
      </c>
      <c r="B77">
        <f>12.1*10^-9</f>
        <v>1.2100000000000001E-8</v>
      </c>
      <c r="C77" t="s">
        <v>89</v>
      </c>
    </row>
    <row r="78" spans="1:25" x14ac:dyDescent="0.35">
      <c r="A78" t="s">
        <v>119</v>
      </c>
      <c r="B78">
        <f>10.4*10^-9</f>
        <v>1.04E-8</v>
      </c>
      <c r="C78" t="s">
        <v>89</v>
      </c>
    </row>
    <row r="82" spans="15:15" x14ac:dyDescent="0.35">
      <c r="O82" t="s">
        <v>117</v>
      </c>
    </row>
    <row r="102" spans="9:11" ht="15" thickBot="1" x14ac:dyDescent="0.4"/>
    <row r="103" spans="9:11" x14ac:dyDescent="0.35">
      <c r="I103" s="20" t="s">
        <v>98</v>
      </c>
      <c r="J103" s="21">
        <f>(B7+B18)/(B7+B18+B5)</f>
        <v>0.59183673469387754</v>
      </c>
      <c r="K103" s="22" t="s">
        <v>62</v>
      </c>
    </row>
    <row r="104" spans="9:11" x14ac:dyDescent="0.35">
      <c r="I104" s="23"/>
      <c r="J104" s="8"/>
      <c r="K104" s="24"/>
    </row>
    <row r="105" spans="9:11" x14ac:dyDescent="0.35">
      <c r="I105" s="23"/>
      <c r="J105" s="8"/>
      <c r="K105" s="24"/>
    </row>
    <row r="106" spans="9:11" x14ac:dyDescent="0.35">
      <c r="I106" s="23" t="s">
        <v>124</v>
      </c>
      <c r="J106" s="8">
        <f>0.5*(B5*B13)/(J108*2000000)</f>
        <v>2.5745454545454549E-6</v>
      </c>
      <c r="K106" s="24" t="s">
        <v>63</v>
      </c>
    </row>
    <row r="107" spans="9:11" x14ac:dyDescent="0.35">
      <c r="I107" s="23" t="s">
        <v>120</v>
      </c>
      <c r="J107" s="8">
        <f>(B8*B7)/(B5*0.9)</f>
        <v>1.5277777777777777</v>
      </c>
      <c r="K107" s="24" t="s">
        <v>2</v>
      </c>
    </row>
    <row r="108" spans="9:11" x14ac:dyDescent="0.35">
      <c r="I108" s="23" t="s">
        <v>101</v>
      </c>
      <c r="J108" s="8">
        <f>J107*0.3</f>
        <v>0.45833333333333326</v>
      </c>
      <c r="K108" s="24" t="s">
        <v>2</v>
      </c>
    </row>
    <row r="109" spans="9:11" x14ac:dyDescent="0.35">
      <c r="I109" s="23" t="s">
        <v>102</v>
      </c>
      <c r="J109" s="8">
        <f>J107*(1+0.3/2)</f>
        <v>1.7569444444444442</v>
      </c>
      <c r="K109" s="24" t="s">
        <v>2</v>
      </c>
    </row>
    <row r="110" spans="9:11" x14ac:dyDescent="0.35">
      <c r="I110" s="23" t="s">
        <v>55</v>
      </c>
      <c r="J110" s="8">
        <f>(B8*B13)/(J108*B27)</f>
        <v>6.4363636363636373E-7</v>
      </c>
      <c r="K110" s="24" t="s">
        <v>93</v>
      </c>
    </row>
    <row r="111" spans="9:11" x14ac:dyDescent="0.35">
      <c r="I111" s="23" t="s">
        <v>113</v>
      </c>
      <c r="J111" s="8">
        <f>J107+B8+J108</f>
        <v>2.9861111111111107</v>
      </c>
      <c r="K111" s="24" t="s">
        <v>2</v>
      </c>
    </row>
    <row r="112" spans="9:11" x14ac:dyDescent="0.35">
      <c r="I112" s="23" t="s">
        <v>121</v>
      </c>
      <c r="J112" s="8">
        <f>J108/SQRT(B13)</f>
        <v>0.59669917532877592</v>
      </c>
      <c r="K112" s="24" t="s">
        <v>2</v>
      </c>
    </row>
    <row r="113" spans="9:11" x14ac:dyDescent="0.35">
      <c r="I113" s="23" t="s">
        <v>114</v>
      </c>
      <c r="J113" s="8">
        <f>J112^2*0.16*B13+J111*(B18+B5+B7)*10.2*2</f>
        <v>1194.0002777777777</v>
      </c>
      <c r="K113" s="24" t="s">
        <v>123</v>
      </c>
    </row>
    <row r="114" spans="9:11" ht="15" thickBot="1" x14ac:dyDescent="0.4">
      <c r="I114" s="25" t="s">
        <v>122</v>
      </c>
      <c r="J114" s="16">
        <f>B8*B18</f>
        <v>0.6</v>
      </c>
      <c r="K114" s="26" t="s">
        <v>123</v>
      </c>
    </row>
  </sheetData>
  <mergeCells count="3">
    <mergeCell ref="A25:D25"/>
    <mergeCell ref="A34:D34"/>
    <mergeCell ref="A17:C17"/>
  </mergeCells>
  <hyperlinks>
    <hyperlink ref="A2" r:id="rId1" xr:uid="{90D6AF3F-2E65-41CA-BE92-6CC5E65CCFA3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Aktualis disszipacio</vt:lpstr>
      <vt:lpstr>Datasheet</vt:lpstr>
      <vt:lpstr>komponensek</vt:lpstr>
      <vt:lpstr>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FIXED-TERM Kardos Milan (ME/EMC5-HU)</dc:creator>
  <cp:lastModifiedBy>FIXED-TERM Kardos Milan (ME/EMC5-HU)</cp:lastModifiedBy>
  <dcterms:created xsi:type="dcterms:W3CDTF">2015-06-05T18:19:34Z</dcterms:created>
  <dcterms:modified xsi:type="dcterms:W3CDTF">2024-12-02T08:39:56Z</dcterms:modified>
</cp:coreProperties>
</file>