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karel\Documents\"/>
    </mc:Choice>
  </mc:AlternateContent>
  <xr:revisionPtr revIDLastSave="0" documentId="8_{6823452A-8F30-4BC6-9DEB-D9143A98809A}" xr6:coauthVersionLast="47" xr6:coauthVersionMax="47" xr10:uidLastSave="{00000000-0000-0000-0000-000000000000}"/>
  <bookViews>
    <workbookView xWindow="-120" yWindow="-120" windowWidth="29040" windowHeight="15720" xr2:uid="{00000000-000D-0000-FFFF-FFFF00000000}"/>
  </bookViews>
  <sheets>
    <sheet name="PERSONAL BUDGET" sheetId="1" r:id="rId1"/>
  </sheets>
  <definedNames>
    <definedName name="LastCol">COUNTA('PERSONAL BUDGET'!$4:$4)+1</definedName>
    <definedName name="PrintArea_SET">OFFSET('PERSONAL BUDGET'!$B$2,,,MATCH(REPT("z",255),'PERSONAL BUDGET'!$B:$B),LastCol)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7" i="1" l="1"/>
  <c r="O16" i="1"/>
  <c r="O13" i="1"/>
  <c r="O15" i="1"/>
  <c r="O14" i="1"/>
  <c r="D103" i="1" l="1"/>
  <c r="E103" i="1"/>
  <c r="F103" i="1"/>
  <c r="G103" i="1"/>
  <c r="H103" i="1"/>
  <c r="I103" i="1"/>
  <c r="J103" i="1"/>
  <c r="K103" i="1"/>
  <c r="L103" i="1"/>
  <c r="M103" i="1"/>
  <c r="N103" i="1"/>
  <c r="C103" i="1"/>
  <c r="D95" i="1"/>
  <c r="E95" i="1"/>
  <c r="F95" i="1"/>
  <c r="G95" i="1"/>
  <c r="H95" i="1"/>
  <c r="I95" i="1"/>
  <c r="J95" i="1"/>
  <c r="K95" i="1"/>
  <c r="L95" i="1"/>
  <c r="M95" i="1"/>
  <c r="N95" i="1"/>
  <c r="C95" i="1"/>
  <c r="D87" i="1"/>
  <c r="E87" i="1"/>
  <c r="F87" i="1"/>
  <c r="G87" i="1"/>
  <c r="H87" i="1"/>
  <c r="I87" i="1"/>
  <c r="J87" i="1"/>
  <c r="K87" i="1"/>
  <c r="L87" i="1"/>
  <c r="M87" i="1"/>
  <c r="N87" i="1"/>
  <c r="C87" i="1"/>
  <c r="D79" i="1"/>
  <c r="E79" i="1"/>
  <c r="F79" i="1"/>
  <c r="G79" i="1"/>
  <c r="H79" i="1"/>
  <c r="I79" i="1"/>
  <c r="J79" i="1"/>
  <c r="K79" i="1"/>
  <c r="L79" i="1"/>
  <c r="M79" i="1"/>
  <c r="N79" i="1"/>
  <c r="C79" i="1"/>
  <c r="D69" i="1"/>
  <c r="E69" i="1"/>
  <c r="F69" i="1"/>
  <c r="G69" i="1"/>
  <c r="H69" i="1"/>
  <c r="I69" i="1"/>
  <c r="J69" i="1"/>
  <c r="K69" i="1"/>
  <c r="L69" i="1"/>
  <c r="M69" i="1"/>
  <c r="N69" i="1"/>
  <c r="C69" i="1"/>
  <c r="D62" i="1"/>
  <c r="E62" i="1"/>
  <c r="F62" i="1"/>
  <c r="G62" i="1"/>
  <c r="H62" i="1"/>
  <c r="I62" i="1"/>
  <c r="J62" i="1"/>
  <c r="K62" i="1"/>
  <c r="L62" i="1"/>
  <c r="M62" i="1"/>
  <c r="N62" i="1"/>
  <c r="C62" i="1"/>
  <c r="D53" i="1"/>
  <c r="E53" i="1"/>
  <c r="F53" i="1"/>
  <c r="G53" i="1"/>
  <c r="H53" i="1"/>
  <c r="I53" i="1"/>
  <c r="J53" i="1"/>
  <c r="K53" i="1"/>
  <c r="L53" i="1"/>
  <c r="M53" i="1"/>
  <c r="N53" i="1"/>
  <c r="C53" i="1"/>
  <c r="O99" i="1"/>
  <c r="O100" i="1"/>
  <c r="O101" i="1"/>
  <c r="O102" i="1"/>
  <c r="O98" i="1"/>
  <c r="O91" i="1"/>
  <c r="O92" i="1"/>
  <c r="O93" i="1"/>
  <c r="O94" i="1"/>
  <c r="O90" i="1"/>
  <c r="O83" i="1"/>
  <c r="O84" i="1"/>
  <c r="O85" i="1"/>
  <c r="O86" i="1"/>
  <c r="O82" i="1"/>
  <c r="O73" i="1"/>
  <c r="O74" i="1"/>
  <c r="O75" i="1"/>
  <c r="O76" i="1"/>
  <c r="O77" i="1"/>
  <c r="O78" i="1"/>
  <c r="O72" i="1"/>
  <c r="O66" i="1"/>
  <c r="O67" i="1"/>
  <c r="O68" i="1"/>
  <c r="O65" i="1"/>
  <c r="O57" i="1"/>
  <c r="O58" i="1"/>
  <c r="O59" i="1"/>
  <c r="O60" i="1"/>
  <c r="O61" i="1"/>
  <c r="O56" i="1"/>
  <c r="O47" i="1"/>
  <c r="O48" i="1"/>
  <c r="O49" i="1"/>
  <c r="O50" i="1"/>
  <c r="O51" i="1"/>
  <c r="O52" i="1"/>
  <c r="O46" i="1"/>
  <c r="D43" i="1"/>
  <c r="E43" i="1"/>
  <c r="F43" i="1"/>
  <c r="G43" i="1"/>
  <c r="H43" i="1"/>
  <c r="I43" i="1"/>
  <c r="J43" i="1"/>
  <c r="K43" i="1"/>
  <c r="L43" i="1"/>
  <c r="M43" i="1"/>
  <c r="N43" i="1"/>
  <c r="C43" i="1"/>
  <c r="O40" i="1"/>
  <c r="O41" i="1"/>
  <c r="O42" i="1"/>
  <c r="O39" i="1"/>
  <c r="D36" i="1"/>
  <c r="E36" i="1"/>
  <c r="F36" i="1"/>
  <c r="G36" i="1"/>
  <c r="H36" i="1"/>
  <c r="I36" i="1"/>
  <c r="J36" i="1"/>
  <c r="K36" i="1"/>
  <c r="L36" i="1"/>
  <c r="M36" i="1"/>
  <c r="N36" i="1"/>
  <c r="C36" i="1"/>
  <c r="O31" i="1"/>
  <c r="O32" i="1"/>
  <c r="O33" i="1"/>
  <c r="O34" i="1"/>
  <c r="O35" i="1"/>
  <c r="O30" i="1"/>
  <c r="D27" i="1"/>
  <c r="E27" i="1"/>
  <c r="F27" i="1"/>
  <c r="G27" i="1"/>
  <c r="H27" i="1"/>
  <c r="I27" i="1"/>
  <c r="J27" i="1"/>
  <c r="K27" i="1"/>
  <c r="L27" i="1"/>
  <c r="M27" i="1"/>
  <c r="N27" i="1"/>
  <c r="C27" i="1"/>
  <c r="O22" i="1"/>
  <c r="O23" i="1"/>
  <c r="O24" i="1"/>
  <c r="O25" i="1"/>
  <c r="O26" i="1"/>
  <c r="O21" i="1"/>
  <c r="D18" i="1"/>
  <c r="E18" i="1"/>
  <c r="F18" i="1"/>
  <c r="G18" i="1"/>
  <c r="H18" i="1"/>
  <c r="I18" i="1"/>
  <c r="J18" i="1"/>
  <c r="K18" i="1"/>
  <c r="L18" i="1"/>
  <c r="M18" i="1"/>
  <c r="N18" i="1"/>
  <c r="C18" i="1"/>
  <c r="O43" i="1" l="1"/>
  <c r="O95" i="1"/>
  <c r="O87" i="1"/>
  <c r="O79" i="1"/>
  <c r="O69" i="1"/>
  <c r="O62" i="1"/>
  <c r="O53" i="1"/>
  <c r="K106" i="1"/>
  <c r="O36" i="1"/>
  <c r="O27" i="1"/>
  <c r="O18" i="1"/>
  <c r="J106" i="1"/>
  <c r="I106" i="1"/>
  <c r="H106" i="1"/>
  <c r="C106" i="1"/>
  <c r="G106" i="1"/>
  <c r="N106" i="1"/>
  <c r="M106" i="1"/>
  <c r="L106" i="1"/>
  <c r="D106" i="1"/>
  <c r="F106" i="1"/>
  <c r="E106" i="1"/>
  <c r="O103" i="1"/>
  <c r="N9" i="1"/>
  <c r="F9" i="1"/>
  <c r="K9" i="1"/>
  <c r="M9" i="1"/>
  <c r="E9" i="1"/>
  <c r="D9" i="1"/>
  <c r="H9" i="1"/>
  <c r="G9" i="1"/>
  <c r="C9" i="1"/>
  <c r="L9" i="1"/>
  <c r="J9" i="1"/>
  <c r="O8" i="1"/>
  <c r="O7" i="1"/>
  <c r="I9" i="1"/>
  <c r="O6" i="1"/>
  <c r="C107" i="1" l="1"/>
  <c r="K107" i="1"/>
  <c r="I107" i="1"/>
  <c r="H107" i="1"/>
  <c r="E107" i="1"/>
  <c r="M107" i="1"/>
  <c r="G107" i="1"/>
  <c r="O106" i="1"/>
  <c r="J107" i="1"/>
  <c r="L107" i="1"/>
  <c r="F107" i="1"/>
  <c r="N107" i="1"/>
  <c r="D107" i="1"/>
  <c r="O9" i="1"/>
  <c r="O107" i="1" l="1"/>
</calcChain>
</file>

<file path=xl/sharedStrings.xml><?xml version="1.0" encoding="utf-8"?>
<sst xmlns="http://schemas.openxmlformats.org/spreadsheetml/2006/main" count="276" uniqueCount="90">
  <si>
    <t>Wages</t>
  </si>
  <si>
    <t>Miscellaneous</t>
  </si>
  <si>
    <t>Utilities</t>
  </si>
  <si>
    <t xml:space="preserve">Groceries </t>
  </si>
  <si>
    <t>Child care</t>
  </si>
  <si>
    <t>Dry cleaning</t>
  </si>
  <si>
    <t>Dining out</t>
  </si>
  <si>
    <t>Housecleaning service</t>
  </si>
  <si>
    <t>Dog walker</t>
  </si>
  <si>
    <t>Gas/fuel</t>
  </si>
  <si>
    <t>Insurance</t>
  </si>
  <si>
    <t>Repairs</t>
  </si>
  <si>
    <t>Car wash/detailing services</t>
  </si>
  <si>
    <t>Parking</t>
  </si>
  <si>
    <t>Public transportation</t>
  </si>
  <si>
    <t>Cable TV</t>
  </si>
  <si>
    <t>Video/DVD rentals</t>
  </si>
  <si>
    <t>Movies/plays</t>
  </si>
  <si>
    <t>Concerts/clubs</t>
  </si>
  <si>
    <t>Health club dues</t>
  </si>
  <si>
    <t>Prescriptions</t>
  </si>
  <si>
    <t>Over-the-counter drugs</t>
  </si>
  <si>
    <t>Co-payments/out-of-pocket</t>
  </si>
  <si>
    <t>Veterinarians/pet medicines</t>
  </si>
  <si>
    <t>Life insurance</t>
  </si>
  <si>
    <t>Plane fare</t>
  </si>
  <si>
    <t>Accommodations</t>
  </si>
  <si>
    <t>Food</t>
  </si>
  <si>
    <t>Souvenirs</t>
  </si>
  <si>
    <t>Pet boarding</t>
  </si>
  <si>
    <t>Rental car</t>
  </si>
  <si>
    <t>Gym fees</t>
  </si>
  <si>
    <t>Sports equipment</t>
  </si>
  <si>
    <t>Team dues</t>
  </si>
  <si>
    <t>Toys/child gear</t>
  </si>
  <si>
    <t>Magazines</t>
  </si>
  <si>
    <t>Newspapers</t>
  </si>
  <si>
    <t>Internet connection</t>
  </si>
  <si>
    <t>Public radio</t>
  </si>
  <si>
    <t>Public television</t>
  </si>
  <si>
    <t>Religious organizations</t>
  </si>
  <si>
    <t>Charity</t>
  </si>
  <si>
    <t>Clothing</t>
  </si>
  <si>
    <t>Gifts</t>
  </si>
  <si>
    <t>Salon/barber</t>
  </si>
  <si>
    <t>Books</t>
  </si>
  <si>
    <t>Music (CDs, etc.)</t>
  </si>
  <si>
    <t>Long-term savings</t>
  </si>
  <si>
    <t>Retirement (401k, Roth IRA)</t>
  </si>
  <si>
    <t>Credit card payments</t>
  </si>
  <si>
    <t>Income tax (additional)</t>
  </si>
  <si>
    <t>Other obligations</t>
  </si>
  <si>
    <t xml:space="preserve">   Other</t>
  </si>
  <si>
    <t>Total expenses</t>
  </si>
  <si>
    <t>Cash short/extra</t>
  </si>
  <si>
    <t>Total</t>
  </si>
  <si>
    <t>INCOME</t>
  </si>
  <si>
    <t>EXPENSES</t>
  </si>
  <si>
    <t>HOME</t>
  </si>
  <si>
    <t>TRANSPORTATION</t>
  </si>
  <si>
    <t>DAILY LIVING</t>
  </si>
  <si>
    <t>ENTERTAINMENT</t>
  </si>
  <si>
    <t>HEALTH</t>
  </si>
  <si>
    <t>VACATIONS</t>
  </si>
  <si>
    <t>RECREATION</t>
  </si>
  <si>
    <t>DUES/SUBSCRIPTION</t>
  </si>
  <si>
    <t>PERSONAL</t>
  </si>
  <si>
    <t>FINANCIAL OBLIGATIONS</t>
  </si>
  <si>
    <t>MISC PAYMENTS</t>
  </si>
  <si>
    <t>TOTALS</t>
  </si>
  <si>
    <t>JAN</t>
  </si>
  <si>
    <t>FEB</t>
  </si>
  <si>
    <t>MAY</t>
  </si>
  <si>
    <t>MAR</t>
  </si>
  <si>
    <t>APR</t>
  </si>
  <si>
    <t>JUN</t>
  </si>
  <si>
    <t>JUL</t>
  </si>
  <si>
    <t>AUG</t>
  </si>
  <si>
    <t>SEP</t>
  </si>
  <si>
    <t>OCT</t>
  </si>
  <si>
    <t>NOV</t>
  </si>
  <si>
    <t>DEC</t>
  </si>
  <si>
    <t>YEAR</t>
  </si>
  <si>
    <t>REVENUE</t>
  </si>
  <si>
    <t>Mortgage</t>
  </si>
  <si>
    <t>Services</t>
  </si>
  <si>
    <t xml:space="preserve"> </t>
  </si>
  <si>
    <t>Interest/dividends</t>
  </si>
  <si>
    <t>PERSONAL BUDGET</t>
  </si>
  <si>
    <t>SPARKLINE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</si>
</sst>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12" x14ac:knownFonts="1">
    <font>
      <sz val="10"/>
      <color theme="1" tint="0.14993743705557422"/>
      <name val="verdana"/>
      <family val="2"/>
      <scheme val="minor"/>
    </font>
    <font>
      <b/>
      <sz val="10"/>
      <color theme="1" tint="0.14990691854609822"/>
      <name val="Gill Sans MT"/>
      <family val="2"/>
      <scheme val="major"/>
    </font>
    <font>
      <sz val="11"/>
      <color theme="1" tint="0.14993743705557422"/>
      <name val="Gill Sans MT"/>
      <family val="2"/>
      <scheme val="major"/>
    </font>
    <font>
      <sz val="22"/>
      <color theme="1" tint="0.14993743705557422"/>
      <name val="Gill Sans MT"/>
      <family val="2"/>
      <scheme val="major"/>
    </font>
    <font>
      <sz val="12"/>
      <color theme="1" tint="0.14993743705557422"/>
      <name val="verdana"/>
      <family val="2"/>
      <scheme val="minor"/>
    </font>
    <font>
      <sz val="14"/>
      <color theme="0"/>
      <name val="Gill Sans MT"/>
      <family val="2"/>
      <scheme val="major"/>
    </font>
    <font>
      <sz val="11"/>
      <color theme="0"/>
      <name val="verdana"/>
      <family val="2"/>
      <scheme val="minor"/>
    </font>
    <font>
      <sz val="11"/>
      <color theme="1" tint="0.14993743705557422"/>
      <name val="verdana"/>
      <family val="2"/>
      <scheme val="minor"/>
    </font>
    <font>
      <sz val="72"/>
      <color theme="5" tint="-0.499984740745262"/>
      <name val="Gill Sans MT"/>
      <family val="2"/>
      <scheme val="major"/>
    </font>
    <font>
      <sz val="14"/>
      <color theme="1" tint="0.14993743705557422"/>
      <name val="Gill Sans MT"/>
      <family val="2"/>
      <scheme val="major"/>
    </font>
    <font>
      <sz val="18"/>
      <color theme="1" tint="0.14993743705557422"/>
      <name val="Gill Sans MT"/>
      <family val="2"/>
      <scheme val="major"/>
    </font>
    <font>
      <sz val="14"/>
      <name val="Gill Sans MT"/>
      <family val="2"/>
      <scheme val="major"/>
    </font>
  </fonts>
  <fills count="9">
    <fill>
      <patternFill patternType="none"/>
    </fill>
    <fill>
      <patternFill patternType="gray125"/>
    </fill>
    <fill>
      <gradientFill degree="90">
        <stop position="0">
          <color theme="0"/>
        </stop>
        <stop position="1">
          <color theme="5" tint="0.80001220740379042"/>
        </stop>
      </gradientFill>
    </fill>
    <fill>
      <patternFill patternType="solid">
        <fgColor theme="4"/>
        <bgColor indexed="64"/>
      </patternFill>
    </fill>
    <fill>
      <patternFill patternType="solid">
        <fgColor theme="0"/>
        <bgColor auto="1"/>
      </patternFill>
    </fill>
    <fill>
      <patternFill patternType="solid">
        <fgColor theme="5" tint="0.79998168889431442"/>
        <bgColor indexed="64"/>
      </patternFill>
    </fill>
    <fill>
      <patternFill patternType="solid">
        <fgColor theme="5" tint="0.59999389629810485"/>
        <bgColor indexed="64"/>
      </patternFill>
    </fill>
    <fill>
      <patternFill patternType="solid">
        <fgColor rgb="FFF7F7F7"/>
        <bgColor indexed="64"/>
      </patternFill>
    </fill>
    <fill>
      <patternFill patternType="solid">
        <fgColor theme="3"/>
        <bgColor indexed="64"/>
      </patternFill>
    </fill>
  </fills>
  <borders count="2">
    <border>
      <left/>
      <right/>
      <top/>
      <bottom/>
      <diagonal/>
    </border>
    <border>
      <left/>
      <right/>
      <top/>
      <bottom style="medium">
        <color theme="4" tint="-0.24994659260841701"/>
      </bottom>
      <diagonal/>
    </border>
  </borders>
  <cellStyleXfs count="5">
    <xf numFmtId="0" fontId="0" fillId="7" borderId="0">
      <alignment vertical="center"/>
    </xf>
    <xf numFmtId="0" fontId="3" fillId="0" borderId="0" applyNumberFormat="0" applyFill="0" applyProtection="0">
      <alignment vertical="center"/>
    </xf>
    <xf numFmtId="0" fontId="2" fillId="0" borderId="1" applyNumberFormat="0" applyFill="0" applyProtection="0">
      <alignment vertical="center"/>
    </xf>
    <xf numFmtId="0" fontId="1" fillId="4" borderId="0" applyNumberFormat="0" applyProtection="0">
      <alignment horizontal="left" vertical="center" indent="1"/>
    </xf>
    <xf numFmtId="0" fontId="1" fillId="2" borderId="0" applyNumberFormat="0" applyProtection="0">
      <alignment vertical="center"/>
    </xf>
  </cellStyleXfs>
  <cellXfs count="39">
    <xf numFmtId="0" fontId="0" fillId="7" borderId="0" xfId="0">
      <alignment vertical="center"/>
    </xf>
    <xf numFmtId="0" fontId="4" fillId="6" borderId="0" xfId="0" applyFont="1" applyFill="1">
      <alignment vertical="center"/>
    </xf>
    <xf numFmtId="0" fontId="4" fillId="6" borderId="0" xfId="0" applyFont="1" applyFill="1" applyAlignment="1">
      <alignment horizontal="right" vertical="center" indent="1"/>
    </xf>
    <xf numFmtId="0" fontId="7" fillId="6" borderId="0" xfId="0" applyFont="1" applyFill="1">
      <alignment vertical="center"/>
    </xf>
    <xf numFmtId="0" fontId="7" fillId="6" borderId="0" xfId="0" applyFont="1" applyFill="1" applyAlignment="1">
      <alignment horizontal="right" vertical="center" indent="1"/>
    </xf>
    <xf numFmtId="0" fontId="7" fillId="0" borderId="0" xfId="0" applyFont="1" applyFill="1">
      <alignment vertical="center"/>
    </xf>
    <xf numFmtId="0" fontId="6" fillId="8" borderId="0" xfId="0" applyFont="1" applyFill="1" applyAlignment="1">
      <alignment horizontal="left" vertical="center" indent="1"/>
    </xf>
    <xf numFmtId="164" fontId="6" fillId="3" borderId="0" xfId="0" applyNumberFormat="1" applyFont="1" applyFill="1" applyAlignment="1">
      <alignment horizontal="right" vertical="center" indent="1"/>
    </xf>
    <xf numFmtId="164" fontId="6" fillId="8" borderId="0" xfId="0" applyNumberFormat="1" applyFont="1" applyFill="1" applyAlignment="1">
      <alignment horizontal="right" vertical="center" indent="1"/>
    </xf>
    <xf numFmtId="164" fontId="6" fillId="8" borderId="0" xfId="0" applyNumberFormat="1" applyFont="1" applyFill="1" applyAlignment="1">
      <alignment horizontal="right" vertical="center"/>
    </xf>
    <xf numFmtId="0" fontId="0" fillId="6" borderId="0" xfId="0" applyFill="1" applyAlignment="1"/>
    <xf numFmtId="0" fontId="0" fillId="6" borderId="0" xfId="0" applyFill="1">
      <alignment vertical="center"/>
    </xf>
    <xf numFmtId="0" fontId="0" fillId="6" borderId="0" xfId="0" applyFill="1" applyAlignment="1">
      <alignment horizontal="right" vertical="center"/>
    </xf>
    <xf numFmtId="0" fontId="7" fillId="6" borderId="0" xfId="0" applyFont="1" applyFill="1" applyAlignment="1"/>
    <xf numFmtId="0" fontId="7" fillId="7" borderId="0" xfId="0" applyFont="1" applyAlignment="1">
      <alignment horizontal="left" vertical="center" indent="1"/>
    </xf>
    <xf numFmtId="164" fontId="7" fillId="7" borderId="0" xfId="0" applyNumberFormat="1" applyFont="1" applyAlignment="1">
      <alignment horizontal="right" vertical="center" indent="1"/>
    </xf>
    <xf numFmtId="164" fontId="7" fillId="7" borderId="0" xfId="0" applyNumberFormat="1" applyFont="1" applyAlignment="1">
      <alignment horizontal="right" vertical="center"/>
    </xf>
    <xf numFmtId="0" fontId="7" fillId="7" borderId="0" xfId="0" applyFont="1" applyAlignment="1">
      <alignment horizontal="right" vertical="center"/>
    </xf>
    <xf numFmtId="0" fontId="7" fillId="7" borderId="0" xfId="0" applyFont="1" applyAlignment="1">
      <alignment horizontal="left" vertical="center"/>
    </xf>
    <xf numFmtId="0" fontId="9" fillId="6" borderId="0" xfId="0" applyFont="1" applyFill="1" applyAlignment="1"/>
    <xf numFmtId="0" fontId="9" fillId="6" borderId="0" xfId="0" applyFont="1" applyFill="1">
      <alignment vertical="center"/>
    </xf>
    <xf numFmtId="0" fontId="11" fillId="6" borderId="0" xfId="0" applyFont="1" applyFill="1" applyAlignment="1"/>
    <xf numFmtId="0" fontId="11" fillId="7" borderId="0" xfId="0" applyFont="1" applyAlignment="1">
      <alignment horizontal="left" vertical="center" indent="1"/>
    </xf>
    <xf numFmtId="0" fontId="11" fillId="6" borderId="0" xfId="0" applyFont="1" applyFill="1">
      <alignment vertical="center"/>
    </xf>
    <xf numFmtId="0" fontId="0" fillId="0" borderId="0" xfId="0" applyFill="1">
      <alignment vertical="center"/>
    </xf>
    <xf numFmtId="0" fontId="11" fillId="0" borderId="0" xfId="0" applyFont="1" applyFill="1">
      <alignment vertical="center"/>
    </xf>
    <xf numFmtId="0" fontId="9" fillId="0" borderId="0" xfId="0" applyFont="1" applyFill="1">
      <alignment vertical="center"/>
    </xf>
    <xf numFmtId="0" fontId="5" fillId="8" borderId="0" xfId="3" applyFont="1" applyFill="1">
      <alignment horizontal="left" vertical="center" indent="1"/>
    </xf>
    <xf numFmtId="0" fontId="5" fillId="3" borderId="0" xfId="3" applyFont="1" applyFill="1" applyAlignment="1">
      <alignment horizontal="right" vertical="center" indent="1"/>
    </xf>
    <xf numFmtId="0" fontId="5" fillId="8" borderId="0" xfId="3" applyFont="1" applyFill="1" applyAlignment="1">
      <alignment horizontal="right" vertical="center" indent="1"/>
    </xf>
    <xf numFmtId="0" fontId="10" fillId="6" borderId="0" xfId="0" applyFont="1" applyFill="1" applyAlignment="1"/>
    <xf numFmtId="0" fontId="5" fillId="3" borderId="0" xfId="2" applyFont="1" applyFill="1" applyBorder="1" applyAlignment="1">
      <alignment horizontal="left" vertical="center" indent="1"/>
    </xf>
    <xf numFmtId="0" fontId="5" fillId="3" borderId="0" xfId="2" applyFont="1" applyFill="1" applyBorder="1" applyAlignment="1">
      <alignment horizontal="right" vertical="center" indent="1"/>
    </xf>
    <xf numFmtId="0" fontId="5" fillId="3" borderId="0" xfId="2" applyFont="1" applyFill="1" applyBorder="1" applyAlignment="1">
      <alignment horizontal="right" vertical="center"/>
    </xf>
    <xf numFmtId="0" fontId="10" fillId="6" borderId="0" xfId="0" applyFont="1" applyFill="1">
      <alignment vertical="center"/>
    </xf>
    <xf numFmtId="0" fontId="10" fillId="0" borderId="0" xfId="0" applyFont="1" applyFill="1">
      <alignment vertical="center"/>
    </xf>
    <xf numFmtId="0" fontId="11" fillId="7" borderId="0" xfId="0" applyFont="1" applyAlignment="1">
      <alignment horizontal="right" vertical="center" indent="1"/>
    </xf>
    <xf numFmtId="0" fontId="11" fillId="7" borderId="0" xfId="0" applyFont="1">
      <alignment vertical="center"/>
    </xf>
    <xf numFmtId="0" fontId="8" fillId="5" borderId="0" xfId="1" applyFont="1" applyFill="1" applyAlignment="1">
      <alignment horizontal="left" vertical="center" indent="1"/>
    </xf>
  </cellXfs>
  <cellStyles count="5">
    <cellStyle name="Heading 1" xfId="1" builtinId="16" customBuiltin="1"/>
    <cellStyle name="Heading 2" xfId="2" builtinId="17" customBuiltin="1"/>
    <cellStyle name="Heading 3" xfId="3" builtinId="18" customBuiltin="1"/>
    <cellStyle name="Heading 4" xfId="4" builtinId="19" hidden="1" customBuiltin="1"/>
    <cellStyle name="Normal" xfId="0" builtinId="0" customBuiltin="1"/>
  </cellStyles>
  <dxfs count="433">
    <dxf>
      <fill>
        <patternFill>
          <bgColor rgb="FFC00000"/>
        </patternFill>
      </fill>
    </dxf>
    <dxf>
      <font>
        <strike val="0"/>
        <outline val="0"/>
        <shadow val="0"/>
        <u val="none"/>
        <vertAlign val="baseline"/>
        <sz val="11"/>
        <color theme="0"/>
        <name val="verdana"/>
        <family val="2"/>
        <scheme val="minor"/>
      </font>
      <numFmt numFmtId="164" formatCode="&quot;$&quot;#,##0.00"/>
      <fill>
        <patternFill patternType="solid">
          <fgColor indexed="64"/>
          <bgColor theme="3"/>
        </patternFill>
      </fill>
      <alignment horizontal="right" textRotation="0" wrapText="0" indent="0" justifyLastLine="0" shrinkToFit="0" readingOrder="0"/>
    </dxf>
    <dxf>
      <font>
        <strike val="0"/>
        <outline val="0"/>
        <shadow val="0"/>
        <u val="none"/>
        <vertAlign val="baseline"/>
        <sz val="11"/>
        <color theme="0"/>
        <name val="verdana"/>
        <family val="2"/>
        <scheme val="minor"/>
      </font>
      <numFmt numFmtId="164" formatCode="&quot;$&quot;#,##0.00"/>
      <fill>
        <patternFill patternType="solid">
          <fgColor indexed="64"/>
          <bgColor theme="4"/>
        </patternFill>
      </fill>
      <alignment horizontal="right" vertical="center" textRotation="0" wrapText="0" indent="1" justifyLastLine="0" shrinkToFit="0" readingOrder="0"/>
    </dxf>
    <dxf>
      <font>
        <strike val="0"/>
        <outline val="0"/>
        <shadow val="0"/>
        <u val="none"/>
        <vertAlign val="baseline"/>
        <sz val="11"/>
        <color theme="0"/>
        <name val="verdana"/>
        <family val="2"/>
        <scheme val="minor"/>
      </font>
      <numFmt numFmtId="164" formatCode="&quot;$&quot;#,##0.00"/>
      <fill>
        <patternFill patternType="solid">
          <fgColor indexed="64"/>
          <bgColor theme="3"/>
        </patternFill>
      </fill>
      <alignment horizontal="right" vertical="center" textRotation="0" wrapText="0" indent="1" justifyLastLine="0" shrinkToFit="0" readingOrder="0"/>
    </dxf>
    <dxf>
      <font>
        <strike val="0"/>
        <outline val="0"/>
        <shadow val="0"/>
        <u val="none"/>
        <vertAlign val="baseline"/>
        <sz val="11"/>
        <color theme="0"/>
        <name val="verdana"/>
        <family val="2"/>
        <scheme val="minor"/>
      </font>
      <numFmt numFmtId="164" formatCode="&quot;$&quot;#,##0.00"/>
      <fill>
        <patternFill patternType="solid">
          <fgColor indexed="64"/>
          <bgColor theme="4"/>
        </patternFill>
      </fill>
      <alignment horizontal="right" vertical="center" textRotation="0" wrapText="0" indent="1" justifyLastLine="0" shrinkToFit="0" readingOrder="0"/>
    </dxf>
    <dxf>
      <font>
        <strike val="0"/>
        <outline val="0"/>
        <shadow val="0"/>
        <u val="none"/>
        <vertAlign val="baseline"/>
        <sz val="11"/>
        <color theme="0"/>
        <name val="verdana"/>
        <family val="2"/>
        <scheme val="minor"/>
      </font>
      <numFmt numFmtId="164" formatCode="&quot;$&quot;#,##0.00"/>
      <fill>
        <patternFill patternType="solid">
          <fgColor indexed="64"/>
          <bgColor theme="3"/>
        </patternFill>
      </fill>
      <alignment horizontal="right" vertical="center" textRotation="0" wrapText="0" indent="1" justifyLastLine="0" shrinkToFit="0" readingOrder="0"/>
    </dxf>
    <dxf>
      <font>
        <strike val="0"/>
        <outline val="0"/>
        <shadow val="0"/>
        <u val="none"/>
        <vertAlign val="baseline"/>
        <sz val="11"/>
        <color theme="0"/>
        <name val="verdana"/>
        <family val="2"/>
        <scheme val="minor"/>
      </font>
      <numFmt numFmtId="164" formatCode="&quot;$&quot;#,##0.00"/>
      <fill>
        <patternFill patternType="solid">
          <fgColor indexed="64"/>
          <bgColor theme="4"/>
        </patternFill>
      </fill>
      <alignment horizontal="right" vertical="center" textRotation="0" wrapText="0" indent="1" justifyLastLine="0" shrinkToFit="0" readingOrder="0"/>
    </dxf>
    <dxf>
      <font>
        <strike val="0"/>
        <outline val="0"/>
        <shadow val="0"/>
        <u val="none"/>
        <vertAlign val="baseline"/>
        <sz val="11"/>
        <color theme="0"/>
        <name val="verdana"/>
        <family val="2"/>
        <scheme val="minor"/>
      </font>
      <numFmt numFmtId="164" formatCode="&quot;$&quot;#,##0.00"/>
      <fill>
        <patternFill patternType="solid">
          <fgColor indexed="64"/>
          <bgColor theme="3"/>
        </patternFill>
      </fill>
      <alignment horizontal="right" vertical="center" textRotation="0" wrapText="0" indent="1" justifyLastLine="0" shrinkToFit="0" readingOrder="0"/>
    </dxf>
    <dxf>
      <font>
        <strike val="0"/>
        <outline val="0"/>
        <shadow val="0"/>
        <u val="none"/>
        <vertAlign val="baseline"/>
        <sz val="11"/>
        <color theme="0"/>
        <name val="verdana"/>
        <family val="2"/>
        <scheme val="minor"/>
      </font>
      <numFmt numFmtId="164" formatCode="&quot;$&quot;#,##0.00"/>
      <fill>
        <patternFill patternType="solid">
          <fgColor indexed="64"/>
          <bgColor theme="4"/>
        </patternFill>
      </fill>
      <alignment horizontal="right" vertical="center" textRotation="0" wrapText="0" indent="1" justifyLastLine="0" shrinkToFit="0" readingOrder="0"/>
    </dxf>
    <dxf>
      <font>
        <strike val="0"/>
        <outline val="0"/>
        <shadow val="0"/>
        <u val="none"/>
        <vertAlign val="baseline"/>
        <sz val="11"/>
        <color theme="0"/>
        <name val="verdana"/>
        <family val="2"/>
        <scheme val="minor"/>
      </font>
      <numFmt numFmtId="164" formatCode="&quot;$&quot;#,##0.00"/>
      <fill>
        <patternFill patternType="solid">
          <fgColor indexed="64"/>
          <bgColor theme="3"/>
        </patternFill>
      </fill>
      <alignment horizontal="right" vertical="center" textRotation="0" wrapText="0" indent="1" justifyLastLine="0" shrinkToFit="0" readingOrder="0"/>
    </dxf>
    <dxf>
      <font>
        <strike val="0"/>
        <outline val="0"/>
        <shadow val="0"/>
        <u val="none"/>
        <vertAlign val="baseline"/>
        <sz val="11"/>
        <color theme="0"/>
        <name val="verdana"/>
        <family val="2"/>
        <scheme val="minor"/>
      </font>
      <numFmt numFmtId="164" formatCode="&quot;$&quot;#,##0.00"/>
      <fill>
        <patternFill patternType="solid">
          <fgColor indexed="64"/>
          <bgColor theme="4"/>
        </patternFill>
      </fill>
      <alignment horizontal="right" vertical="center" textRotation="0" wrapText="0" indent="1" justifyLastLine="0" shrinkToFit="0" readingOrder="0"/>
    </dxf>
    <dxf>
      <font>
        <strike val="0"/>
        <outline val="0"/>
        <shadow val="0"/>
        <u val="none"/>
        <vertAlign val="baseline"/>
        <sz val="11"/>
        <color theme="0"/>
        <name val="verdana"/>
        <family val="2"/>
        <scheme val="minor"/>
      </font>
      <numFmt numFmtId="164" formatCode="&quot;$&quot;#,##0.00"/>
      <fill>
        <patternFill patternType="solid">
          <fgColor indexed="64"/>
          <bgColor theme="3"/>
        </patternFill>
      </fill>
      <alignment horizontal="right" vertical="center" textRotation="0" wrapText="0" indent="1" justifyLastLine="0" shrinkToFit="0" readingOrder="0"/>
    </dxf>
    <dxf>
      <font>
        <strike val="0"/>
        <outline val="0"/>
        <shadow val="0"/>
        <u val="none"/>
        <vertAlign val="baseline"/>
        <sz val="11"/>
        <color theme="0"/>
        <name val="verdana"/>
        <family val="2"/>
        <scheme val="minor"/>
      </font>
      <numFmt numFmtId="164" formatCode="&quot;$&quot;#,##0.00"/>
      <fill>
        <patternFill patternType="solid">
          <fgColor indexed="64"/>
          <bgColor theme="4"/>
        </patternFill>
      </fill>
      <alignment horizontal="right" vertical="center" textRotation="0" wrapText="0" indent="1" justifyLastLine="0" shrinkToFit="0" readingOrder="0"/>
    </dxf>
    <dxf>
      <font>
        <strike val="0"/>
        <outline val="0"/>
        <shadow val="0"/>
        <u val="none"/>
        <vertAlign val="baseline"/>
        <sz val="11"/>
        <color theme="0"/>
        <name val="verdana"/>
        <family val="2"/>
        <scheme val="minor"/>
      </font>
      <numFmt numFmtId="164" formatCode="&quot;$&quot;#,##0.00"/>
      <fill>
        <patternFill patternType="solid">
          <fgColor indexed="64"/>
          <bgColor theme="3"/>
        </patternFill>
      </fill>
      <alignment horizontal="right" vertical="center" textRotation="0" wrapText="0" indent="1" justifyLastLine="0" shrinkToFit="0" readingOrder="0"/>
    </dxf>
    <dxf>
      <font>
        <strike val="0"/>
        <outline val="0"/>
        <shadow val="0"/>
        <u val="none"/>
        <vertAlign val="baseline"/>
        <sz val="11"/>
        <color theme="0"/>
        <name val="verdana"/>
        <family val="2"/>
        <scheme val="minor"/>
      </font>
      <numFmt numFmtId="164" formatCode="&quot;$&quot;#,##0.00"/>
      <fill>
        <patternFill patternType="solid">
          <fgColor indexed="64"/>
          <bgColor theme="4"/>
        </patternFill>
      </fill>
      <alignment horizontal="right" vertical="center" textRotation="0" wrapText="0" indent="1" justifyLastLine="0" shrinkToFit="0" readingOrder="0"/>
    </dxf>
    <dxf>
      <font>
        <strike val="0"/>
        <outline val="0"/>
        <shadow val="0"/>
        <u val="none"/>
        <vertAlign val="baseline"/>
        <sz val="11"/>
        <color theme="0"/>
        <name val="verdana"/>
        <family val="2"/>
        <scheme val="minor"/>
      </font>
      <fill>
        <patternFill patternType="solid">
          <fgColor indexed="64"/>
          <bgColor theme="3"/>
        </patternFill>
      </fill>
      <alignment horizontal="left" vertical="center" textRotation="0" wrapText="0" relativeIndent="1" justifyLastLine="0" shrinkToFit="0" readingOrder="0"/>
    </dxf>
    <dxf>
      <font>
        <strike val="0"/>
        <outline val="0"/>
        <shadow val="0"/>
        <u val="none"/>
        <vertAlign val="baseline"/>
        <sz val="11"/>
        <color theme="0"/>
        <name val="verdana"/>
        <family val="2"/>
        <scheme val="minor"/>
      </font>
      <fill>
        <patternFill patternType="solid">
          <fgColor indexed="64"/>
          <bgColor theme="1"/>
        </patternFill>
      </fill>
    </dxf>
    <dxf>
      <font>
        <b val="0"/>
        <strike val="0"/>
        <outline val="0"/>
        <shadow val="0"/>
        <u val="none"/>
        <vertAlign val="baseline"/>
        <sz val="14"/>
        <color theme="0"/>
        <name val="Gill Sans MT"/>
        <family val="2"/>
        <scheme val="major"/>
      </font>
      <fill>
        <patternFill patternType="solid">
          <fgColor indexed="64"/>
          <bgColor theme="1"/>
        </patternFill>
      </fill>
    </dxf>
    <dxf>
      <font>
        <b val="0"/>
        <i val="0"/>
        <strike val="0"/>
        <condense val="0"/>
        <extend val="0"/>
        <outline val="0"/>
        <shadow val="0"/>
        <u val="none"/>
        <vertAlign val="baseline"/>
        <sz val="11"/>
        <color theme="1" tint="0.14993743705557422"/>
        <name val="verdana"/>
        <family val="2"/>
        <scheme val="minor"/>
      </font>
      <fill>
        <patternFill patternType="solid">
          <fgColor indexed="64"/>
          <bgColor rgb="FFF7F7F7"/>
        </patternFill>
      </fill>
      <alignment horizontal="right" vertical="center" textRotation="0" wrapText="0" indent="0" justifyLastLine="0" shrinkToFit="0" readingOrder="0"/>
      <border diagonalUp="0" diagonalDown="0" outline="0">
        <left/>
        <right/>
        <top/>
        <bottom/>
      </border>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1"/>
        <color theme="1" tint="0.14993743705557422"/>
        <name val="verdana"/>
        <family val="2"/>
        <scheme val="minor"/>
      </font>
      <numFmt numFmtId="164" formatCode="&quot;$&quot;#,##0.00"/>
      <fill>
        <patternFill patternType="solid">
          <fgColor indexed="64"/>
          <bgColor rgb="FFF7F7F7"/>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tint="0.14993743705557422"/>
        <name val="verdana"/>
        <family val="2"/>
        <scheme val="minor"/>
      </font>
      <numFmt numFmtId="164" formatCode="&quot;$&quot;#,##0.00"/>
      <fill>
        <patternFill patternType="solid">
          <fgColor indexed="64"/>
          <bgColor rgb="FFF7F7F7"/>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tint="0.14993743705557422"/>
        <name val="verdana"/>
        <family val="2"/>
        <scheme val="minor"/>
      </font>
      <numFmt numFmtId="164" formatCode="&quot;$&quot;#,##0.00"/>
      <fill>
        <patternFill patternType="solid">
          <fgColor indexed="64"/>
          <bgColor rgb="FFF7F7F7"/>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tint="0.14993743705557422"/>
        <name val="verdana"/>
        <family val="2"/>
        <scheme val="minor"/>
      </font>
      <numFmt numFmtId="164" formatCode="&quot;$&quot;#,##0.00"/>
      <fill>
        <patternFill patternType="solid">
          <fgColor indexed="64"/>
          <bgColor rgb="FFF7F7F7"/>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tint="0.14993743705557422"/>
        <name val="verdana"/>
        <family val="2"/>
        <scheme val="minor"/>
      </font>
      <numFmt numFmtId="164" formatCode="&quot;$&quot;#,##0.00"/>
      <fill>
        <patternFill patternType="solid">
          <fgColor indexed="64"/>
          <bgColor rgb="FFF7F7F7"/>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tint="0.14993743705557422"/>
        <name val="verdana"/>
        <family val="2"/>
        <scheme val="minor"/>
      </font>
      <numFmt numFmtId="164" formatCode="&quot;$&quot;#,##0.00"/>
      <fill>
        <patternFill patternType="solid">
          <fgColor indexed="64"/>
          <bgColor rgb="FFF7F7F7"/>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tint="0.14993743705557422"/>
        <name val="verdana"/>
        <family val="2"/>
        <scheme val="minor"/>
      </font>
      <numFmt numFmtId="164" formatCode="&quot;$&quot;#,##0.00"/>
      <fill>
        <patternFill patternType="solid">
          <fgColor indexed="64"/>
          <bgColor rgb="FFF7F7F7"/>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tint="0.14993743705557422"/>
        <name val="verdana"/>
        <family val="2"/>
        <scheme val="minor"/>
      </font>
      <numFmt numFmtId="164" formatCode="&quot;$&quot;#,##0.00"/>
      <fill>
        <patternFill patternType="solid">
          <fgColor indexed="64"/>
          <bgColor rgb="FFF7F7F7"/>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tint="0.14993743705557422"/>
        <name val="verdana"/>
        <family val="2"/>
        <scheme val="minor"/>
      </font>
      <numFmt numFmtId="164" formatCode="&quot;$&quot;#,##0.00"/>
      <fill>
        <patternFill patternType="solid">
          <fgColor indexed="64"/>
          <bgColor rgb="FFF7F7F7"/>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tint="0.14993743705557422"/>
        <name val="verdana"/>
        <family val="2"/>
        <scheme val="minor"/>
      </font>
      <numFmt numFmtId="164" formatCode="&quot;$&quot;#,##0.00"/>
      <fill>
        <patternFill patternType="solid">
          <fgColor indexed="64"/>
          <bgColor rgb="FFF7F7F7"/>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tint="0.14993743705557422"/>
        <name val="verdana"/>
        <family val="2"/>
        <scheme val="minor"/>
      </font>
      <numFmt numFmtId="164" formatCode="&quot;$&quot;#,##0.00"/>
      <fill>
        <patternFill patternType="solid">
          <fgColor indexed="64"/>
          <bgColor rgb="FFF7F7F7"/>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tint="0.14993743705557422"/>
        <name val="verdana"/>
        <family val="2"/>
        <scheme val="minor"/>
      </font>
      <numFmt numFmtId="164" formatCode="&quot;$&quot;#,##0.00"/>
      <fill>
        <patternFill patternType="solid">
          <fgColor indexed="64"/>
          <bgColor rgb="FFF7F7F7"/>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tint="0.14993743705557422"/>
        <name val="verdana"/>
        <family val="2"/>
        <scheme val="minor"/>
      </font>
      <numFmt numFmtId="164" formatCode="&quot;$&quot;#,##0.00"/>
      <fill>
        <patternFill patternType="solid">
          <fgColor indexed="64"/>
          <bgColor rgb="FFF7F7F7"/>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tint="0.14993743705557422"/>
        <name val="verdana"/>
        <family val="2"/>
        <scheme val="minor"/>
      </font>
      <fill>
        <patternFill patternType="solid">
          <fgColor indexed="64"/>
          <bgColor rgb="FFF7F7F7"/>
        </patternFill>
      </fill>
      <alignment horizontal="left" vertical="center" textRotation="0" wrapText="0" indent="1" justifyLastLine="0" shrinkToFit="0" readingOrder="0"/>
      <border diagonalUp="0" diagonalDown="0" outline="0">
        <left/>
        <right/>
        <top/>
        <bottom/>
      </border>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4"/>
        <color theme="5" tint="0.39997558519241921"/>
        <name val="Gill Sans MT"/>
        <family val="2"/>
        <scheme val="major"/>
      </font>
      <fill>
        <patternFill patternType="solid">
          <fgColor indexed="64"/>
          <bgColor rgb="FFF7F7F7"/>
        </patternFill>
      </fill>
      <alignment horizontal="right" vertical="center" textRotation="0" wrapText="0" indent="1" justifyLastLine="0" shrinkToFit="0" readingOrder="0"/>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4"/>
        <color theme="5" tint="0.39997558519241921"/>
        <name val="Gill Sans MT"/>
        <family val="2"/>
        <scheme val="major"/>
      </font>
      <fill>
        <patternFill patternType="solid">
          <fgColor indexed="64"/>
          <bgColor rgb="FFF7F7F7"/>
        </patternFill>
      </fill>
      <alignment horizontal="right" vertical="center" textRotation="0" wrapText="0" indent="1" justifyLastLine="0" shrinkToFit="0" readingOrder="0"/>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4"/>
        <color theme="5" tint="0.39997558519241921"/>
        <name val="Gill Sans MT"/>
        <family val="2"/>
        <scheme val="major"/>
      </font>
      <fill>
        <patternFill patternType="solid">
          <fgColor indexed="64"/>
          <bgColor rgb="FFF7F7F7"/>
        </patternFill>
      </fill>
      <alignment horizontal="right" vertical="center" textRotation="0" wrapText="0" indent="1" justifyLastLine="0" shrinkToFit="0" readingOrder="0"/>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4"/>
        <color theme="5" tint="0.39997558519241921"/>
        <name val="Gill Sans MT"/>
        <family val="2"/>
        <scheme val="major"/>
      </font>
      <fill>
        <patternFill patternType="solid">
          <fgColor indexed="64"/>
          <bgColor rgb="FFF7F7F7"/>
        </patternFill>
      </fill>
      <alignment horizontal="right" vertical="center" textRotation="0" wrapText="0" indent="1" justifyLastLine="0" shrinkToFit="0" readingOrder="0"/>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4"/>
        <color theme="5" tint="0.39997558519241921"/>
        <name val="Gill Sans MT"/>
        <family val="2"/>
        <scheme val="major"/>
      </font>
      <fill>
        <patternFill patternType="solid">
          <fgColor indexed="64"/>
          <bgColor rgb="FFF7F7F7"/>
        </patternFill>
      </fill>
      <alignment horizontal="right" vertical="center" textRotation="0" wrapText="0" indent="1" justifyLastLine="0" shrinkToFit="0" readingOrder="0"/>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4"/>
        <color theme="5" tint="0.39997558519241921"/>
        <name val="Gill Sans MT"/>
        <family val="2"/>
        <scheme val="major"/>
      </font>
      <fill>
        <patternFill patternType="solid">
          <fgColor indexed="64"/>
          <bgColor rgb="FFF7F7F7"/>
        </patternFill>
      </fill>
      <alignment horizontal="right" vertical="center" textRotation="0" wrapText="0" indent="1" justifyLastLine="0" shrinkToFit="0" readingOrder="0"/>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4"/>
        <color theme="5" tint="0.39997558519241921"/>
        <name val="Gill Sans MT"/>
        <family val="2"/>
        <scheme val="major"/>
      </font>
      <fill>
        <patternFill patternType="solid">
          <fgColor indexed="64"/>
          <bgColor rgb="FFF7F7F7"/>
        </patternFill>
      </fill>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fill>
        <patternFill patternType="solid">
          <fgColor indexed="64"/>
          <bgColor rgb="FFF7F7F7"/>
        </patternFill>
      </fill>
      <alignment horizontal="right" vertical="center" textRotation="0" wrapText="0" indent="0" justifyLastLine="0" shrinkToFit="0" readingOrder="0"/>
      <border diagonalUp="0" diagonalDown="0" outline="0">
        <left/>
        <right/>
        <top/>
        <bottom/>
      </border>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1"/>
        <color theme="1" tint="0.14993743705557422"/>
        <name val="verdana"/>
        <family val="2"/>
        <scheme val="minor"/>
      </font>
      <numFmt numFmtId="164" formatCode="&quot;$&quot;#,##0.00"/>
      <fill>
        <patternFill patternType="solid">
          <fgColor indexed="64"/>
          <bgColor rgb="FFF7F7F7"/>
        </patternFill>
      </fill>
      <alignment horizontal="right" vertical="center" textRotation="0" wrapText="0" indent="1" justifyLastLine="0" shrinkToFit="0" readingOrder="0"/>
      <border diagonalUp="0" diagonalDown="0" outline="0">
        <left/>
        <right/>
        <top/>
        <bottom/>
      </border>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1"/>
        <color theme="1" tint="0.14993743705557422"/>
        <name val="verdana"/>
        <family val="2"/>
        <scheme val="minor"/>
      </font>
      <numFmt numFmtId="164" formatCode="&quot;$&quot;#,##0.00"/>
      <fill>
        <patternFill patternType="solid">
          <fgColor indexed="64"/>
          <bgColor rgb="FFF7F7F7"/>
        </patternFill>
      </fill>
      <alignment horizontal="right" vertical="center" textRotation="0" wrapText="0" indent="1" justifyLastLine="0" shrinkToFit="0" readingOrder="0"/>
      <border diagonalUp="0" diagonalDown="0" outline="0">
        <left/>
        <right/>
        <top/>
        <bottom/>
      </border>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1"/>
        <color theme="1" tint="0.14993743705557422"/>
        <name val="verdana"/>
        <family val="2"/>
        <scheme val="minor"/>
      </font>
      <numFmt numFmtId="164" formatCode="&quot;$&quot;#,##0.00"/>
      <fill>
        <patternFill patternType="solid">
          <fgColor indexed="64"/>
          <bgColor rgb="FFF7F7F7"/>
        </patternFill>
      </fill>
      <alignment horizontal="right" vertical="center" textRotation="0" wrapText="0" indent="1" justifyLastLine="0" shrinkToFit="0" readingOrder="0"/>
      <border diagonalUp="0" diagonalDown="0" outline="0">
        <left/>
        <right/>
        <top/>
        <bottom/>
      </border>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1"/>
        <color theme="1" tint="0.14993743705557422"/>
        <name val="verdana"/>
        <family val="2"/>
        <scheme val="minor"/>
      </font>
      <numFmt numFmtId="164" formatCode="&quot;$&quot;#,##0.00"/>
      <fill>
        <patternFill patternType="solid">
          <fgColor indexed="64"/>
          <bgColor rgb="FFF7F7F7"/>
        </patternFill>
      </fill>
      <alignment horizontal="right" vertical="center" textRotation="0" wrapText="0" indent="1" justifyLastLine="0" shrinkToFit="0" readingOrder="0"/>
      <border diagonalUp="0" diagonalDown="0" outline="0">
        <left/>
        <right/>
        <top/>
        <bottom/>
      </border>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1"/>
        <color theme="1" tint="0.14993743705557422"/>
        <name val="verdana"/>
        <family val="2"/>
        <scheme val="minor"/>
      </font>
      <numFmt numFmtId="164" formatCode="&quot;$&quot;#,##0.00"/>
      <fill>
        <patternFill patternType="solid">
          <fgColor indexed="64"/>
          <bgColor rgb="FFF7F7F7"/>
        </patternFill>
      </fill>
      <alignment horizontal="right" vertical="center" textRotation="0" wrapText="0" indent="1" justifyLastLine="0" shrinkToFit="0" readingOrder="0"/>
      <border diagonalUp="0" diagonalDown="0" outline="0">
        <left/>
        <right/>
        <top/>
        <bottom/>
      </border>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1"/>
        <color theme="1" tint="0.14993743705557422"/>
        <name val="verdana"/>
        <family val="2"/>
        <scheme val="minor"/>
      </font>
      <numFmt numFmtId="164" formatCode="&quot;$&quot;#,##0.00"/>
      <fill>
        <patternFill patternType="solid">
          <fgColor indexed="64"/>
          <bgColor rgb="FFF7F7F7"/>
        </patternFill>
      </fill>
      <alignment horizontal="right" vertical="center" textRotation="0" wrapText="0" indent="1" justifyLastLine="0" shrinkToFit="0" readingOrder="0"/>
      <border diagonalUp="0" diagonalDown="0" outline="0">
        <left/>
        <right/>
        <top/>
        <bottom/>
      </border>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1"/>
        <color theme="1" tint="0.14993743705557422"/>
        <name val="verdana"/>
        <family val="2"/>
        <scheme val="minor"/>
      </font>
      <numFmt numFmtId="164" formatCode="&quot;$&quot;#,##0.00"/>
      <fill>
        <patternFill patternType="solid">
          <fgColor indexed="64"/>
          <bgColor rgb="FFF7F7F7"/>
        </patternFill>
      </fill>
      <alignment horizontal="right" vertical="center" textRotation="0" wrapText="0" indent="1" justifyLastLine="0" shrinkToFit="0" readingOrder="0"/>
      <border diagonalUp="0" diagonalDown="0" outline="0">
        <left/>
        <right/>
        <top/>
        <bottom/>
      </border>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1"/>
        <color theme="1" tint="0.14993743705557422"/>
        <name val="verdana"/>
        <family val="2"/>
        <scheme val="minor"/>
      </font>
      <numFmt numFmtId="164" formatCode="&quot;$&quot;#,##0.00"/>
      <fill>
        <patternFill patternType="solid">
          <fgColor indexed="64"/>
          <bgColor rgb="FFF7F7F7"/>
        </patternFill>
      </fill>
      <alignment horizontal="right" vertical="center" textRotation="0" wrapText="0" indent="1" justifyLastLine="0" shrinkToFit="0" readingOrder="0"/>
      <border diagonalUp="0" diagonalDown="0" outline="0">
        <left/>
        <right/>
        <top/>
        <bottom/>
      </border>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1"/>
        <color theme="1" tint="0.14993743705557422"/>
        <name val="verdana"/>
        <family val="2"/>
        <scheme val="minor"/>
      </font>
      <numFmt numFmtId="164" formatCode="&quot;$&quot;#,##0.00"/>
      <fill>
        <patternFill patternType="solid">
          <fgColor indexed="64"/>
          <bgColor rgb="FFF7F7F7"/>
        </patternFill>
      </fill>
      <alignment horizontal="right" vertical="center" textRotation="0" wrapText="0" indent="1" justifyLastLine="0" shrinkToFit="0" readingOrder="0"/>
      <border diagonalUp="0" diagonalDown="0" outline="0">
        <left/>
        <right/>
        <top/>
        <bottom/>
      </border>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1"/>
        <color theme="1" tint="0.14993743705557422"/>
        <name val="verdana"/>
        <family val="2"/>
        <scheme val="minor"/>
      </font>
      <numFmt numFmtId="164" formatCode="&quot;$&quot;#,##0.00"/>
      <fill>
        <patternFill patternType="solid">
          <fgColor indexed="64"/>
          <bgColor rgb="FFF7F7F7"/>
        </patternFill>
      </fill>
      <alignment horizontal="right" vertical="center" textRotation="0" wrapText="0" indent="1" justifyLastLine="0" shrinkToFit="0" readingOrder="0"/>
      <border diagonalUp="0" diagonalDown="0" outline="0">
        <left/>
        <right/>
        <top/>
        <bottom/>
      </border>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1"/>
        <color theme="1" tint="0.14993743705557422"/>
        <name val="verdana"/>
        <family val="2"/>
        <scheme val="minor"/>
      </font>
      <numFmt numFmtId="164" formatCode="&quot;$&quot;#,##0.00"/>
      <fill>
        <patternFill patternType="solid">
          <fgColor indexed="64"/>
          <bgColor rgb="FFF7F7F7"/>
        </patternFill>
      </fill>
      <alignment horizontal="right" vertical="center" textRotation="0" wrapText="0" indent="1" justifyLastLine="0" shrinkToFit="0" readingOrder="0"/>
      <border diagonalUp="0" diagonalDown="0" outline="0">
        <left/>
        <right/>
        <top/>
        <bottom/>
      </border>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1"/>
        <color theme="1" tint="0.14993743705557422"/>
        <name val="verdana"/>
        <family val="2"/>
        <scheme val="minor"/>
      </font>
      <numFmt numFmtId="164" formatCode="&quot;$&quot;#,##0.00"/>
      <fill>
        <patternFill patternType="solid">
          <fgColor indexed="64"/>
          <bgColor rgb="FFF7F7F7"/>
        </patternFill>
      </fill>
      <alignment horizontal="right" vertical="center" textRotation="0" wrapText="0" indent="1" justifyLastLine="0" shrinkToFit="0" readingOrder="0"/>
      <border diagonalUp="0" diagonalDown="0" outline="0">
        <left/>
        <right/>
        <top/>
        <bottom/>
      </border>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1"/>
        <color theme="1" tint="0.14993743705557422"/>
        <name val="verdana"/>
        <family val="2"/>
        <scheme val="minor"/>
      </font>
      <numFmt numFmtId="164" formatCode="&quot;$&quot;#,##0.00"/>
      <fill>
        <patternFill patternType="solid">
          <fgColor indexed="64"/>
          <bgColor rgb="FFF7F7F7"/>
        </patternFill>
      </fill>
      <alignment horizontal="right" vertical="center" textRotation="0" wrapText="0" indent="1" justifyLastLine="0" shrinkToFit="0" readingOrder="0"/>
      <border diagonalUp="0" diagonalDown="0" outline="0">
        <left/>
        <right/>
        <top/>
        <bottom/>
      </border>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1"/>
        <color theme="1" tint="0.14993743705557422"/>
        <name val="verdana"/>
        <family val="2"/>
        <scheme val="minor"/>
      </font>
      <fill>
        <patternFill patternType="solid">
          <fgColor indexed="64"/>
          <bgColor rgb="FFF7F7F7"/>
        </patternFill>
      </fill>
      <alignment horizontal="left" vertical="center" textRotation="0" wrapText="0" indent="1" justifyLastLine="0" shrinkToFit="0" readingOrder="0"/>
      <border diagonalUp="0" diagonalDown="0" outline="0">
        <left/>
        <right/>
        <top/>
        <bottom/>
      </border>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4"/>
        <color theme="5" tint="0.39997558519241921"/>
        <name val="Gill Sans MT"/>
        <family val="2"/>
        <scheme val="major"/>
      </font>
      <fill>
        <patternFill patternType="solid">
          <fgColor indexed="64"/>
          <bgColor rgb="FFF7F7F7"/>
        </patternFill>
      </fill>
      <alignment horizontal="right" vertical="center" textRotation="0" wrapText="0" indent="1" justifyLastLine="0" shrinkToFit="0" readingOrder="0"/>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4"/>
        <color theme="5" tint="0.39997558519241921"/>
        <name val="Gill Sans MT"/>
        <family val="2"/>
        <scheme val="major"/>
      </font>
      <fill>
        <patternFill patternType="solid">
          <fgColor indexed="64"/>
          <bgColor rgb="FFF7F7F7"/>
        </patternFill>
      </fill>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fill>
        <patternFill patternType="solid">
          <fgColor indexed="64"/>
          <bgColor rgb="FFF7F7F7"/>
        </patternFill>
      </fill>
      <alignment horizontal="right" vertical="center" textRotation="0" wrapText="0" indent="0" justifyLastLine="0" shrinkToFit="0" readingOrder="0"/>
      <border diagonalUp="0" diagonalDown="0" outline="0">
        <left/>
        <right/>
        <top/>
        <bottom/>
      </border>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1"/>
        <color theme="1" tint="0.14993743705557422"/>
        <name val="verdana"/>
        <family val="2"/>
        <scheme val="minor"/>
      </font>
      <numFmt numFmtId="164" formatCode="&quot;$&quot;#,##0.00"/>
      <fill>
        <patternFill patternType="solid">
          <fgColor indexed="64"/>
          <bgColor rgb="FFF7F7F7"/>
        </patternFill>
      </fill>
      <alignment horizontal="right" vertical="center" textRotation="0" wrapText="0" indent="1" justifyLastLine="0" shrinkToFit="0" readingOrder="0"/>
      <border diagonalUp="0" diagonalDown="0" outline="0">
        <left/>
        <right/>
        <top/>
        <bottom/>
      </border>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1"/>
        <color theme="1" tint="0.14993743705557422"/>
        <name val="verdana"/>
        <family val="2"/>
        <scheme val="minor"/>
      </font>
      <numFmt numFmtId="164" formatCode="&quot;$&quot;#,##0.00"/>
      <fill>
        <patternFill patternType="solid">
          <fgColor indexed="64"/>
          <bgColor rgb="FFF7F7F7"/>
        </patternFill>
      </fill>
      <alignment horizontal="right" vertical="center" textRotation="0" wrapText="0" indent="1" justifyLastLine="0" shrinkToFit="0" readingOrder="0"/>
      <border diagonalUp="0" diagonalDown="0" outline="0">
        <left/>
        <right/>
        <top/>
        <bottom/>
      </border>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1"/>
        <color theme="1" tint="0.14993743705557422"/>
        <name val="verdana"/>
        <family val="2"/>
        <scheme val="minor"/>
      </font>
      <numFmt numFmtId="164" formatCode="&quot;$&quot;#,##0.00"/>
      <fill>
        <patternFill patternType="solid">
          <fgColor indexed="64"/>
          <bgColor rgb="FFF7F7F7"/>
        </patternFill>
      </fill>
      <alignment horizontal="right" vertical="center" textRotation="0" wrapText="0" indent="1" justifyLastLine="0" shrinkToFit="0" readingOrder="0"/>
      <border diagonalUp="0" diagonalDown="0" outline="0">
        <left/>
        <right/>
        <top/>
        <bottom/>
      </border>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1"/>
        <color theme="1" tint="0.14993743705557422"/>
        <name val="verdana"/>
        <family val="2"/>
        <scheme val="minor"/>
      </font>
      <numFmt numFmtId="164" formatCode="&quot;$&quot;#,##0.00"/>
      <fill>
        <patternFill patternType="solid">
          <fgColor indexed="64"/>
          <bgColor rgb="FFF7F7F7"/>
        </patternFill>
      </fill>
      <alignment horizontal="right" vertical="center" textRotation="0" wrapText="0" indent="1" justifyLastLine="0" shrinkToFit="0" readingOrder="0"/>
      <border diagonalUp="0" diagonalDown="0" outline="0">
        <left/>
        <right/>
        <top/>
        <bottom/>
      </border>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1"/>
        <color theme="1" tint="0.14993743705557422"/>
        <name val="verdana"/>
        <family val="2"/>
        <scheme val="minor"/>
      </font>
      <numFmt numFmtId="164" formatCode="&quot;$&quot;#,##0.00"/>
      <fill>
        <patternFill patternType="solid">
          <fgColor indexed="64"/>
          <bgColor rgb="FFF7F7F7"/>
        </patternFill>
      </fill>
      <alignment horizontal="right" vertical="center" textRotation="0" wrapText="0" indent="1" justifyLastLine="0" shrinkToFit="0" readingOrder="0"/>
      <border diagonalUp="0" diagonalDown="0" outline="0">
        <left/>
        <right/>
        <top/>
        <bottom/>
      </border>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1"/>
        <color theme="1" tint="0.14993743705557422"/>
        <name val="verdana"/>
        <family val="2"/>
        <scheme val="minor"/>
      </font>
      <numFmt numFmtId="164" formatCode="&quot;$&quot;#,##0.00"/>
      <fill>
        <patternFill patternType="solid">
          <fgColor indexed="64"/>
          <bgColor rgb="FFF7F7F7"/>
        </patternFill>
      </fill>
      <alignment horizontal="right" vertical="center" textRotation="0" wrapText="0" indent="1" justifyLastLine="0" shrinkToFit="0" readingOrder="0"/>
      <border diagonalUp="0" diagonalDown="0" outline="0">
        <left/>
        <right/>
        <top/>
        <bottom/>
      </border>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1"/>
        <color theme="1" tint="0.14993743705557422"/>
        <name val="verdana"/>
        <family val="2"/>
        <scheme val="minor"/>
      </font>
      <numFmt numFmtId="164" formatCode="&quot;$&quot;#,##0.00"/>
      <fill>
        <patternFill patternType="solid">
          <fgColor indexed="64"/>
          <bgColor rgb="FFF7F7F7"/>
        </patternFill>
      </fill>
      <alignment horizontal="right" vertical="center" textRotation="0" wrapText="0" indent="1" justifyLastLine="0" shrinkToFit="0" readingOrder="0"/>
      <border diagonalUp="0" diagonalDown="0" outline="0">
        <left/>
        <right/>
        <top/>
        <bottom/>
      </border>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1"/>
        <color theme="1" tint="0.14993743705557422"/>
        <name val="verdana"/>
        <family val="2"/>
        <scheme val="minor"/>
      </font>
      <numFmt numFmtId="164" formatCode="&quot;$&quot;#,##0.00"/>
      <fill>
        <patternFill patternType="solid">
          <fgColor indexed="64"/>
          <bgColor rgb="FFF7F7F7"/>
        </patternFill>
      </fill>
      <alignment horizontal="right" vertical="center" textRotation="0" wrapText="0" indent="1" justifyLastLine="0" shrinkToFit="0" readingOrder="0"/>
      <border diagonalUp="0" diagonalDown="0" outline="0">
        <left/>
        <right/>
        <top/>
        <bottom/>
      </border>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1"/>
        <color theme="1" tint="0.14993743705557422"/>
        <name val="verdana"/>
        <family val="2"/>
        <scheme val="minor"/>
      </font>
      <numFmt numFmtId="164" formatCode="&quot;$&quot;#,##0.00"/>
      <fill>
        <patternFill patternType="solid">
          <fgColor indexed="64"/>
          <bgColor rgb="FFF7F7F7"/>
        </patternFill>
      </fill>
      <alignment horizontal="right" vertical="center" textRotation="0" wrapText="0" indent="1" justifyLastLine="0" shrinkToFit="0" readingOrder="0"/>
      <border diagonalUp="0" diagonalDown="0" outline="0">
        <left/>
        <right/>
        <top/>
        <bottom/>
      </border>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1"/>
        <color theme="1" tint="0.14993743705557422"/>
        <name val="verdana"/>
        <family val="2"/>
        <scheme val="minor"/>
      </font>
      <numFmt numFmtId="164" formatCode="&quot;$&quot;#,##0.00"/>
      <fill>
        <patternFill patternType="solid">
          <fgColor indexed="64"/>
          <bgColor rgb="FFF7F7F7"/>
        </patternFill>
      </fill>
      <alignment horizontal="right" vertical="center" textRotation="0" wrapText="0" indent="1" justifyLastLine="0" shrinkToFit="0" readingOrder="0"/>
      <border diagonalUp="0" diagonalDown="0" outline="0">
        <left/>
        <right/>
        <top/>
        <bottom/>
      </border>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1"/>
        <color theme="1" tint="0.14993743705557422"/>
        <name val="verdana"/>
        <family val="2"/>
        <scheme val="minor"/>
      </font>
      <numFmt numFmtId="164" formatCode="&quot;$&quot;#,##0.00"/>
      <fill>
        <patternFill patternType="solid">
          <fgColor indexed="64"/>
          <bgColor rgb="FFF7F7F7"/>
        </patternFill>
      </fill>
      <alignment horizontal="right" vertical="center" textRotation="0" wrapText="0" indent="1" justifyLastLine="0" shrinkToFit="0" readingOrder="0"/>
      <border diagonalUp="0" diagonalDown="0" outline="0">
        <left/>
        <right/>
        <top/>
        <bottom/>
      </border>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1"/>
        <color theme="1" tint="0.14993743705557422"/>
        <name val="verdana"/>
        <family val="2"/>
        <scheme val="minor"/>
      </font>
      <numFmt numFmtId="164" formatCode="&quot;$&quot;#,##0.00"/>
      <fill>
        <patternFill patternType="solid">
          <fgColor indexed="64"/>
          <bgColor rgb="FFF7F7F7"/>
        </patternFill>
      </fill>
      <alignment horizontal="right" vertical="center" textRotation="0" wrapText="0" indent="1" justifyLastLine="0" shrinkToFit="0" readingOrder="0"/>
      <border diagonalUp="0" diagonalDown="0" outline="0">
        <left/>
        <right/>
        <top/>
        <bottom/>
      </border>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1"/>
        <color theme="1" tint="0.14993743705557422"/>
        <name val="verdana"/>
        <family val="2"/>
        <scheme val="minor"/>
      </font>
      <numFmt numFmtId="164" formatCode="&quot;$&quot;#,##0.00"/>
      <fill>
        <patternFill patternType="solid">
          <fgColor indexed="64"/>
          <bgColor rgb="FFF7F7F7"/>
        </patternFill>
      </fill>
      <alignment horizontal="right" vertical="center" textRotation="0" wrapText="0" indent="1" justifyLastLine="0" shrinkToFit="0" readingOrder="0"/>
      <border diagonalUp="0" diagonalDown="0" outline="0">
        <left/>
        <right/>
        <top/>
        <bottom/>
      </border>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1"/>
        <color theme="1" tint="0.14993743705557422"/>
        <name val="verdana"/>
        <family val="2"/>
        <scheme val="minor"/>
      </font>
      <fill>
        <patternFill patternType="solid">
          <fgColor indexed="64"/>
          <bgColor rgb="FFF7F7F7"/>
        </patternFill>
      </fill>
      <alignment horizontal="left" vertical="center" textRotation="0" wrapText="0" indent="1" justifyLastLine="0" shrinkToFit="0" readingOrder="0"/>
      <border diagonalUp="0" diagonalDown="0" outline="0">
        <left/>
        <right/>
        <top/>
        <bottom/>
      </border>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4"/>
        <color theme="5" tint="0.39997558519241921"/>
        <name val="Gill Sans MT"/>
        <family val="2"/>
        <scheme val="major"/>
      </font>
      <fill>
        <patternFill patternType="solid">
          <fgColor indexed="64"/>
          <bgColor rgb="FFF7F7F7"/>
        </patternFill>
      </fill>
      <alignment horizontal="right" vertical="center" textRotation="0" wrapText="0" indent="1" justifyLastLine="0" shrinkToFit="0" readingOrder="0"/>
    </dxf>
    <dxf>
      <font>
        <b val="0"/>
        <i val="0"/>
        <strike val="0"/>
        <condense val="0"/>
        <extend val="0"/>
        <outline val="0"/>
        <shadow val="0"/>
        <u val="none"/>
        <vertAlign val="baseline"/>
        <sz val="11"/>
        <color theme="1" tint="0.14993743705557422"/>
        <name val="verdana"/>
        <family val="2"/>
        <scheme val="minor"/>
      </font>
      <fill>
        <patternFill patternType="solid">
          <fgColor indexed="64"/>
          <bgColor rgb="FFF7F7F7"/>
        </patternFill>
      </fill>
      <alignment horizontal="right" vertical="center" textRotation="0" wrapText="0" indent="0" justifyLastLine="0" shrinkToFit="0" readingOrder="0"/>
      <border diagonalUp="0" diagonalDown="0" outline="0">
        <left/>
        <right/>
        <top/>
        <bottom/>
      </border>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1"/>
        <color theme="1" tint="0.14993743705557422"/>
        <name val="verdana"/>
        <family val="2"/>
        <scheme val="minor"/>
      </font>
      <numFmt numFmtId="164" formatCode="&quot;$&quot;#,##0.00"/>
      <fill>
        <patternFill patternType="solid">
          <fgColor indexed="64"/>
          <bgColor rgb="FFF7F7F7"/>
        </patternFill>
      </fill>
      <alignment horizontal="right" vertical="center" textRotation="0" wrapText="0" indent="1" justifyLastLine="0" shrinkToFit="0" readingOrder="0"/>
      <border diagonalUp="0" diagonalDown="0" outline="0">
        <left/>
        <right/>
        <top/>
        <bottom/>
      </border>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1"/>
        <color theme="1" tint="0.14993743705557422"/>
        <name val="verdana"/>
        <family val="2"/>
        <scheme val="minor"/>
      </font>
      <numFmt numFmtId="164" formatCode="&quot;$&quot;#,##0.00"/>
      <fill>
        <patternFill patternType="solid">
          <fgColor indexed="64"/>
          <bgColor rgb="FFF7F7F7"/>
        </patternFill>
      </fill>
      <alignment horizontal="right" vertical="center" textRotation="0" wrapText="0" indent="1" justifyLastLine="0" shrinkToFit="0" readingOrder="0"/>
      <border diagonalUp="0" diagonalDown="0" outline="0">
        <left/>
        <right/>
        <top/>
        <bottom/>
      </border>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1"/>
        <color theme="1" tint="0.14993743705557422"/>
        <name val="verdana"/>
        <family val="2"/>
        <scheme val="minor"/>
      </font>
      <numFmt numFmtId="164" formatCode="&quot;$&quot;#,##0.00"/>
      <fill>
        <patternFill patternType="solid">
          <fgColor indexed="64"/>
          <bgColor rgb="FFF7F7F7"/>
        </patternFill>
      </fill>
      <alignment horizontal="right" vertical="center" textRotation="0" wrapText="0" indent="1" justifyLastLine="0" shrinkToFit="0" readingOrder="0"/>
      <border diagonalUp="0" diagonalDown="0" outline="0">
        <left/>
        <right/>
        <top/>
        <bottom/>
      </border>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1"/>
        <color theme="1" tint="0.14993743705557422"/>
        <name val="verdana"/>
        <family val="2"/>
        <scheme val="minor"/>
      </font>
      <numFmt numFmtId="164" formatCode="&quot;$&quot;#,##0.00"/>
      <fill>
        <patternFill patternType="solid">
          <fgColor indexed="64"/>
          <bgColor rgb="FFF7F7F7"/>
        </patternFill>
      </fill>
      <alignment horizontal="right" vertical="center" textRotation="0" wrapText="0" indent="1" justifyLastLine="0" shrinkToFit="0" readingOrder="0"/>
      <border diagonalUp="0" diagonalDown="0" outline="0">
        <left/>
        <right/>
        <top/>
        <bottom/>
      </border>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1"/>
        <color theme="1" tint="0.14993743705557422"/>
        <name val="verdana"/>
        <family val="2"/>
        <scheme val="minor"/>
      </font>
      <numFmt numFmtId="164" formatCode="&quot;$&quot;#,##0.00"/>
      <fill>
        <patternFill patternType="solid">
          <fgColor indexed="64"/>
          <bgColor rgb="FFF7F7F7"/>
        </patternFill>
      </fill>
      <alignment horizontal="right" vertical="center" textRotation="0" wrapText="0" indent="1" justifyLastLine="0" shrinkToFit="0" readingOrder="0"/>
      <border diagonalUp="0" diagonalDown="0" outline="0">
        <left/>
        <right/>
        <top/>
        <bottom/>
      </border>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1"/>
        <color theme="1" tint="0.14993743705557422"/>
        <name val="verdana"/>
        <family val="2"/>
        <scheme val="minor"/>
      </font>
      <numFmt numFmtId="164" formatCode="&quot;$&quot;#,##0.00"/>
      <fill>
        <patternFill patternType="solid">
          <fgColor indexed="64"/>
          <bgColor rgb="FFF7F7F7"/>
        </patternFill>
      </fill>
      <alignment horizontal="right" vertical="center" textRotation="0" wrapText="0" indent="1" justifyLastLine="0" shrinkToFit="0" readingOrder="0"/>
      <border diagonalUp="0" diagonalDown="0" outline="0">
        <left/>
        <right/>
        <top/>
        <bottom/>
      </border>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1"/>
        <color theme="1" tint="0.14993743705557422"/>
        <name val="verdana"/>
        <family val="2"/>
        <scheme val="minor"/>
      </font>
      <numFmt numFmtId="164" formatCode="&quot;$&quot;#,##0.00"/>
      <fill>
        <patternFill patternType="solid">
          <fgColor indexed="64"/>
          <bgColor rgb="FFF7F7F7"/>
        </patternFill>
      </fill>
      <alignment horizontal="right" vertical="center" textRotation="0" wrapText="0" indent="1" justifyLastLine="0" shrinkToFit="0" readingOrder="0"/>
      <border diagonalUp="0" diagonalDown="0" outline="0">
        <left/>
        <right/>
        <top/>
        <bottom/>
      </border>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1"/>
        <color theme="1" tint="0.14993743705557422"/>
        <name val="verdana"/>
        <family val="2"/>
        <scheme val="minor"/>
      </font>
      <numFmt numFmtId="164" formatCode="&quot;$&quot;#,##0.00"/>
      <fill>
        <patternFill patternType="solid">
          <fgColor indexed="64"/>
          <bgColor rgb="FFF7F7F7"/>
        </patternFill>
      </fill>
      <alignment horizontal="right" vertical="center" textRotation="0" wrapText="0" indent="1" justifyLastLine="0" shrinkToFit="0" readingOrder="0"/>
      <border diagonalUp="0" diagonalDown="0" outline="0">
        <left/>
        <right/>
        <top/>
        <bottom/>
      </border>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1"/>
        <color theme="1" tint="0.14993743705557422"/>
        <name val="verdana"/>
        <family val="2"/>
        <scheme val="minor"/>
      </font>
      <numFmt numFmtId="164" formatCode="&quot;$&quot;#,##0.00"/>
      <fill>
        <patternFill patternType="solid">
          <fgColor indexed="64"/>
          <bgColor rgb="FFF7F7F7"/>
        </patternFill>
      </fill>
      <alignment horizontal="right" vertical="center" textRotation="0" wrapText="0" indent="1" justifyLastLine="0" shrinkToFit="0" readingOrder="0"/>
      <border diagonalUp="0" diagonalDown="0" outline="0">
        <left/>
        <right/>
        <top/>
        <bottom/>
      </border>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1"/>
        <color theme="1" tint="0.14993743705557422"/>
        <name val="verdana"/>
        <family val="2"/>
        <scheme val="minor"/>
      </font>
      <numFmt numFmtId="164" formatCode="&quot;$&quot;#,##0.00"/>
      <fill>
        <patternFill patternType="solid">
          <fgColor indexed="64"/>
          <bgColor rgb="FFF7F7F7"/>
        </patternFill>
      </fill>
      <alignment horizontal="right" vertical="center" textRotation="0" wrapText="0" indent="1" justifyLastLine="0" shrinkToFit="0" readingOrder="0"/>
      <border diagonalUp="0" diagonalDown="0" outline="0">
        <left/>
        <right/>
        <top/>
        <bottom/>
      </border>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1"/>
        <color theme="1" tint="0.14993743705557422"/>
        <name val="verdana"/>
        <family val="2"/>
        <scheme val="minor"/>
      </font>
      <numFmt numFmtId="164" formatCode="&quot;$&quot;#,##0.00"/>
      <fill>
        <patternFill patternType="solid">
          <fgColor indexed="64"/>
          <bgColor rgb="FFF7F7F7"/>
        </patternFill>
      </fill>
      <alignment horizontal="right" vertical="center" textRotation="0" wrapText="0" indent="1" justifyLastLine="0" shrinkToFit="0" readingOrder="0"/>
      <border diagonalUp="0" diagonalDown="0" outline="0">
        <left/>
        <right/>
        <top/>
        <bottom/>
      </border>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1"/>
        <color theme="1" tint="0.14993743705557422"/>
        <name val="verdana"/>
        <family val="2"/>
        <scheme val="minor"/>
      </font>
      <numFmt numFmtId="164" formatCode="&quot;$&quot;#,##0.00"/>
      <fill>
        <patternFill patternType="solid">
          <fgColor indexed="64"/>
          <bgColor rgb="FFF7F7F7"/>
        </patternFill>
      </fill>
      <alignment horizontal="right" vertical="center" textRotation="0" wrapText="0" indent="1" justifyLastLine="0" shrinkToFit="0" readingOrder="0"/>
      <border diagonalUp="0" diagonalDown="0" outline="0">
        <left/>
        <right/>
        <top/>
        <bottom/>
      </border>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1"/>
        <color theme="1" tint="0.14993743705557422"/>
        <name val="verdana"/>
        <family val="2"/>
        <scheme val="minor"/>
      </font>
      <numFmt numFmtId="164" formatCode="&quot;$&quot;#,##0.00"/>
      <fill>
        <patternFill patternType="solid">
          <fgColor indexed="64"/>
          <bgColor rgb="FFF7F7F7"/>
        </patternFill>
      </fill>
      <alignment horizontal="right" vertical="center" textRotation="0" wrapText="0" indent="1" justifyLastLine="0" shrinkToFit="0" readingOrder="0"/>
      <border diagonalUp="0" diagonalDown="0" outline="0">
        <left/>
        <right/>
        <top/>
        <bottom/>
      </border>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1"/>
        <color theme="1" tint="0.14993743705557422"/>
        <name val="verdana"/>
        <family val="2"/>
        <scheme val="minor"/>
      </font>
      <fill>
        <patternFill patternType="solid">
          <fgColor indexed="64"/>
          <bgColor rgb="FFF7F7F7"/>
        </patternFill>
      </fill>
      <alignment horizontal="left" vertical="center" textRotation="0" wrapText="0" indent="1" justifyLastLine="0" shrinkToFit="0" readingOrder="0"/>
      <border diagonalUp="0" diagonalDown="0" outline="0">
        <left/>
        <right/>
        <top/>
        <bottom/>
      </border>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strike val="0"/>
        <outline val="0"/>
        <shadow val="0"/>
        <u val="none"/>
        <vertAlign val="baseline"/>
        <sz val="11"/>
        <color theme="1" tint="0.14993743705557422"/>
        <name val="verdana"/>
        <family val="2"/>
        <scheme val="minor"/>
      </font>
    </dxf>
    <dxf>
      <font>
        <b val="0"/>
        <i val="0"/>
        <strike val="0"/>
        <condense val="0"/>
        <extend val="0"/>
        <outline val="0"/>
        <shadow val="0"/>
        <u val="none"/>
        <vertAlign val="baseline"/>
        <sz val="14"/>
        <color auto="1"/>
        <name val="Gill Sans MT"/>
        <family val="2"/>
        <scheme val="major"/>
      </font>
      <fill>
        <patternFill patternType="solid">
          <fgColor indexed="64"/>
          <bgColor rgb="FFF7F7F7"/>
        </patternFill>
      </fill>
      <alignment horizontal="right" vertical="center" textRotation="0" wrapText="0" indent="1" justifyLastLine="0" shrinkToFit="0" readingOrder="0"/>
    </dxf>
    <dxf>
      <font>
        <strike val="0"/>
        <outline val="0"/>
        <shadow val="0"/>
        <u val="none"/>
        <vertAlign val="baseline"/>
        <sz val="11"/>
      </font>
    </dxf>
    <dxf>
      <font>
        <strike val="0"/>
        <outline val="0"/>
        <shadow val="0"/>
        <u val="none"/>
        <vertAlign val="baseline"/>
        <sz val="11"/>
      </font>
    </dxf>
    <dxf>
      <font>
        <strike val="0"/>
        <outline val="0"/>
        <shadow val="0"/>
        <u val="none"/>
        <vertAlign val="baseline"/>
        <sz val="11"/>
      </font>
    </dxf>
    <dxf>
      <font>
        <strike val="0"/>
        <outline val="0"/>
        <shadow val="0"/>
        <u val="none"/>
        <vertAlign val="baseline"/>
        <sz val="11"/>
      </font>
    </dxf>
    <dxf>
      <font>
        <strike val="0"/>
        <outline val="0"/>
        <shadow val="0"/>
        <u val="none"/>
        <vertAlign val="baseline"/>
        <sz val="11"/>
      </font>
    </dxf>
    <dxf>
      <font>
        <strike val="0"/>
        <outline val="0"/>
        <shadow val="0"/>
        <u val="none"/>
        <vertAlign val="baseline"/>
        <sz val="11"/>
      </font>
    </dxf>
    <dxf>
      <font>
        <strike val="0"/>
        <outline val="0"/>
        <shadow val="0"/>
        <u val="none"/>
        <vertAlign val="baseline"/>
        <sz val="11"/>
      </font>
    </dxf>
    <dxf>
      <font>
        <strike val="0"/>
        <outline val="0"/>
        <shadow val="0"/>
        <u val="none"/>
        <vertAlign val="baseline"/>
        <sz val="11"/>
      </font>
    </dxf>
    <dxf>
      <font>
        <strike val="0"/>
        <outline val="0"/>
        <shadow val="0"/>
        <u val="none"/>
        <vertAlign val="baseline"/>
        <sz val="11"/>
      </font>
    </dxf>
    <dxf>
      <font>
        <strike val="0"/>
        <outline val="0"/>
        <shadow val="0"/>
        <u val="none"/>
        <vertAlign val="baseline"/>
        <sz val="11"/>
      </font>
    </dxf>
    <dxf>
      <font>
        <strike val="0"/>
        <outline val="0"/>
        <shadow val="0"/>
        <u val="none"/>
        <vertAlign val="baseline"/>
        <sz val="11"/>
      </font>
    </dxf>
    <dxf>
      <font>
        <strike val="0"/>
        <outline val="0"/>
        <shadow val="0"/>
        <u val="none"/>
        <vertAlign val="baseline"/>
        <sz val="11"/>
      </font>
    </dxf>
    <dxf>
      <font>
        <strike val="0"/>
        <outline val="0"/>
        <shadow val="0"/>
        <u val="none"/>
        <vertAlign val="baseline"/>
        <sz val="11"/>
      </font>
    </dxf>
    <dxf>
      <font>
        <strike val="0"/>
        <outline val="0"/>
        <shadow val="0"/>
        <u val="none"/>
        <vertAlign val="baseline"/>
        <sz val="11"/>
      </font>
    </dxf>
    <dxf>
      <font>
        <strike val="0"/>
        <outline val="0"/>
        <shadow val="0"/>
        <u val="none"/>
        <vertAlign val="baseline"/>
        <sz val="11"/>
      </font>
    </dxf>
    <dxf>
      <font>
        <strike val="0"/>
        <outline val="0"/>
        <shadow val="0"/>
        <u val="none"/>
        <vertAlign val="baseline"/>
        <sz val="11"/>
      </font>
    </dxf>
    <dxf>
      <font>
        <strike val="0"/>
        <outline val="0"/>
        <shadow val="0"/>
        <u val="none"/>
        <vertAlign val="baseline"/>
        <sz val="11"/>
      </font>
    </dxf>
    <dxf>
      <font>
        <strike val="0"/>
        <outline val="0"/>
        <shadow val="0"/>
        <u val="none"/>
        <vertAlign val="baseline"/>
        <sz val="11"/>
      </font>
    </dxf>
    <dxf>
      <font>
        <strike val="0"/>
        <outline val="0"/>
        <shadow val="0"/>
        <u val="none"/>
        <vertAlign val="baseline"/>
        <sz val="11"/>
      </font>
    </dxf>
    <dxf>
      <font>
        <strike val="0"/>
        <outline val="0"/>
        <shadow val="0"/>
        <u val="none"/>
        <vertAlign val="baseline"/>
        <sz val="11"/>
      </font>
    </dxf>
    <dxf>
      <font>
        <strike val="0"/>
        <outline val="0"/>
        <shadow val="0"/>
        <u val="none"/>
        <vertAlign val="baseline"/>
        <sz val="11"/>
      </font>
    </dxf>
    <dxf>
      <font>
        <strike val="0"/>
        <outline val="0"/>
        <shadow val="0"/>
        <u val="none"/>
        <vertAlign val="baseline"/>
        <sz val="11"/>
      </font>
    </dxf>
    <dxf>
      <font>
        <strike val="0"/>
        <outline val="0"/>
        <shadow val="0"/>
        <u val="none"/>
        <vertAlign val="baseline"/>
        <sz val="11"/>
      </font>
    </dxf>
    <dxf>
      <font>
        <strike val="0"/>
        <outline val="0"/>
        <shadow val="0"/>
        <u val="none"/>
        <vertAlign val="baseline"/>
        <sz val="11"/>
      </font>
    </dxf>
    <dxf>
      <font>
        <strike val="0"/>
        <outline val="0"/>
        <shadow val="0"/>
        <u val="none"/>
        <vertAlign val="baseline"/>
        <sz val="11"/>
      </font>
    </dxf>
    <dxf>
      <font>
        <strike val="0"/>
        <outline val="0"/>
        <shadow val="0"/>
        <u val="none"/>
        <vertAlign val="baseline"/>
        <sz val="11"/>
      </font>
    </dxf>
    <dxf>
      <font>
        <strike val="0"/>
        <outline val="0"/>
        <shadow val="0"/>
        <u val="none"/>
        <vertAlign val="baseline"/>
        <sz val="11"/>
      </font>
    </dxf>
    <dxf>
      <font>
        <strike val="0"/>
        <outline val="0"/>
        <shadow val="0"/>
        <u val="none"/>
        <vertAlign val="baseline"/>
        <sz val="11"/>
      </font>
    </dxf>
    <dxf>
      <font>
        <strike val="0"/>
        <outline val="0"/>
        <shadow val="0"/>
        <u val="none"/>
        <vertAlign val="baseline"/>
        <sz val="11"/>
      </font>
    </dxf>
    <dxf>
      <font>
        <strike val="0"/>
        <outline val="0"/>
        <shadow val="0"/>
        <u val="none"/>
        <vertAlign val="baseline"/>
        <sz val="11"/>
      </font>
    </dxf>
    <dxf>
      <font>
        <strike val="0"/>
        <outline val="0"/>
        <shadow val="0"/>
        <u val="none"/>
        <vertAlign val="baseline"/>
        <sz val="11"/>
      </font>
    </dxf>
    <dxf>
      <font>
        <strike val="0"/>
        <outline val="0"/>
        <shadow val="0"/>
        <u val="none"/>
        <vertAlign val="baseline"/>
        <sz val="11"/>
      </font>
    </dxf>
    <dxf>
      <font>
        <b val="0"/>
        <i val="0"/>
        <strike val="0"/>
        <condense val="0"/>
        <extend val="0"/>
        <outline val="0"/>
        <shadow val="0"/>
        <u val="none"/>
        <vertAlign val="baseline"/>
        <sz val="14"/>
        <color auto="1"/>
        <name val="Gill Sans MT"/>
        <family val="2"/>
        <scheme val="major"/>
      </font>
      <fill>
        <patternFill patternType="solid">
          <fgColor indexed="64"/>
          <bgColor rgb="FFF7F7F7"/>
        </patternFill>
      </fill>
      <alignment horizontal="right" vertical="center" textRotation="0" wrapText="0" indent="1" justifyLastLine="0" shrinkToFit="0" readingOrder="0"/>
    </dxf>
    <dxf>
      <fill>
        <patternFill>
          <bgColor theme="5" tint="0.79998168889431442"/>
        </patternFill>
      </fill>
    </dxf>
    <dxf>
      <border>
        <left style="thin">
          <color theme="5" tint="0.39994506668294322"/>
        </left>
        <right style="thin">
          <color theme="5" tint="0.39994506668294322"/>
        </right>
        <top style="thin">
          <color theme="5" tint="0.39994506668294322"/>
        </top>
        <bottom style="thin">
          <color theme="5" tint="0.39994506668294322"/>
        </bottom>
        <vertical style="thin">
          <color theme="5" tint="0.39994506668294322"/>
        </vertical>
        <horizontal style="thin">
          <color theme="5" tint="0.39994506668294322"/>
        </horizontal>
      </border>
    </dxf>
    <dxf>
      <border>
        <left style="thin">
          <color theme="5" tint="0.39994506668294322"/>
        </left>
        <right style="thin">
          <color theme="5" tint="0.39994506668294322"/>
        </right>
        <top style="thin">
          <color theme="5" tint="0.39994506668294322"/>
        </top>
        <bottom style="thin">
          <color theme="5" tint="0.39994506668294322"/>
        </bottom>
        <vertical style="thin">
          <color theme="5" tint="0.39994506668294322"/>
        </vertical>
        <horizontal style="thin">
          <color theme="5" tint="0.39994506668294322"/>
        </horizontal>
      </border>
    </dxf>
    <dxf>
      <font>
        <u val="none"/>
        <color theme="1"/>
      </font>
      <fill>
        <patternFill>
          <fgColor theme="5" tint="0.79998168889431442"/>
          <bgColor theme="5" tint="0.79995117038483843"/>
        </patternFill>
      </fill>
    </dxf>
    <dxf>
      <fill>
        <patternFill>
          <bgColor theme="5" tint="0.39994506668294322"/>
        </patternFill>
      </fill>
    </dxf>
    <dxf>
      <border>
        <vertical style="thin">
          <color theme="5" tint="0.39994506668294322"/>
        </vertical>
        <horizontal style="thin">
          <color theme="5" tint="0.39994506668294322"/>
        </horizontal>
      </border>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val="0"/>
        <i val="0"/>
        <color theme="6" tint="-0.499984740745262"/>
      </font>
      <fill>
        <patternFill patternType="solid">
          <fgColor theme="6" tint="0.79998168889431442"/>
          <bgColor theme="6" tint="0.79998168889431442"/>
        </patternFill>
      </fill>
    </dxf>
    <dxf>
      <font>
        <b val="0"/>
        <i val="0"/>
        <color theme="6" tint="-0.499984740745262"/>
      </font>
      <fill>
        <patternFill patternType="solid">
          <fgColor theme="6" tint="0.79998168889431442"/>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val="0"/>
        <i val="0"/>
        <color theme="6" tint="-0.499984740745262"/>
      </font>
      <border>
        <top style="thin">
          <color theme="6" tint="-0.24994659260841701"/>
        </top>
      </border>
    </dxf>
    <dxf>
      <font>
        <b val="0"/>
        <i val="0"/>
        <color theme="6" tint="-0.499984740745262"/>
      </font>
      <border>
        <bottom style="thin">
          <color theme="6" tint="-0.24994659260841701"/>
        </bottom>
      </border>
    </dxf>
    <dxf>
      <font>
        <b val="0"/>
        <i val="0"/>
        <color theme="6" tint="-0.499984740745262"/>
      </font>
      <border>
        <top style="thin">
          <color theme="6" tint="-0.24994659260841701"/>
        </top>
        <bottom style="thin">
          <color theme="6" tint="-0.24994659260841701"/>
        </bottom>
      </border>
    </dxf>
    <dxf>
      <font>
        <b/>
        <i val="0"/>
        <color theme="5" tint="-0.499984740745262"/>
      </font>
      <fill>
        <patternFill>
          <bgColor theme="5" tint="0.79998168889431442"/>
        </patternFill>
      </fill>
    </dxf>
    <dxf>
      <font>
        <b/>
        <i val="0"/>
        <color theme="5" tint="-0.499984740745262"/>
      </font>
      <fill>
        <patternFill>
          <bgColor theme="5" tint="0.79998168889431442"/>
        </patternFill>
      </fill>
    </dxf>
    <dxf>
      <font>
        <b val="0"/>
        <i val="0"/>
        <color theme="5" tint="-0.499984740745262"/>
      </font>
      <fill>
        <patternFill patternType="solid">
          <fgColor theme="5" tint="0.79998168889431442"/>
          <bgColor theme="5" tint="0.79998168889431442"/>
        </patternFill>
      </fill>
    </dxf>
    <dxf>
      <font>
        <b val="0"/>
        <i val="0"/>
        <color theme="5" tint="-0.499984740745262"/>
      </font>
      <fill>
        <patternFill patternType="solid">
          <fgColor theme="5" tint="0.79998168889431442"/>
          <bgColor theme="5" tint="0.79998168889431442"/>
        </patternFill>
      </fill>
    </dxf>
    <dxf>
      <font>
        <b/>
        <i val="0"/>
        <color theme="5" tint="-0.499984740745262"/>
      </font>
      <fill>
        <patternFill>
          <bgColor theme="5" tint="0.79998168889431442"/>
        </patternFill>
      </fill>
    </dxf>
    <dxf>
      <font>
        <b/>
        <i val="0"/>
        <color theme="5" tint="-0.499984740745262"/>
      </font>
    </dxf>
    <dxf>
      <font>
        <b val="0"/>
        <i val="0"/>
        <color theme="5" tint="-0.499984740745262"/>
      </font>
      <border>
        <top style="thin">
          <color theme="5" tint="-0.24994659260841701"/>
        </top>
      </border>
    </dxf>
    <dxf>
      <font>
        <b val="0"/>
        <i val="0"/>
        <color theme="5" tint="-0.499984740745262"/>
      </font>
      <border>
        <bottom style="thin">
          <color theme="5" tint="-0.24994659260841701"/>
        </bottom>
      </border>
    </dxf>
    <dxf>
      <font>
        <b val="0"/>
        <i val="0"/>
        <color theme="5" tint="-0.499984740745262"/>
      </font>
      <border>
        <top style="thin">
          <color theme="5" tint="-0.24994659260841701"/>
        </top>
        <bottom style="thin">
          <color theme="5" tint="-0.24994659260841701"/>
        </bottom>
      </border>
    </dxf>
    <dxf>
      <font>
        <b/>
        <i val="0"/>
        <color theme="4" tint="-0.499984740745262"/>
      </font>
      <fill>
        <patternFill>
          <bgColor theme="4" tint="0.79998168889431442"/>
        </patternFill>
      </fill>
    </dxf>
    <dxf>
      <font>
        <b/>
        <i val="0"/>
        <color theme="4" tint="-0.499984740745262"/>
      </font>
      <fill>
        <patternFill>
          <bgColor theme="4" tint="0.79998168889431442"/>
        </patternFill>
      </fill>
    </dxf>
    <dxf>
      <font>
        <b val="0"/>
        <i val="0"/>
        <color theme="4" tint="-0.499984740745262"/>
      </font>
      <fill>
        <patternFill>
          <bgColor theme="4" tint="0.79998168889431442"/>
        </patternFill>
      </fill>
    </dxf>
    <dxf>
      <font>
        <b val="0"/>
        <i val="0"/>
        <color theme="4" tint="-0.499984740745262"/>
      </font>
      <fill>
        <patternFill patternType="solid">
          <fgColor theme="4" tint="0.79995117038483843"/>
          <bgColor theme="4" tint="0.79998168889431442"/>
        </patternFill>
      </fill>
    </dxf>
    <dxf>
      <font>
        <b/>
        <i val="0"/>
        <color theme="4" tint="-0.499984740745262"/>
      </font>
      <fill>
        <patternFill>
          <bgColor theme="4" tint="0.79998168889431442"/>
        </patternFill>
      </fill>
    </dxf>
    <dxf>
      <font>
        <b/>
        <i val="0"/>
        <color theme="4" tint="-0.499984740745262"/>
      </font>
    </dxf>
    <dxf>
      <font>
        <b val="0"/>
        <i val="0"/>
        <color theme="4" tint="-0.499984740745262"/>
      </font>
      <fill>
        <patternFill patternType="none">
          <bgColor auto="1"/>
        </patternFill>
      </fill>
      <border>
        <top style="thin">
          <color theme="4" tint="-0.24994659260841701"/>
        </top>
      </border>
    </dxf>
    <dxf>
      <border diagonalUp="0" diagonalDown="0">
        <left/>
        <right/>
        <top/>
        <bottom style="thin">
          <color theme="4" tint="-0.499984740745262"/>
        </bottom>
        <vertical/>
        <horizontal/>
      </border>
    </dxf>
    <dxf>
      <font>
        <b val="0"/>
        <i val="0"/>
        <color theme="4" tint="-0.499984740745262"/>
      </font>
      <border>
        <top style="thin">
          <color theme="4" tint="-0.24994659260841701"/>
        </top>
        <bottom style="thin">
          <color theme="4" tint="-0.24994659260841701"/>
        </bottom>
      </border>
    </dxf>
  </dxfs>
  <tableStyles count="4" defaultTableStyle="Personal Budget - Expense" defaultPivotStyle="PivotStyleLight16">
    <tableStyle name="Persona Budget - Revenue" pivot="0" count="9" xr9:uid="{00000000-0011-0000-FFFF-FFFF00000000}">
      <tableStyleElement type="wholeTable" dxfId="432"/>
      <tableStyleElement type="headerRow" dxfId="431"/>
      <tableStyleElement type="totalRow" dxfId="430"/>
      <tableStyleElement type="firstColumn" dxfId="429"/>
      <tableStyleElement type="lastColumn" dxfId="428"/>
      <tableStyleElement type="firstRowStripe" dxfId="427"/>
      <tableStyleElement type="firstColumnStripe" dxfId="426"/>
      <tableStyleElement type="firstTotalCell" dxfId="425"/>
      <tableStyleElement type="lastTotalCell" dxfId="424"/>
    </tableStyle>
    <tableStyle name="Personal Budget - Expense" pivot="0" count="9" xr9:uid="{00000000-0011-0000-FFFF-FFFF01000000}">
      <tableStyleElement type="wholeTable" dxfId="423"/>
      <tableStyleElement type="headerRow" dxfId="422"/>
      <tableStyleElement type="totalRow" dxfId="421"/>
      <tableStyleElement type="firstColumn" dxfId="420"/>
      <tableStyleElement type="lastColumn" dxfId="419"/>
      <tableStyleElement type="firstRowStripe" dxfId="418"/>
      <tableStyleElement type="firstColumnStripe" dxfId="417"/>
      <tableStyleElement type="firstTotalCell" dxfId="416"/>
      <tableStyleElement type="lastTotalCell" dxfId="415"/>
    </tableStyle>
    <tableStyle name="Personal Budget - Total" pivot="0" count="9" xr9:uid="{00000000-0011-0000-FFFF-FFFF02000000}">
      <tableStyleElement type="wholeTable" dxfId="414"/>
      <tableStyleElement type="headerRow" dxfId="413"/>
      <tableStyleElement type="totalRow" dxfId="412"/>
      <tableStyleElement type="firstColumn" dxfId="411"/>
      <tableStyleElement type="lastColumn" dxfId="410"/>
      <tableStyleElement type="firstRowStripe" dxfId="409"/>
      <tableStyleElement type="firstColumnStripe" dxfId="408"/>
      <tableStyleElement type="firstTotalCell" dxfId="407"/>
      <tableStyleElement type="lastTotalCell" dxfId="406"/>
    </tableStyle>
    <tableStyle name="Table Style 1" pivot="0" count="6" xr9:uid="{456F6818-18F1-E948-8739-F0108FE3AA10}">
      <tableStyleElement type="wholeTable" dxfId="405"/>
      <tableStyleElement type="headerRow" dxfId="404"/>
      <tableStyleElement type="totalRow" dxfId="403"/>
      <tableStyleElement type="firstRowStripe" dxfId="402"/>
      <tableStyleElement type="secondRowStripe" dxfId="401"/>
      <tableStyleElement type="secondColumnStripe" dxfId="400"/>
    </tableStyle>
  </tableStyles>
  <colors>
    <mruColors>
      <color rgb="FFF7F7F7"/>
      <color rgb="FFF3F8FF"/>
      <color rgb="FFE6F8FA"/>
      <color rgb="FFEFF5FF"/>
      <color rgb="FFD6E8F6"/>
      <color rgb="FFE6EF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Income" displayName="tblIncome" ref="B5:P9" totalsRowCount="1" headerRowDxfId="399" dataDxfId="398" totalsRowDxfId="397">
  <tableColumns count="15">
    <tableColumn id="1" xr3:uid="{00000000-0010-0000-0000-000001000000}" name="INCOME" totalsRowLabel="Total" dataDxfId="396" totalsRowDxfId="395"/>
    <tableColumn id="2" xr3:uid="{00000000-0010-0000-0000-000002000000}" name="JAN" totalsRowFunction="sum" dataDxfId="394" totalsRowDxfId="393"/>
    <tableColumn id="3" xr3:uid="{00000000-0010-0000-0000-000003000000}" name="FEB" totalsRowFunction="sum" dataDxfId="392" totalsRowDxfId="391"/>
    <tableColumn id="4" xr3:uid="{00000000-0010-0000-0000-000004000000}" name="MAR" totalsRowFunction="sum" dataDxfId="390" totalsRowDxfId="389"/>
    <tableColumn id="5" xr3:uid="{00000000-0010-0000-0000-000005000000}" name="APR" totalsRowFunction="sum" dataDxfId="388" totalsRowDxfId="387"/>
    <tableColumn id="6" xr3:uid="{00000000-0010-0000-0000-000006000000}" name="MAY" totalsRowFunction="sum" dataDxfId="386" totalsRowDxfId="385"/>
    <tableColumn id="7" xr3:uid="{00000000-0010-0000-0000-000007000000}" name="JUN" totalsRowFunction="sum" dataDxfId="384" totalsRowDxfId="383"/>
    <tableColumn id="8" xr3:uid="{00000000-0010-0000-0000-000008000000}" name="JUL" totalsRowFunction="sum" dataDxfId="382" totalsRowDxfId="381"/>
    <tableColumn id="9" xr3:uid="{00000000-0010-0000-0000-000009000000}" name="AUG" totalsRowFunction="sum" dataDxfId="380" totalsRowDxfId="379"/>
    <tableColumn id="10" xr3:uid="{00000000-0010-0000-0000-00000A000000}" name="SEP" totalsRowFunction="sum" dataDxfId="378" totalsRowDxfId="377"/>
    <tableColumn id="11" xr3:uid="{00000000-0010-0000-0000-00000B000000}" name="OCT" totalsRowFunction="sum" dataDxfId="376" totalsRowDxfId="375"/>
    <tableColumn id="12" xr3:uid="{00000000-0010-0000-0000-00000C000000}" name="NOV" totalsRowFunction="sum" dataDxfId="374" totalsRowDxfId="373"/>
    <tableColumn id="13" xr3:uid="{00000000-0010-0000-0000-00000D000000}" name="DEC" totalsRowFunction="sum" dataDxfId="372" totalsRowDxfId="371"/>
    <tableColumn id="14" xr3:uid="{00000000-0010-0000-0000-00000E000000}" name="YEAR" totalsRowFunction="sum" dataDxfId="370" totalsRowDxfId="369">
      <calculatedColumnFormula>SUM(tblIncome[[#This Row],[JAN]:[DEC]])</calculatedColumnFormula>
    </tableColumn>
    <tableColumn id="15" xr3:uid="{00000000-0010-0000-0000-00000F000000}" name="SPARKLINE" dataDxfId="368" totalsRowDxfId="367"/>
  </tableColumns>
  <tableStyleInfo name="Table Style 1" showFirstColumn="0" showLastColumn="0" showRowStripes="0" showColumnStripes="1"/>
  <extLst>
    <ext xmlns:x14="http://schemas.microsoft.com/office/spreadsheetml/2009/9/main" uri="{504A1905-F514-4f6f-8877-14C23A59335A}">
      <x14:table altText="Income" altTextSummary="Enter your income for the year."/>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blPersonal" displayName="tblPersonal" ref="B81:P87" totalsRowCount="1" headerRowDxfId="102" dataDxfId="101" totalsRowDxfId="100">
  <tableColumns count="15">
    <tableColumn id="1" xr3:uid="{00000000-0010-0000-0900-000001000000}" name="PERSONAL" totalsRowLabel="Total" dataDxfId="99" totalsRowDxfId="98"/>
    <tableColumn id="2" xr3:uid="{00000000-0010-0000-0900-000002000000}" name="JAN" totalsRowFunction="sum" dataDxfId="97" totalsRowDxfId="96"/>
    <tableColumn id="3" xr3:uid="{00000000-0010-0000-0900-000003000000}" name="FEB" totalsRowFunction="sum" dataDxfId="95" totalsRowDxfId="94"/>
    <tableColumn id="4" xr3:uid="{00000000-0010-0000-0900-000004000000}" name="MAR" totalsRowFunction="sum" dataDxfId="93" totalsRowDxfId="92"/>
    <tableColumn id="5" xr3:uid="{00000000-0010-0000-0900-000005000000}" name="APR" totalsRowFunction="sum" dataDxfId="91" totalsRowDxfId="90"/>
    <tableColumn id="6" xr3:uid="{00000000-0010-0000-0900-000006000000}" name="MAY" totalsRowFunction="sum" dataDxfId="89" totalsRowDxfId="88"/>
    <tableColumn id="7" xr3:uid="{00000000-0010-0000-0900-000007000000}" name="JUN" totalsRowFunction="sum" dataDxfId="87" totalsRowDxfId="86"/>
    <tableColumn id="8" xr3:uid="{00000000-0010-0000-0900-000008000000}" name="JUL" totalsRowFunction="sum" dataDxfId="85" totalsRowDxfId="84"/>
    <tableColumn id="9" xr3:uid="{00000000-0010-0000-0900-000009000000}" name="AUG" totalsRowFunction="sum" dataDxfId="83" totalsRowDxfId="82"/>
    <tableColumn id="10" xr3:uid="{00000000-0010-0000-0900-00000A000000}" name="SEP" totalsRowFunction="sum" dataDxfId="81" totalsRowDxfId="80"/>
    <tableColumn id="11" xr3:uid="{00000000-0010-0000-0900-00000B000000}" name="OCT" totalsRowFunction="sum" dataDxfId="79" totalsRowDxfId="78"/>
    <tableColumn id="12" xr3:uid="{00000000-0010-0000-0900-00000C000000}" name="NOV" totalsRowFunction="sum" dataDxfId="77" totalsRowDxfId="76"/>
    <tableColumn id="13" xr3:uid="{00000000-0010-0000-0900-00000D000000}" name="DEC" totalsRowFunction="sum" dataDxfId="75" totalsRowDxfId="74"/>
    <tableColumn id="14" xr3:uid="{00000000-0010-0000-0900-00000E000000}" name="YEAR" totalsRowFunction="sum" dataDxfId="73" totalsRowDxfId="72">
      <calculatedColumnFormula>SUM(tblPersonal[[#This Row],[JAN]:[DEC]])</calculatedColumnFormula>
    </tableColumn>
    <tableColumn id="15" xr3:uid="{00000000-0010-0000-0900-00000F000000}" name=" " dataDxfId="71" totalsRowDxfId="70"/>
  </tableColumns>
  <tableStyleInfo name="Table Style 1" showFirstColumn="0" showLastColumn="0" showRowStripes="0" showColumnStripes="1"/>
  <extLst>
    <ext xmlns:x14="http://schemas.microsoft.com/office/spreadsheetml/2009/9/main" uri="{504A1905-F514-4f6f-8877-14C23A59335A}">
      <x14:table altText="Personal Expenses" altTextSummary="Enter your personal expenses for the year, separated by month."/>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blFinancial" displayName="tblFinancial" ref="B89:P95" totalsRowCount="1" headerRowDxfId="69" dataDxfId="68" totalsRowDxfId="67">
  <tableColumns count="15">
    <tableColumn id="1" xr3:uid="{00000000-0010-0000-0A00-000001000000}" name="FINANCIAL OBLIGATIONS" totalsRowLabel="Total" dataDxfId="66" totalsRowDxfId="65"/>
    <tableColumn id="2" xr3:uid="{00000000-0010-0000-0A00-000002000000}" name="JAN" totalsRowFunction="sum" dataDxfId="64" totalsRowDxfId="63"/>
    <tableColumn id="3" xr3:uid="{00000000-0010-0000-0A00-000003000000}" name="FEB" totalsRowFunction="sum" dataDxfId="62" totalsRowDxfId="61"/>
    <tableColumn id="4" xr3:uid="{00000000-0010-0000-0A00-000004000000}" name="MAR" totalsRowFunction="sum" dataDxfId="60" totalsRowDxfId="59"/>
    <tableColumn id="5" xr3:uid="{00000000-0010-0000-0A00-000005000000}" name="APR" totalsRowFunction="sum" dataDxfId="58" totalsRowDxfId="57"/>
    <tableColumn id="6" xr3:uid="{00000000-0010-0000-0A00-000006000000}" name="MAY" totalsRowFunction="sum" dataDxfId="56" totalsRowDxfId="55"/>
    <tableColumn id="7" xr3:uid="{00000000-0010-0000-0A00-000007000000}" name="JUN" totalsRowFunction="sum" dataDxfId="54" totalsRowDxfId="53"/>
    <tableColumn id="8" xr3:uid="{00000000-0010-0000-0A00-000008000000}" name="JUL" totalsRowFunction="sum" dataDxfId="52" totalsRowDxfId="51"/>
    <tableColumn id="9" xr3:uid="{00000000-0010-0000-0A00-000009000000}" name="AUG" totalsRowFunction="sum" dataDxfId="50" totalsRowDxfId="49"/>
    <tableColumn id="10" xr3:uid="{00000000-0010-0000-0A00-00000A000000}" name="SEP" totalsRowFunction="sum" dataDxfId="48" totalsRowDxfId="47"/>
    <tableColumn id="11" xr3:uid="{00000000-0010-0000-0A00-00000B000000}" name="OCT" totalsRowFunction="sum" dataDxfId="46" totalsRowDxfId="45"/>
    <tableColumn id="12" xr3:uid="{00000000-0010-0000-0A00-00000C000000}" name="NOV" totalsRowFunction="sum" dataDxfId="44" totalsRowDxfId="43"/>
    <tableColumn id="13" xr3:uid="{00000000-0010-0000-0A00-00000D000000}" name="DEC" totalsRowFunction="sum" dataDxfId="42" totalsRowDxfId="41"/>
    <tableColumn id="14" xr3:uid="{00000000-0010-0000-0A00-00000E000000}" name="YEAR" totalsRowFunction="sum" dataDxfId="40" totalsRowDxfId="39">
      <calculatedColumnFormula>SUM(tblFinancial[[#This Row],[JAN]:[DEC]])</calculatedColumnFormula>
    </tableColumn>
    <tableColumn id="15" xr3:uid="{00000000-0010-0000-0A00-00000F000000}" name=" " dataDxfId="38" totalsRowDxfId="37"/>
  </tableColumns>
  <tableStyleInfo name="Table Style 1" showFirstColumn="0" showLastColumn="0" showRowStripes="0" showColumnStripes="1"/>
  <extLst>
    <ext xmlns:x14="http://schemas.microsoft.com/office/spreadsheetml/2009/9/main" uri="{504A1905-F514-4f6f-8877-14C23A59335A}">
      <x14:table altText="Financial Expenses" altTextSummary="Enter your financial expenses for the year, separated by month."/>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blMisc" displayName="tblMisc" ref="B97:P103" totalsRowCount="1" headerRowDxfId="36" dataDxfId="35" totalsRowDxfId="34">
  <tableColumns count="15">
    <tableColumn id="1" xr3:uid="{00000000-0010-0000-0B00-000001000000}" name="MISC PAYMENTS" totalsRowLabel="Total" totalsRowDxfId="33"/>
    <tableColumn id="2" xr3:uid="{00000000-0010-0000-0B00-000002000000}" name="JAN" totalsRowFunction="sum" totalsRowDxfId="32"/>
    <tableColumn id="3" xr3:uid="{00000000-0010-0000-0B00-000003000000}" name="FEB" totalsRowFunction="sum" totalsRowDxfId="31"/>
    <tableColumn id="4" xr3:uid="{00000000-0010-0000-0B00-000004000000}" name="MAR" totalsRowFunction="sum" totalsRowDxfId="30"/>
    <tableColumn id="5" xr3:uid="{00000000-0010-0000-0B00-000005000000}" name="APR" totalsRowFunction="sum" totalsRowDxfId="29"/>
    <tableColumn id="6" xr3:uid="{00000000-0010-0000-0B00-000006000000}" name="MAY" totalsRowFunction="sum" totalsRowDxfId="28"/>
    <tableColumn id="7" xr3:uid="{00000000-0010-0000-0B00-000007000000}" name="JUN" totalsRowFunction="sum" totalsRowDxfId="27"/>
    <tableColumn id="8" xr3:uid="{00000000-0010-0000-0B00-000008000000}" name="JUL" totalsRowFunction="sum" totalsRowDxfId="26"/>
    <tableColumn id="9" xr3:uid="{00000000-0010-0000-0B00-000009000000}" name="AUG" totalsRowFunction="sum" totalsRowDxfId="25"/>
    <tableColumn id="10" xr3:uid="{00000000-0010-0000-0B00-00000A000000}" name="SEP" totalsRowFunction="sum" totalsRowDxfId="24"/>
    <tableColumn id="11" xr3:uid="{00000000-0010-0000-0B00-00000B000000}" name="OCT" totalsRowFunction="sum" totalsRowDxfId="23"/>
    <tableColumn id="12" xr3:uid="{00000000-0010-0000-0B00-00000C000000}" name="NOV" totalsRowFunction="sum" totalsRowDxfId="22"/>
    <tableColumn id="13" xr3:uid="{00000000-0010-0000-0B00-00000D000000}" name="DEC" totalsRowFunction="sum" totalsRowDxfId="21"/>
    <tableColumn id="14" xr3:uid="{00000000-0010-0000-0B00-00000E000000}" name="YEAR" totalsRowFunction="sum" totalsRowDxfId="20">
      <calculatedColumnFormula>SUM(tblMisc[[#This Row],[JAN]:[DEC]])</calculatedColumnFormula>
    </tableColumn>
    <tableColumn id="15" xr3:uid="{00000000-0010-0000-0B00-00000F000000}" name=" " dataDxfId="19" totalsRowDxfId="18"/>
  </tableColumns>
  <tableStyleInfo name="Table Style 1" showFirstColumn="0" showLastColumn="0" showRowStripes="0" showColumnStripes="1"/>
  <extLst>
    <ext xmlns:x14="http://schemas.microsoft.com/office/spreadsheetml/2009/9/main" uri="{504A1905-F514-4f6f-8877-14C23A59335A}">
      <x14:table altText="Misc Expenses" altTextSummary="Enter your miscellaneous expenses for the year, separated by month."/>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tblTotals" displayName="tblTotals" ref="B105:P107" totalsRowShown="0" headerRowDxfId="17" dataDxfId="16" headerRowCellStyle="Heading 3">
  <tableColumns count="15">
    <tableColumn id="1" xr3:uid="{00000000-0010-0000-0C00-000001000000}" name="TOTALS" dataDxfId="15"/>
    <tableColumn id="2" xr3:uid="{00000000-0010-0000-0C00-000002000000}" name="JAN" dataDxfId="14">
      <calculatedColumnFormula>tblIncome[[#Totals],[JAN]]-C105</calculatedColumnFormula>
    </tableColumn>
    <tableColumn id="3" xr3:uid="{00000000-0010-0000-0C00-000003000000}" name="FEB" dataDxfId="13">
      <calculatedColumnFormula>tblIncome[[#Totals],[FEB]]-D105</calculatedColumnFormula>
    </tableColumn>
    <tableColumn id="4" xr3:uid="{00000000-0010-0000-0C00-000004000000}" name="MAR" dataDxfId="12">
      <calculatedColumnFormula>tblIncome[[#Totals],[MAR]]-E105</calculatedColumnFormula>
    </tableColumn>
    <tableColumn id="5" xr3:uid="{00000000-0010-0000-0C00-000005000000}" name="APR" dataDxfId="11">
      <calculatedColumnFormula>tblIncome[[#Totals],[APR]]-F105</calculatedColumnFormula>
    </tableColumn>
    <tableColumn id="6" xr3:uid="{00000000-0010-0000-0C00-000006000000}" name="MAY" dataDxfId="10">
      <calculatedColumnFormula>tblIncome[[#Totals],[MAY]]-G105</calculatedColumnFormula>
    </tableColumn>
    <tableColumn id="7" xr3:uid="{00000000-0010-0000-0C00-000007000000}" name="JUN" dataDxfId="9">
      <calculatedColumnFormula>tblIncome[[#Totals],[JUN]]-H105</calculatedColumnFormula>
    </tableColumn>
    <tableColumn id="8" xr3:uid="{00000000-0010-0000-0C00-000008000000}" name="JUL" dataDxfId="8">
      <calculatedColumnFormula>tblIncome[[#Totals],[JUL]]-I105</calculatedColumnFormula>
    </tableColumn>
    <tableColumn id="9" xr3:uid="{00000000-0010-0000-0C00-000009000000}" name="AUG" dataDxfId="7">
      <calculatedColumnFormula>tblIncome[[#Totals],[AUG]]-J105</calculatedColumnFormula>
    </tableColumn>
    <tableColumn id="10" xr3:uid="{00000000-0010-0000-0C00-00000A000000}" name="SEP" dataDxfId="6">
      <calculatedColumnFormula>tblIncome[[#Totals],[SEP]]-K105</calculatedColumnFormula>
    </tableColumn>
    <tableColumn id="11" xr3:uid="{00000000-0010-0000-0C00-00000B000000}" name="OCT" dataDxfId="5">
      <calculatedColumnFormula>tblIncome[[#Totals],[OCT]]-L105</calculatedColumnFormula>
    </tableColumn>
    <tableColumn id="12" xr3:uid="{00000000-0010-0000-0C00-00000C000000}" name="NOV" dataDxfId="4">
      <calculatedColumnFormula>tblIncome[[#Totals],[NOV]]-M105</calculatedColumnFormula>
    </tableColumn>
    <tableColumn id="13" xr3:uid="{00000000-0010-0000-0C00-00000D000000}" name="DEC" dataDxfId="3">
      <calculatedColumnFormula>tblIncome[[#Totals],[DEC]]-N105</calculatedColumnFormula>
    </tableColumn>
    <tableColumn id="14" xr3:uid="{00000000-0010-0000-0C00-00000E000000}" name="YEAR" dataDxfId="2">
      <calculatedColumnFormula>tblIncome[[#Totals],[YEAR]]-O105</calculatedColumnFormula>
    </tableColumn>
    <tableColumn id="15" xr3:uid="{00000000-0010-0000-0C00-00000F000000}" name=" " dataDxfId="1"/>
  </tableColumns>
  <tableStyleInfo showFirstColumn="1" showLastColumn="0" showRowStripes="0" showColumnStripes="1"/>
  <extLst>
    <ext xmlns:x14="http://schemas.microsoft.com/office/spreadsheetml/2009/9/main" uri="{504A1905-F514-4f6f-8877-14C23A59335A}">
      <x14:table altText="Totals" altTextSummary="View your totals for the year, separated by month."/>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Home" displayName="tblHome" ref="B12:P18" totalsRowCount="1" headerRowDxfId="366" dataDxfId="365" totalsRowDxfId="364">
  <tableColumns count="15">
    <tableColumn id="1" xr3:uid="{00000000-0010-0000-0100-000001000000}" name="HOME" totalsRowLabel="Total" dataDxfId="363" totalsRowDxfId="362"/>
    <tableColumn id="2" xr3:uid="{00000000-0010-0000-0100-000002000000}" name="JAN" totalsRowFunction="sum" dataDxfId="361" totalsRowDxfId="360"/>
    <tableColumn id="3" xr3:uid="{00000000-0010-0000-0100-000003000000}" name="FEB" totalsRowFunction="sum" dataDxfId="359" totalsRowDxfId="358"/>
    <tableColumn id="4" xr3:uid="{00000000-0010-0000-0100-000004000000}" name="MAR" totalsRowFunction="sum" dataDxfId="357" totalsRowDxfId="356"/>
    <tableColumn id="5" xr3:uid="{00000000-0010-0000-0100-000005000000}" name="APR" totalsRowFunction="sum" dataDxfId="355" totalsRowDxfId="354"/>
    <tableColumn id="6" xr3:uid="{00000000-0010-0000-0100-000006000000}" name="MAY" totalsRowFunction="sum" dataDxfId="353" totalsRowDxfId="352"/>
    <tableColumn id="7" xr3:uid="{00000000-0010-0000-0100-000007000000}" name="JUN" totalsRowFunction="sum" dataDxfId="351" totalsRowDxfId="350"/>
    <tableColumn id="8" xr3:uid="{00000000-0010-0000-0100-000008000000}" name="JUL" totalsRowFunction="sum" dataDxfId="349" totalsRowDxfId="348"/>
    <tableColumn id="9" xr3:uid="{00000000-0010-0000-0100-000009000000}" name="AUG" totalsRowFunction="sum" dataDxfId="347" totalsRowDxfId="346"/>
    <tableColumn id="10" xr3:uid="{00000000-0010-0000-0100-00000A000000}" name="SEP" totalsRowFunction="sum" dataDxfId="345" totalsRowDxfId="344"/>
    <tableColumn id="11" xr3:uid="{00000000-0010-0000-0100-00000B000000}" name="OCT" totalsRowFunction="sum" dataDxfId="343" totalsRowDxfId="342"/>
    <tableColumn id="12" xr3:uid="{00000000-0010-0000-0100-00000C000000}" name="NOV" totalsRowFunction="sum" dataDxfId="341" totalsRowDxfId="340"/>
    <tableColumn id="13" xr3:uid="{00000000-0010-0000-0100-00000D000000}" name="DEC" totalsRowFunction="sum" dataDxfId="339" totalsRowDxfId="338"/>
    <tableColumn id="14" xr3:uid="{00000000-0010-0000-0100-00000E000000}" name="YEAR" totalsRowFunction="sum" dataDxfId="337" totalsRowDxfId="336">
      <calculatedColumnFormula>SUM(tblHome[[#This Row],[JAN]:[DEC]])</calculatedColumnFormula>
    </tableColumn>
    <tableColumn id="15" xr3:uid="{00000000-0010-0000-0100-00000F000000}" name=" " dataDxfId="335" totalsRowDxfId="334"/>
  </tableColumns>
  <tableStyleInfo name="Table Style 1" showFirstColumn="0" showLastColumn="0" showRowStripes="0" showColumnStripes="1"/>
  <extLst>
    <ext xmlns:x14="http://schemas.microsoft.com/office/spreadsheetml/2009/9/main" uri="{504A1905-F514-4f6f-8877-14C23A59335A}">
      <x14:table altText="Home Expenses" altTextSummary="Enter your home expenses for the year, separated by month."/>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Daily" displayName="tblDaily" ref="B20:P27" totalsRowCount="1" headerRowDxfId="333" dataDxfId="332" totalsRowDxfId="331">
  <tableColumns count="15">
    <tableColumn id="1" xr3:uid="{00000000-0010-0000-0200-000001000000}" name="DAILY LIVING" totalsRowLabel="Total" dataDxfId="330" totalsRowDxfId="329"/>
    <tableColumn id="2" xr3:uid="{00000000-0010-0000-0200-000002000000}" name="JAN" totalsRowFunction="sum" dataDxfId="328" totalsRowDxfId="327"/>
    <tableColumn id="3" xr3:uid="{00000000-0010-0000-0200-000003000000}" name="FEB" totalsRowFunction="sum" dataDxfId="326" totalsRowDxfId="325"/>
    <tableColumn id="4" xr3:uid="{00000000-0010-0000-0200-000004000000}" name="MAR" totalsRowFunction="sum" dataDxfId="324" totalsRowDxfId="323"/>
    <tableColumn id="5" xr3:uid="{00000000-0010-0000-0200-000005000000}" name="APR" totalsRowFunction="sum" dataDxfId="322" totalsRowDxfId="321"/>
    <tableColumn id="6" xr3:uid="{00000000-0010-0000-0200-000006000000}" name="MAY" totalsRowFunction="sum" dataDxfId="320" totalsRowDxfId="319"/>
    <tableColumn id="7" xr3:uid="{00000000-0010-0000-0200-000007000000}" name="JUN" totalsRowFunction="sum" dataDxfId="318" totalsRowDxfId="317"/>
    <tableColumn id="8" xr3:uid="{00000000-0010-0000-0200-000008000000}" name="JUL" totalsRowFunction="sum" dataDxfId="316" totalsRowDxfId="315"/>
    <tableColumn id="9" xr3:uid="{00000000-0010-0000-0200-000009000000}" name="AUG" totalsRowFunction="sum" dataDxfId="314" totalsRowDxfId="313"/>
    <tableColumn id="10" xr3:uid="{00000000-0010-0000-0200-00000A000000}" name="SEP" totalsRowFunction="sum" dataDxfId="312" totalsRowDxfId="311"/>
    <tableColumn id="11" xr3:uid="{00000000-0010-0000-0200-00000B000000}" name="OCT" totalsRowFunction="sum" dataDxfId="310" totalsRowDxfId="309"/>
    <tableColumn id="12" xr3:uid="{00000000-0010-0000-0200-00000C000000}" name="NOV" totalsRowFunction="sum" dataDxfId="308" totalsRowDxfId="307"/>
    <tableColumn id="13" xr3:uid="{00000000-0010-0000-0200-00000D000000}" name="DEC" totalsRowFunction="sum" dataDxfId="306" totalsRowDxfId="305"/>
    <tableColumn id="14" xr3:uid="{00000000-0010-0000-0200-00000E000000}" name="YEAR" totalsRowFunction="sum" dataDxfId="304" totalsRowDxfId="303">
      <calculatedColumnFormula>SUM(tblDaily[[#This Row],[JAN]:[DEC]])</calculatedColumnFormula>
    </tableColumn>
    <tableColumn id="15" xr3:uid="{00000000-0010-0000-0200-00000F000000}" name=" " dataDxfId="302" totalsRowDxfId="301"/>
  </tableColumns>
  <tableStyleInfo name="Table Style 1" showFirstColumn="0" showLastColumn="0" showRowStripes="0" showColumnStripes="1"/>
  <extLst>
    <ext xmlns:x14="http://schemas.microsoft.com/office/spreadsheetml/2009/9/main" uri="{504A1905-F514-4f6f-8877-14C23A59335A}">
      <x14:table altText="Daily Living Expenses" altTextSummary="Enter your daily living expenses for the year, separated by month."/>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Transportation" displayName="tblTransportation" ref="B29:P36" totalsRowCount="1" headerRowDxfId="300" dataDxfId="299" totalsRowDxfId="298">
  <tableColumns count="15">
    <tableColumn id="1" xr3:uid="{00000000-0010-0000-0300-000001000000}" name="TRANSPORTATION" totalsRowLabel="Total" dataDxfId="297" totalsRowDxfId="296"/>
    <tableColumn id="2" xr3:uid="{00000000-0010-0000-0300-000002000000}" name="JAN" totalsRowFunction="sum" dataDxfId="295" totalsRowDxfId="294"/>
    <tableColumn id="3" xr3:uid="{00000000-0010-0000-0300-000003000000}" name="FEB" totalsRowFunction="sum" dataDxfId="293" totalsRowDxfId="292"/>
    <tableColumn id="4" xr3:uid="{00000000-0010-0000-0300-000004000000}" name="MAR" totalsRowFunction="sum" dataDxfId="291" totalsRowDxfId="290"/>
    <tableColumn id="5" xr3:uid="{00000000-0010-0000-0300-000005000000}" name="APR" totalsRowFunction="sum" dataDxfId="289" totalsRowDxfId="288"/>
    <tableColumn id="6" xr3:uid="{00000000-0010-0000-0300-000006000000}" name="MAY" totalsRowFunction="sum" dataDxfId="287" totalsRowDxfId="286"/>
    <tableColumn id="7" xr3:uid="{00000000-0010-0000-0300-000007000000}" name="JUN" totalsRowFunction="sum" dataDxfId="285" totalsRowDxfId="284"/>
    <tableColumn id="8" xr3:uid="{00000000-0010-0000-0300-000008000000}" name="JUL" totalsRowFunction="sum" dataDxfId="283" totalsRowDxfId="282"/>
    <tableColumn id="9" xr3:uid="{00000000-0010-0000-0300-000009000000}" name="AUG" totalsRowFunction="sum" dataDxfId="281" totalsRowDxfId="280"/>
    <tableColumn id="10" xr3:uid="{00000000-0010-0000-0300-00000A000000}" name="SEP" totalsRowFunction="sum" dataDxfId="279" totalsRowDxfId="278"/>
    <tableColumn id="11" xr3:uid="{00000000-0010-0000-0300-00000B000000}" name="OCT" totalsRowFunction="sum" dataDxfId="277" totalsRowDxfId="276"/>
    <tableColumn id="12" xr3:uid="{00000000-0010-0000-0300-00000C000000}" name="NOV" totalsRowFunction="sum" dataDxfId="275" totalsRowDxfId="274"/>
    <tableColumn id="13" xr3:uid="{00000000-0010-0000-0300-00000D000000}" name="DEC" totalsRowFunction="sum" dataDxfId="273" totalsRowDxfId="272"/>
    <tableColumn id="14" xr3:uid="{00000000-0010-0000-0300-00000E000000}" name="YEAR" totalsRowFunction="sum" dataDxfId="271" totalsRowDxfId="270">
      <calculatedColumnFormula>SUM(tblTransportation[[#This Row],[JAN]:[DEC]])</calculatedColumnFormula>
    </tableColumn>
    <tableColumn id="15" xr3:uid="{00000000-0010-0000-0300-00000F000000}" name=" " dataDxfId="269" totalsRowDxfId="268"/>
  </tableColumns>
  <tableStyleInfo name="Table Style 1" showFirstColumn="0" showLastColumn="0" showRowStripes="0" showColumnStripes="1"/>
  <extLst>
    <ext xmlns:x14="http://schemas.microsoft.com/office/spreadsheetml/2009/9/main" uri="{504A1905-F514-4f6f-8877-14C23A59335A}">
      <x14:table altText="Transportation expenses" altTextSummary="Enter your transportation expenses for the year, separated by month."/>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Entertainment" displayName="tblEntertainment" ref="B38:P43" totalsRowCount="1" headerRowDxfId="267" dataDxfId="266" totalsRowDxfId="265">
  <tableColumns count="15">
    <tableColumn id="1" xr3:uid="{00000000-0010-0000-0400-000001000000}" name="ENTERTAINMENT" totalsRowLabel="Total" dataDxfId="264" totalsRowDxfId="263"/>
    <tableColumn id="2" xr3:uid="{00000000-0010-0000-0400-000002000000}" name="JAN" totalsRowFunction="sum" dataDxfId="262" totalsRowDxfId="261"/>
    <tableColumn id="3" xr3:uid="{00000000-0010-0000-0400-000003000000}" name="FEB" totalsRowFunction="sum" dataDxfId="260" totalsRowDxfId="259"/>
    <tableColumn id="4" xr3:uid="{00000000-0010-0000-0400-000004000000}" name="MAR" totalsRowFunction="sum" dataDxfId="258" totalsRowDxfId="257"/>
    <tableColumn id="5" xr3:uid="{00000000-0010-0000-0400-000005000000}" name="APR" totalsRowFunction="sum" dataDxfId="256" totalsRowDxfId="255"/>
    <tableColumn id="6" xr3:uid="{00000000-0010-0000-0400-000006000000}" name="MAY" totalsRowFunction="sum" dataDxfId="254" totalsRowDxfId="253"/>
    <tableColumn id="7" xr3:uid="{00000000-0010-0000-0400-000007000000}" name="JUN" totalsRowFunction="sum" dataDxfId="252" totalsRowDxfId="251"/>
    <tableColumn id="8" xr3:uid="{00000000-0010-0000-0400-000008000000}" name="JUL" totalsRowFunction="sum" dataDxfId="250" totalsRowDxfId="249"/>
    <tableColumn id="9" xr3:uid="{00000000-0010-0000-0400-000009000000}" name="AUG" totalsRowFunction="sum" dataDxfId="248" totalsRowDxfId="247"/>
    <tableColumn id="10" xr3:uid="{00000000-0010-0000-0400-00000A000000}" name="SEP" totalsRowFunction="sum" dataDxfId="246" totalsRowDxfId="245"/>
    <tableColumn id="11" xr3:uid="{00000000-0010-0000-0400-00000B000000}" name="OCT" totalsRowFunction="sum" dataDxfId="244" totalsRowDxfId="243"/>
    <tableColumn id="12" xr3:uid="{00000000-0010-0000-0400-00000C000000}" name="NOV" totalsRowFunction="sum" dataDxfId="242" totalsRowDxfId="241"/>
    <tableColumn id="13" xr3:uid="{00000000-0010-0000-0400-00000D000000}" name="DEC" totalsRowFunction="sum" dataDxfId="240" totalsRowDxfId="239"/>
    <tableColumn id="14" xr3:uid="{00000000-0010-0000-0400-00000E000000}" name="YEAR" totalsRowFunction="sum" dataDxfId="238" totalsRowDxfId="237">
      <calculatedColumnFormula>SUM(tblEntertainment[[#This Row],[JAN]:[DEC]])</calculatedColumnFormula>
    </tableColumn>
    <tableColumn id="15" xr3:uid="{00000000-0010-0000-0400-00000F000000}" name=" " dataDxfId="236" totalsRowDxfId="235"/>
  </tableColumns>
  <tableStyleInfo name="Table Style 1" showFirstColumn="0" showLastColumn="0" showRowStripes="0" showColumnStripes="1"/>
  <extLst>
    <ext xmlns:x14="http://schemas.microsoft.com/office/spreadsheetml/2009/9/main" uri="{504A1905-F514-4f6f-8877-14C23A59335A}">
      <x14:table altText="Entertainment Expenses" altTextSummary="Enter your entertainment expenses for the year, separated by month."/>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blHealth" displayName="tblHealth" ref="B45:P53" totalsRowCount="1" headerRowDxfId="234" dataDxfId="233" totalsRowDxfId="232">
  <tableColumns count="15">
    <tableColumn id="1" xr3:uid="{00000000-0010-0000-0500-000001000000}" name="HEALTH" totalsRowLabel="Total" dataDxfId="231" totalsRowDxfId="230"/>
    <tableColumn id="2" xr3:uid="{00000000-0010-0000-0500-000002000000}" name="JAN" totalsRowFunction="sum" dataDxfId="229" totalsRowDxfId="228"/>
    <tableColumn id="3" xr3:uid="{00000000-0010-0000-0500-000003000000}" name="FEB" totalsRowFunction="sum" dataDxfId="227" totalsRowDxfId="226"/>
    <tableColumn id="4" xr3:uid="{00000000-0010-0000-0500-000004000000}" name="MAR" totalsRowFunction="sum" dataDxfId="225" totalsRowDxfId="224"/>
    <tableColumn id="5" xr3:uid="{00000000-0010-0000-0500-000005000000}" name="APR" totalsRowFunction="sum" dataDxfId="223" totalsRowDxfId="222"/>
    <tableColumn id="6" xr3:uid="{00000000-0010-0000-0500-000006000000}" name="MAY" totalsRowFunction="sum" dataDxfId="221" totalsRowDxfId="220"/>
    <tableColumn id="7" xr3:uid="{00000000-0010-0000-0500-000007000000}" name="JUN" totalsRowFunction="sum" dataDxfId="219" totalsRowDxfId="218"/>
    <tableColumn id="8" xr3:uid="{00000000-0010-0000-0500-000008000000}" name="JUL" totalsRowFunction="sum" dataDxfId="217" totalsRowDxfId="216"/>
    <tableColumn id="9" xr3:uid="{00000000-0010-0000-0500-000009000000}" name="AUG" totalsRowFunction="sum" dataDxfId="215" totalsRowDxfId="214"/>
    <tableColumn id="10" xr3:uid="{00000000-0010-0000-0500-00000A000000}" name="SEP" totalsRowFunction="sum" dataDxfId="213" totalsRowDxfId="212"/>
    <tableColumn id="11" xr3:uid="{00000000-0010-0000-0500-00000B000000}" name="OCT" totalsRowFunction="sum" dataDxfId="211" totalsRowDxfId="210"/>
    <tableColumn id="12" xr3:uid="{00000000-0010-0000-0500-00000C000000}" name="NOV" totalsRowFunction="sum" dataDxfId="209" totalsRowDxfId="208"/>
    <tableColumn id="13" xr3:uid="{00000000-0010-0000-0500-00000D000000}" name="DEC" totalsRowFunction="sum" dataDxfId="207" totalsRowDxfId="206"/>
    <tableColumn id="14" xr3:uid="{00000000-0010-0000-0500-00000E000000}" name="YEAR" totalsRowFunction="sum" dataDxfId="205" totalsRowDxfId="204">
      <calculatedColumnFormula>SUM(tblHealth[[#This Row],[JAN]:[DEC]])</calculatedColumnFormula>
    </tableColumn>
    <tableColumn id="15" xr3:uid="{00000000-0010-0000-0500-00000F000000}" name=" " dataDxfId="203" totalsRowDxfId="202"/>
  </tableColumns>
  <tableStyleInfo name="Table Style 1" showFirstColumn="0" showLastColumn="0" showRowStripes="0" showColumnStripes="1"/>
  <extLst>
    <ext xmlns:x14="http://schemas.microsoft.com/office/spreadsheetml/2009/9/main" uri="{504A1905-F514-4f6f-8877-14C23A59335A}">
      <x14:table altText="Health Expenses" altTextSummary="Enter your health expenses for the year, separated by month."/>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blVacations" displayName="tblVacations" ref="B55:P62" totalsRowCount="1" headerRowDxfId="201" dataDxfId="200" totalsRowDxfId="199">
  <tableColumns count="15">
    <tableColumn id="1" xr3:uid="{00000000-0010-0000-0600-000001000000}" name="VACATIONS" totalsRowLabel="Total" dataDxfId="198" totalsRowDxfId="197"/>
    <tableColumn id="2" xr3:uid="{00000000-0010-0000-0600-000002000000}" name="JAN" totalsRowFunction="sum" dataDxfId="196" totalsRowDxfId="195"/>
    <tableColumn id="3" xr3:uid="{00000000-0010-0000-0600-000003000000}" name="FEB" totalsRowFunction="sum" dataDxfId="194" totalsRowDxfId="193"/>
    <tableColumn id="4" xr3:uid="{00000000-0010-0000-0600-000004000000}" name="MAR" totalsRowFunction="sum" dataDxfId="192" totalsRowDxfId="191"/>
    <tableColumn id="5" xr3:uid="{00000000-0010-0000-0600-000005000000}" name="APR" totalsRowFunction="sum" dataDxfId="190" totalsRowDxfId="189"/>
    <tableColumn id="6" xr3:uid="{00000000-0010-0000-0600-000006000000}" name="MAY" totalsRowFunction="sum" dataDxfId="188" totalsRowDxfId="187"/>
    <tableColumn id="7" xr3:uid="{00000000-0010-0000-0600-000007000000}" name="JUN" totalsRowFunction="sum" dataDxfId="186" totalsRowDxfId="185"/>
    <tableColumn id="8" xr3:uid="{00000000-0010-0000-0600-000008000000}" name="JUL" totalsRowFunction="sum" dataDxfId="184" totalsRowDxfId="183"/>
    <tableColumn id="9" xr3:uid="{00000000-0010-0000-0600-000009000000}" name="AUG" totalsRowFunction="sum" dataDxfId="182" totalsRowDxfId="181"/>
    <tableColumn id="10" xr3:uid="{00000000-0010-0000-0600-00000A000000}" name="SEP" totalsRowFunction="sum" dataDxfId="180" totalsRowDxfId="179"/>
    <tableColumn id="11" xr3:uid="{00000000-0010-0000-0600-00000B000000}" name="OCT" totalsRowFunction="sum" dataDxfId="178" totalsRowDxfId="177"/>
    <tableColumn id="12" xr3:uid="{00000000-0010-0000-0600-00000C000000}" name="NOV" totalsRowFunction="sum" dataDxfId="176" totalsRowDxfId="175"/>
    <tableColumn id="13" xr3:uid="{00000000-0010-0000-0600-00000D000000}" name="DEC" totalsRowFunction="sum" dataDxfId="174" totalsRowDxfId="173"/>
    <tableColumn id="14" xr3:uid="{00000000-0010-0000-0600-00000E000000}" name="YEAR" totalsRowFunction="sum" dataDxfId="172" totalsRowDxfId="171">
      <calculatedColumnFormula>SUM(tblVacations[[#This Row],[JAN]:[DEC]])</calculatedColumnFormula>
    </tableColumn>
    <tableColumn id="15" xr3:uid="{00000000-0010-0000-0600-00000F000000}" name=" " dataDxfId="170" totalsRowDxfId="169"/>
  </tableColumns>
  <tableStyleInfo name="Table Style 1" showFirstColumn="0" showLastColumn="0" showRowStripes="0" showColumnStripes="1"/>
  <extLst>
    <ext xmlns:x14="http://schemas.microsoft.com/office/spreadsheetml/2009/9/main" uri="{504A1905-F514-4f6f-8877-14C23A59335A}">
      <x14:table altText="Vacation Expenses" altTextSummary="Enter your vacation expenses for the year, separated by month."/>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blRecreation" displayName="tblRecreation" ref="B64:P69" totalsRowCount="1" headerRowDxfId="168" dataDxfId="167" totalsRowDxfId="166">
  <tableColumns count="15">
    <tableColumn id="1" xr3:uid="{00000000-0010-0000-0700-000001000000}" name="RECREATION" totalsRowLabel="Total" dataDxfId="165" totalsRowDxfId="164"/>
    <tableColumn id="2" xr3:uid="{00000000-0010-0000-0700-000002000000}" name="JAN" totalsRowFunction="sum" dataDxfId="163" totalsRowDxfId="162"/>
    <tableColumn id="3" xr3:uid="{00000000-0010-0000-0700-000003000000}" name="FEB" totalsRowFunction="sum" dataDxfId="161" totalsRowDxfId="160"/>
    <tableColumn id="4" xr3:uid="{00000000-0010-0000-0700-000004000000}" name="MAR" totalsRowFunction="sum" dataDxfId="159" totalsRowDxfId="158"/>
    <tableColumn id="5" xr3:uid="{00000000-0010-0000-0700-000005000000}" name="APR" totalsRowFunction="sum" dataDxfId="157" totalsRowDxfId="156"/>
    <tableColumn id="6" xr3:uid="{00000000-0010-0000-0700-000006000000}" name="MAY" totalsRowFunction="sum" dataDxfId="155" totalsRowDxfId="154"/>
    <tableColumn id="7" xr3:uid="{00000000-0010-0000-0700-000007000000}" name="JUN" totalsRowFunction="sum" dataDxfId="153" totalsRowDxfId="152"/>
    <tableColumn id="8" xr3:uid="{00000000-0010-0000-0700-000008000000}" name="JUL" totalsRowFunction="sum" dataDxfId="151" totalsRowDxfId="150"/>
    <tableColumn id="9" xr3:uid="{00000000-0010-0000-0700-000009000000}" name="AUG" totalsRowFunction="sum" dataDxfId="149" totalsRowDxfId="148"/>
    <tableColumn id="10" xr3:uid="{00000000-0010-0000-0700-00000A000000}" name="SEP" totalsRowFunction="sum" dataDxfId="147" totalsRowDxfId="146"/>
    <tableColumn id="11" xr3:uid="{00000000-0010-0000-0700-00000B000000}" name="OCT" totalsRowFunction="sum" dataDxfId="145" totalsRowDxfId="144"/>
    <tableColumn id="12" xr3:uid="{00000000-0010-0000-0700-00000C000000}" name="NOV" totalsRowFunction="sum" dataDxfId="143" totalsRowDxfId="142"/>
    <tableColumn id="13" xr3:uid="{00000000-0010-0000-0700-00000D000000}" name="DEC" totalsRowFunction="sum" dataDxfId="141" totalsRowDxfId="140"/>
    <tableColumn id="14" xr3:uid="{00000000-0010-0000-0700-00000E000000}" name="YEAR" totalsRowFunction="sum" dataDxfId="139" totalsRowDxfId="138">
      <calculatedColumnFormula>SUM(tblRecreation[[#This Row],[JAN]:[DEC]])</calculatedColumnFormula>
    </tableColumn>
    <tableColumn id="15" xr3:uid="{00000000-0010-0000-0700-00000F000000}" name=" " dataDxfId="137" totalsRowDxfId="136"/>
  </tableColumns>
  <tableStyleInfo name="Table Style 1" showFirstColumn="0" showLastColumn="0" showRowStripes="0" showColumnStripes="1"/>
  <extLst>
    <ext xmlns:x14="http://schemas.microsoft.com/office/spreadsheetml/2009/9/main" uri="{504A1905-F514-4f6f-8877-14C23A59335A}">
      <x14:table altText="Recreation Expenses" altTextSummary="Enter your recreation expenses for the year, separated by month."/>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blDues" displayName="tblDues" ref="B71:P79" totalsRowCount="1" headerRowDxfId="135" dataDxfId="134" totalsRowDxfId="133">
  <tableColumns count="15">
    <tableColumn id="1" xr3:uid="{00000000-0010-0000-0800-000001000000}" name="DUES/SUBSCRIPTION" totalsRowLabel="Total" dataDxfId="132" totalsRowDxfId="131"/>
    <tableColumn id="2" xr3:uid="{00000000-0010-0000-0800-000002000000}" name="JAN" totalsRowFunction="sum" dataDxfId="130" totalsRowDxfId="129"/>
    <tableColumn id="3" xr3:uid="{00000000-0010-0000-0800-000003000000}" name="FEB" totalsRowFunction="sum" dataDxfId="128" totalsRowDxfId="127"/>
    <tableColumn id="4" xr3:uid="{00000000-0010-0000-0800-000004000000}" name="MAR" totalsRowFunction="sum" dataDxfId="126" totalsRowDxfId="125"/>
    <tableColumn id="5" xr3:uid="{00000000-0010-0000-0800-000005000000}" name="APR" totalsRowFunction="sum" dataDxfId="124" totalsRowDxfId="123"/>
    <tableColumn id="6" xr3:uid="{00000000-0010-0000-0800-000006000000}" name="MAY" totalsRowFunction="sum" dataDxfId="122" totalsRowDxfId="121"/>
    <tableColumn id="7" xr3:uid="{00000000-0010-0000-0800-000007000000}" name="JUN" totalsRowFunction="sum" dataDxfId="120" totalsRowDxfId="119"/>
    <tableColumn id="8" xr3:uid="{00000000-0010-0000-0800-000008000000}" name="JUL" totalsRowFunction="sum" dataDxfId="118" totalsRowDxfId="117"/>
    <tableColumn id="9" xr3:uid="{00000000-0010-0000-0800-000009000000}" name="AUG" totalsRowFunction="sum" dataDxfId="116" totalsRowDxfId="115"/>
    <tableColumn id="10" xr3:uid="{00000000-0010-0000-0800-00000A000000}" name="SEP" totalsRowFunction="sum" dataDxfId="114" totalsRowDxfId="113"/>
    <tableColumn id="11" xr3:uid="{00000000-0010-0000-0800-00000B000000}" name="OCT" totalsRowFunction="sum" dataDxfId="112" totalsRowDxfId="111"/>
    <tableColumn id="12" xr3:uid="{00000000-0010-0000-0800-00000C000000}" name="NOV" totalsRowFunction="sum" dataDxfId="110" totalsRowDxfId="109"/>
    <tableColumn id="13" xr3:uid="{00000000-0010-0000-0800-00000D000000}" name="DEC" totalsRowFunction="sum" dataDxfId="108" totalsRowDxfId="107"/>
    <tableColumn id="14" xr3:uid="{00000000-0010-0000-0800-00000E000000}" name="YEAR" totalsRowFunction="sum" dataDxfId="106" totalsRowDxfId="105">
      <calculatedColumnFormula>SUM(tblDues[[#This Row],[JAN]:[DEC]])</calculatedColumnFormula>
    </tableColumn>
    <tableColumn id="15" xr3:uid="{00000000-0010-0000-0800-00000F000000}" name=" " dataDxfId="104" totalsRowDxfId="103"/>
  </tableColumns>
  <tableStyleInfo name="Table Style 1" showFirstColumn="0" showLastColumn="0" showRowStripes="0" showColumnStripes="1"/>
  <extLst>
    <ext xmlns:x14="http://schemas.microsoft.com/office/spreadsheetml/2009/9/main" uri="{504A1905-F514-4f6f-8877-14C23A59335A}">
      <x14:table altText="Dues &amp; Subscription Expenses" altTextSummary="Enter your dues &amp; subscription expenses for the year, separated by month."/>
    </ext>
  </extLst>
</table>
</file>

<file path=xl/theme/theme1.xml><?xml version="1.0" encoding="utf-8"?>
<a:theme xmlns:a="http://schemas.openxmlformats.org/drawingml/2006/main" name="Office Theme">
  <a:themeElements>
    <a:clrScheme name="TM04035483-v1">
      <a:dk1>
        <a:srgbClr val="000000"/>
      </a:dk1>
      <a:lt1>
        <a:srgbClr val="FFFFFF"/>
      </a:lt1>
      <a:dk2>
        <a:srgbClr val="004C4B"/>
      </a:dk2>
      <a:lt2>
        <a:srgbClr val="E7E6E6"/>
      </a:lt2>
      <a:accent1>
        <a:srgbClr val="007F80"/>
      </a:accent1>
      <a:accent2>
        <a:srgbClr val="B2D8D7"/>
      </a:accent2>
      <a:accent3>
        <a:srgbClr val="FDF8F3"/>
      </a:accent3>
      <a:accent4>
        <a:srgbClr val="FEBF00"/>
      </a:accent4>
      <a:accent5>
        <a:srgbClr val="FFE501"/>
      </a:accent5>
      <a:accent6>
        <a:srgbClr val="836C5A"/>
      </a:accent6>
      <a:hlink>
        <a:srgbClr val="0563C1"/>
      </a:hlink>
      <a:folHlink>
        <a:srgbClr val="954F72"/>
      </a:folHlink>
    </a:clrScheme>
    <a:fontScheme name="Custom 13">
      <a:majorFont>
        <a:latin typeface="Gill Sans MT"/>
        <a:ea typeface=""/>
        <a:cs typeface=""/>
      </a:majorFont>
      <a:minorFont>
        <a:latin typeface="verdana"/>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A1:Q110"/>
  <sheetViews>
    <sheetView showGridLines="0" tabSelected="1" zoomScaleNormal="100" workbookViewId="0"/>
  </sheetViews>
  <sheetFormatPr defaultColWidth="8.875" defaultRowHeight="21.95" customHeight="1" x14ac:dyDescent="0.2"/>
  <cols>
    <col min="1" max="1" width="6.875" style="10" customWidth="1"/>
    <col min="2" max="2" width="34.875" style="11" customWidth="1"/>
    <col min="3" max="15" width="15.875" style="12" customWidth="1"/>
    <col min="16" max="16" width="15.875" style="11" customWidth="1"/>
    <col min="17" max="17" width="6.875" style="11" customWidth="1"/>
    <col min="18" max="16384" width="8.875" style="24"/>
  </cols>
  <sheetData>
    <row r="1" spans="1:17" ht="20.100000000000001" customHeight="1" x14ac:dyDescent="0.2">
      <c r="Q1" s="11" t="s">
        <v>86</v>
      </c>
    </row>
    <row r="2" spans="1:17" ht="126.95" customHeight="1" x14ac:dyDescent="0.2">
      <c r="B2" s="38" t="s">
        <v>88</v>
      </c>
      <c r="C2" s="38"/>
      <c r="D2" s="38"/>
      <c r="E2" s="38"/>
      <c r="F2" s="38"/>
      <c r="G2" s="38"/>
      <c r="H2" s="38"/>
      <c r="I2" s="38"/>
      <c r="J2" s="38"/>
      <c r="K2" s="38"/>
      <c r="L2" s="38"/>
      <c r="M2" s="38"/>
      <c r="N2" s="38"/>
      <c r="O2" s="38"/>
      <c r="P2" s="38"/>
    </row>
    <row r="4" spans="1:17" s="26" customFormat="1" ht="30" customHeight="1" x14ac:dyDescent="0.45">
      <c r="A4" s="19"/>
      <c r="B4" s="31" t="s">
        <v>83</v>
      </c>
      <c r="C4" s="32"/>
      <c r="D4" s="32"/>
      <c r="E4" s="32"/>
      <c r="F4" s="32"/>
      <c r="G4" s="32"/>
      <c r="H4" s="32"/>
      <c r="I4" s="32"/>
      <c r="J4" s="32"/>
      <c r="K4" s="32"/>
      <c r="L4" s="32"/>
      <c r="M4" s="32"/>
      <c r="N4" s="32"/>
      <c r="O4" s="32"/>
      <c r="P4" s="33"/>
      <c r="Q4" s="20"/>
    </row>
    <row r="5" spans="1:17" s="5" customFormat="1" ht="30" customHeight="1" x14ac:dyDescent="0.2">
      <c r="A5" s="13"/>
      <c r="B5" s="22" t="s">
        <v>56</v>
      </c>
      <c r="C5" s="36" t="s">
        <v>70</v>
      </c>
      <c r="D5" s="36" t="s">
        <v>71</v>
      </c>
      <c r="E5" s="36" t="s">
        <v>73</v>
      </c>
      <c r="F5" s="36" t="s">
        <v>74</v>
      </c>
      <c r="G5" s="36" t="s">
        <v>72</v>
      </c>
      <c r="H5" s="36" t="s">
        <v>75</v>
      </c>
      <c r="I5" s="36" t="s">
        <v>76</v>
      </c>
      <c r="J5" s="36" t="s">
        <v>77</v>
      </c>
      <c r="K5" s="36" t="s">
        <v>78</v>
      </c>
      <c r="L5" s="36" t="s">
        <v>79</v>
      </c>
      <c r="M5" s="36" t="s">
        <v>80</v>
      </c>
      <c r="N5" s="36" t="s">
        <v>81</v>
      </c>
      <c r="O5" s="36" t="s">
        <v>82</v>
      </c>
      <c r="P5" s="37" t="s">
        <v>89</v>
      </c>
      <c r="Q5" s="3"/>
    </row>
    <row r="6" spans="1:17" s="5" customFormat="1" ht="22.15" customHeight="1" x14ac:dyDescent="0.2">
      <c r="A6" s="13"/>
      <c r="B6" s="14" t="s">
        <v>0</v>
      </c>
      <c r="C6" s="15">
        <v>2600</v>
      </c>
      <c r="D6" s="15">
        <v>2600</v>
      </c>
      <c r="E6" s="15">
        <v>2600</v>
      </c>
      <c r="F6" s="15"/>
      <c r="G6" s="15"/>
      <c r="H6" s="15"/>
      <c r="I6" s="15"/>
      <c r="J6" s="15"/>
      <c r="K6" s="15"/>
      <c r="L6" s="15"/>
      <c r="M6" s="15"/>
      <c r="N6" s="15"/>
      <c r="O6" s="15">
        <f>SUM(tblIncome[[#This Row],[JAN]:[DEC]])</f>
        <v>7800</v>
      </c>
      <c r="P6" s="16"/>
      <c r="Q6" s="3"/>
    </row>
    <row r="7" spans="1:17" s="5" customFormat="1" ht="22.15" customHeight="1" x14ac:dyDescent="0.2">
      <c r="A7" s="13"/>
      <c r="B7" s="14" t="s">
        <v>87</v>
      </c>
      <c r="C7" s="15">
        <v>649</v>
      </c>
      <c r="D7" s="15">
        <v>313</v>
      </c>
      <c r="E7" s="15">
        <v>664</v>
      </c>
      <c r="F7" s="15"/>
      <c r="G7" s="15"/>
      <c r="H7" s="15"/>
      <c r="I7" s="15"/>
      <c r="J7" s="15"/>
      <c r="K7" s="15"/>
      <c r="L7" s="15"/>
      <c r="M7" s="15"/>
      <c r="N7" s="15"/>
      <c r="O7" s="15">
        <f>SUM(tblIncome[[#This Row],[JAN]:[DEC]])</f>
        <v>1626</v>
      </c>
      <c r="P7" s="16"/>
      <c r="Q7" s="3"/>
    </row>
    <row r="8" spans="1:17" s="5" customFormat="1" ht="22.15" customHeight="1" x14ac:dyDescent="0.2">
      <c r="A8" s="13"/>
      <c r="B8" s="14" t="s">
        <v>1</v>
      </c>
      <c r="C8" s="15">
        <v>474</v>
      </c>
      <c r="D8" s="15">
        <v>643</v>
      </c>
      <c r="E8" s="15">
        <v>380</v>
      </c>
      <c r="F8" s="15"/>
      <c r="G8" s="15"/>
      <c r="H8" s="15"/>
      <c r="I8" s="15"/>
      <c r="J8" s="15"/>
      <c r="K8" s="15"/>
      <c r="L8" s="15"/>
      <c r="M8" s="15"/>
      <c r="N8" s="15"/>
      <c r="O8" s="15">
        <f>SUM(tblIncome[[#This Row],[JAN]:[DEC]])</f>
        <v>1497</v>
      </c>
      <c r="P8" s="16"/>
      <c r="Q8" s="3"/>
    </row>
    <row r="9" spans="1:17" s="5" customFormat="1" ht="22.15" customHeight="1" x14ac:dyDescent="0.2">
      <c r="A9" s="13"/>
      <c r="B9" s="14" t="s">
        <v>55</v>
      </c>
      <c r="C9" s="15">
        <f>SUBTOTAL(109,tblIncome[JAN])</f>
        <v>3723</v>
      </c>
      <c r="D9" s="15">
        <f>SUBTOTAL(109,tblIncome[FEB])</f>
        <v>3556</v>
      </c>
      <c r="E9" s="15">
        <f>SUBTOTAL(109,tblIncome[MAR])</f>
        <v>3644</v>
      </c>
      <c r="F9" s="15">
        <f>SUBTOTAL(109,tblIncome[APR])</f>
        <v>0</v>
      </c>
      <c r="G9" s="15">
        <f>SUBTOTAL(109,tblIncome[MAY])</f>
        <v>0</v>
      </c>
      <c r="H9" s="15">
        <f>SUBTOTAL(109,tblIncome[JUN])</f>
        <v>0</v>
      </c>
      <c r="I9" s="15">
        <f>SUBTOTAL(109,tblIncome[JUL])</f>
        <v>0</v>
      </c>
      <c r="J9" s="15">
        <f>SUBTOTAL(109,tblIncome[AUG])</f>
        <v>0</v>
      </c>
      <c r="K9" s="15">
        <f>SUBTOTAL(109,tblIncome[SEP])</f>
        <v>0</v>
      </c>
      <c r="L9" s="15">
        <f>SUBTOTAL(109,tblIncome[OCT])</f>
        <v>0</v>
      </c>
      <c r="M9" s="15">
        <f>SUBTOTAL(109,tblIncome[NOV])</f>
        <v>0</v>
      </c>
      <c r="N9" s="15">
        <f>SUBTOTAL(109,tblIncome[DEC])</f>
        <v>0</v>
      </c>
      <c r="O9" s="15">
        <f>SUBTOTAL(109,tblIncome[YEAR])</f>
        <v>10923</v>
      </c>
      <c r="P9" s="17"/>
      <c r="Q9" s="3"/>
    </row>
    <row r="10" spans="1:17" ht="21.95" customHeight="1" x14ac:dyDescent="0.2">
      <c r="B10" s="1"/>
      <c r="C10" s="2"/>
      <c r="D10" s="2"/>
      <c r="E10" s="2"/>
      <c r="F10" s="2"/>
      <c r="G10" s="2"/>
      <c r="H10" s="2"/>
      <c r="I10" s="2"/>
      <c r="J10" s="2"/>
      <c r="K10" s="2"/>
      <c r="L10" s="2"/>
      <c r="M10" s="2"/>
      <c r="N10" s="2"/>
      <c r="O10" s="2"/>
    </row>
    <row r="11" spans="1:17" s="35" customFormat="1" ht="30" customHeight="1" x14ac:dyDescent="0.55000000000000004">
      <c r="A11" s="30"/>
      <c r="B11" s="31" t="s">
        <v>57</v>
      </c>
      <c r="C11" s="32"/>
      <c r="D11" s="32"/>
      <c r="E11" s="32"/>
      <c r="F11" s="32"/>
      <c r="G11" s="32"/>
      <c r="H11" s="32"/>
      <c r="I11" s="32"/>
      <c r="J11" s="32"/>
      <c r="K11" s="32"/>
      <c r="L11" s="32"/>
      <c r="M11" s="32"/>
      <c r="N11" s="32"/>
      <c r="O11" s="32"/>
      <c r="P11" s="33"/>
      <c r="Q11" s="34"/>
    </row>
    <row r="12" spans="1:17" s="5" customFormat="1" ht="30" customHeight="1" x14ac:dyDescent="0.2">
      <c r="A12" s="13"/>
      <c r="B12" s="22" t="s">
        <v>58</v>
      </c>
      <c r="C12" s="36" t="s">
        <v>70</v>
      </c>
      <c r="D12" s="36" t="s">
        <v>71</v>
      </c>
      <c r="E12" s="36" t="s">
        <v>73</v>
      </c>
      <c r="F12" s="36" t="s">
        <v>74</v>
      </c>
      <c r="G12" s="36" t="s">
        <v>72</v>
      </c>
      <c r="H12" s="36" t="s">
        <v>75</v>
      </c>
      <c r="I12" s="36" t="s">
        <v>76</v>
      </c>
      <c r="J12" s="36" t="s">
        <v>77</v>
      </c>
      <c r="K12" s="36" t="s">
        <v>78</v>
      </c>
      <c r="L12" s="36" t="s">
        <v>79</v>
      </c>
      <c r="M12" s="36" t="s">
        <v>80</v>
      </c>
      <c r="N12" s="36" t="s">
        <v>81</v>
      </c>
      <c r="O12" s="36" t="s">
        <v>82</v>
      </c>
      <c r="P12" s="37" t="s">
        <v>86</v>
      </c>
      <c r="Q12" s="3"/>
    </row>
    <row r="13" spans="1:17" s="5" customFormat="1" ht="22.15" customHeight="1" x14ac:dyDescent="0.2">
      <c r="A13" s="13"/>
      <c r="B13" s="14" t="s">
        <v>84</v>
      </c>
      <c r="C13" s="15">
        <v>750</v>
      </c>
      <c r="D13" s="15">
        <v>750</v>
      </c>
      <c r="E13" s="15">
        <v>750</v>
      </c>
      <c r="F13" s="15"/>
      <c r="G13" s="15"/>
      <c r="H13" s="15"/>
      <c r="I13" s="15"/>
      <c r="J13" s="15"/>
      <c r="K13" s="15"/>
      <c r="L13" s="15"/>
      <c r="M13" s="15"/>
      <c r="N13" s="15"/>
      <c r="O13" s="15">
        <f>SUM(tblHome[[#This Row],[JAN]:[DEC]])</f>
        <v>2250</v>
      </c>
      <c r="P13" s="16"/>
      <c r="Q13" s="3"/>
    </row>
    <row r="14" spans="1:17" s="5" customFormat="1" ht="22.15" customHeight="1" x14ac:dyDescent="0.2">
      <c r="A14" s="13"/>
      <c r="B14" s="14" t="s">
        <v>10</v>
      </c>
      <c r="C14" s="15"/>
      <c r="D14" s="15"/>
      <c r="E14" s="15"/>
      <c r="F14" s="15"/>
      <c r="G14" s="15"/>
      <c r="H14" s="15"/>
      <c r="I14" s="15"/>
      <c r="J14" s="15"/>
      <c r="K14" s="15"/>
      <c r="L14" s="15"/>
      <c r="M14" s="15"/>
      <c r="N14" s="15"/>
      <c r="O14" s="15">
        <f>SUM(tblHome[[#This Row],[JAN]:[DEC]])</f>
        <v>0</v>
      </c>
      <c r="P14" s="16"/>
      <c r="Q14" s="3"/>
    </row>
    <row r="15" spans="1:17" s="5" customFormat="1" ht="22.15" customHeight="1" x14ac:dyDescent="0.2">
      <c r="A15" s="13"/>
      <c r="B15" s="14" t="s">
        <v>11</v>
      </c>
      <c r="C15" s="15"/>
      <c r="D15" s="15"/>
      <c r="E15" s="15">
        <v>75</v>
      </c>
      <c r="F15" s="15"/>
      <c r="G15" s="15"/>
      <c r="H15" s="15"/>
      <c r="I15" s="15"/>
      <c r="J15" s="15"/>
      <c r="K15" s="15"/>
      <c r="L15" s="15"/>
      <c r="M15" s="15"/>
      <c r="N15" s="15"/>
      <c r="O15" s="15">
        <f>SUM(tblHome[[#This Row],[JAN]:[DEC]])</f>
        <v>75</v>
      </c>
      <c r="P15" s="16"/>
      <c r="Q15" s="3"/>
    </row>
    <row r="16" spans="1:17" s="5" customFormat="1" ht="22.15" customHeight="1" x14ac:dyDescent="0.2">
      <c r="A16" s="13"/>
      <c r="B16" s="14" t="s">
        <v>85</v>
      </c>
      <c r="C16" s="15">
        <v>35</v>
      </c>
      <c r="D16" s="15">
        <v>35</v>
      </c>
      <c r="E16" s="15">
        <v>35</v>
      </c>
      <c r="F16" s="15"/>
      <c r="G16" s="15"/>
      <c r="H16" s="15"/>
      <c r="I16" s="15"/>
      <c r="J16" s="15"/>
      <c r="K16" s="15"/>
      <c r="L16" s="15"/>
      <c r="M16" s="15"/>
      <c r="N16" s="15"/>
      <c r="O16" s="15">
        <f>SUM(tblHome[[#This Row],[JAN]:[DEC]])</f>
        <v>105</v>
      </c>
      <c r="P16" s="16"/>
      <c r="Q16" s="3"/>
    </row>
    <row r="17" spans="1:17" s="5" customFormat="1" ht="22.15" customHeight="1" x14ac:dyDescent="0.2">
      <c r="A17" s="3"/>
      <c r="B17" s="14" t="s">
        <v>2</v>
      </c>
      <c r="C17" s="15">
        <v>165</v>
      </c>
      <c r="D17" s="15">
        <v>165</v>
      </c>
      <c r="E17" s="15">
        <v>165</v>
      </c>
      <c r="F17" s="15"/>
      <c r="G17" s="15"/>
      <c r="H17" s="15"/>
      <c r="I17" s="15"/>
      <c r="J17" s="15"/>
      <c r="K17" s="15"/>
      <c r="L17" s="15"/>
      <c r="M17" s="15"/>
      <c r="N17" s="15"/>
      <c r="O17" s="15">
        <f>SUM(tblHome[[#This Row],[JAN]:[DEC]])</f>
        <v>495</v>
      </c>
      <c r="P17" s="16"/>
      <c r="Q17" s="3"/>
    </row>
    <row r="18" spans="1:17" ht="22.15" customHeight="1" x14ac:dyDescent="0.2">
      <c r="B18" s="14" t="s">
        <v>55</v>
      </c>
      <c r="C18" s="15">
        <f>SUBTOTAL(109,tblHome[JAN])</f>
        <v>950</v>
      </c>
      <c r="D18" s="15">
        <f>SUBTOTAL(109,tblHome[FEB])</f>
        <v>950</v>
      </c>
      <c r="E18" s="15">
        <f>SUBTOTAL(109,tblHome[MAR])</f>
        <v>1025</v>
      </c>
      <c r="F18" s="15">
        <f>SUBTOTAL(109,tblHome[APR])</f>
        <v>0</v>
      </c>
      <c r="G18" s="15">
        <f>SUBTOTAL(109,tblHome[MAY])</f>
        <v>0</v>
      </c>
      <c r="H18" s="15">
        <f>SUBTOTAL(109,tblHome[JUN])</f>
        <v>0</v>
      </c>
      <c r="I18" s="15">
        <f>SUBTOTAL(109,tblHome[JUL])</f>
        <v>0</v>
      </c>
      <c r="J18" s="15">
        <f>SUBTOTAL(109,tblHome[AUG])</f>
        <v>0</v>
      </c>
      <c r="K18" s="15">
        <f>SUBTOTAL(109,tblHome[SEP])</f>
        <v>0</v>
      </c>
      <c r="L18" s="15">
        <f>SUBTOTAL(109,tblHome[OCT])</f>
        <v>0</v>
      </c>
      <c r="M18" s="15">
        <f>SUBTOTAL(109,tblHome[NOV])</f>
        <v>0</v>
      </c>
      <c r="N18" s="15">
        <f>SUBTOTAL(109,tblHome[DEC])</f>
        <v>0</v>
      </c>
      <c r="O18" s="15">
        <f>SUBTOTAL(109,tblHome[YEAR])</f>
        <v>2925</v>
      </c>
      <c r="P18" s="17"/>
    </row>
    <row r="19" spans="1:17" s="25" customFormat="1" ht="21.95" customHeight="1" x14ac:dyDescent="0.45">
      <c r="A19" s="21"/>
      <c r="B19" s="1"/>
      <c r="C19" s="2"/>
      <c r="D19" s="2"/>
      <c r="E19" s="2"/>
      <c r="F19" s="2"/>
      <c r="G19" s="2"/>
      <c r="H19" s="2"/>
      <c r="I19" s="2"/>
      <c r="J19" s="2"/>
      <c r="K19" s="2"/>
      <c r="L19" s="2"/>
      <c r="M19" s="2"/>
      <c r="N19" s="2"/>
      <c r="O19" s="2"/>
      <c r="P19" s="11"/>
      <c r="Q19" s="23"/>
    </row>
    <row r="20" spans="1:17" s="5" customFormat="1" ht="30" customHeight="1" x14ac:dyDescent="0.2">
      <c r="A20" s="13"/>
      <c r="B20" s="22" t="s">
        <v>60</v>
      </c>
      <c r="C20" s="36" t="s">
        <v>70</v>
      </c>
      <c r="D20" s="36" t="s">
        <v>71</v>
      </c>
      <c r="E20" s="36" t="s">
        <v>73</v>
      </c>
      <c r="F20" s="36" t="s">
        <v>74</v>
      </c>
      <c r="G20" s="36" t="s">
        <v>72</v>
      </c>
      <c r="H20" s="36" t="s">
        <v>75</v>
      </c>
      <c r="I20" s="36" t="s">
        <v>76</v>
      </c>
      <c r="J20" s="36" t="s">
        <v>77</v>
      </c>
      <c r="K20" s="36" t="s">
        <v>78</v>
      </c>
      <c r="L20" s="36" t="s">
        <v>79</v>
      </c>
      <c r="M20" s="36" t="s">
        <v>80</v>
      </c>
      <c r="N20" s="36" t="s">
        <v>81</v>
      </c>
      <c r="O20" s="36" t="s">
        <v>82</v>
      </c>
      <c r="P20" s="37" t="s">
        <v>86</v>
      </c>
      <c r="Q20" s="3"/>
    </row>
    <row r="21" spans="1:17" s="5" customFormat="1" ht="22.15" customHeight="1" x14ac:dyDescent="0.2">
      <c r="A21" s="13"/>
      <c r="B21" s="14" t="s">
        <v>3</v>
      </c>
      <c r="C21" s="15">
        <v>191</v>
      </c>
      <c r="D21" s="15">
        <v>152</v>
      </c>
      <c r="E21" s="15">
        <v>145</v>
      </c>
      <c r="F21" s="15"/>
      <c r="G21" s="15"/>
      <c r="H21" s="15"/>
      <c r="I21" s="15"/>
      <c r="J21" s="15"/>
      <c r="K21" s="15"/>
      <c r="L21" s="15"/>
      <c r="M21" s="15"/>
      <c r="N21" s="15"/>
      <c r="O21" s="15">
        <f>SUM(tblDaily[[#This Row],[JAN]:[DEC]])</f>
        <v>488</v>
      </c>
      <c r="P21" s="16"/>
      <c r="Q21" s="3"/>
    </row>
    <row r="22" spans="1:17" s="5" customFormat="1" ht="22.15" customHeight="1" x14ac:dyDescent="0.2">
      <c r="A22" s="13"/>
      <c r="B22" s="14" t="s">
        <v>4</v>
      </c>
      <c r="C22" s="15">
        <v>200</v>
      </c>
      <c r="D22" s="15">
        <v>200</v>
      </c>
      <c r="E22" s="15">
        <v>200</v>
      </c>
      <c r="F22" s="15"/>
      <c r="G22" s="15"/>
      <c r="H22" s="15"/>
      <c r="I22" s="15"/>
      <c r="J22" s="15"/>
      <c r="K22" s="15"/>
      <c r="L22" s="15"/>
      <c r="M22" s="15"/>
      <c r="N22" s="15"/>
      <c r="O22" s="15">
        <f>SUM(tblDaily[[#This Row],[JAN]:[DEC]])</f>
        <v>600</v>
      </c>
      <c r="P22" s="16"/>
      <c r="Q22" s="3"/>
    </row>
    <row r="23" spans="1:17" s="5" customFormat="1" ht="22.15" customHeight="1" x14ac:dyDescent="0.2">
      <c r="A23" s="13"/>
      <c r="B23" s="14" t="s">
        <v>5</v>
      </c>
      <c r="C23" s="15">
        <v>20</v>
      </c>
      <c r="D23" s="15"/>
      <c r="E23" s="15">
        <v>20</v>
      </c>
      <c r="F23" s="15"/>
      <c r="G23" s="15"/>
      <c r="H23" s="15"/>
      <c r="I23" s="15"/>
      <c r="J23" s="15"/>
      <c r="K23" s="15"/>
      <c r="L23" s="15"/>
      <c r="M23" s="15"/>
      <c r="N23" s="15"/>
      <c r="O23" s="15">
        <f>SUM(tblDaily[[#This Row],[JAN]:[DEC]])</f>
        <v>40</v>
      </c>
      <c r="P23" s="16"/>
      <c r="Q23" s="3"/>
    </row>
    <row r="24" spans="1:17" s="5" customFormat="1" ht="22.15" customHeight="1" x14ac:dyDescent="0.2">
      <c r="A24" s="3"/>
      <c r="B24" s="14" t="s">
        <v>6</v>
      </c>
      <c r="C24" s="15">
        <v>55</v>
      </c>
      <c r="D24" s="15"/>
      <c r="E24" s="15">
        <v>56</v>
      </c>
      <c r="F24" s="15"/>
      <c r="G24" s="15"/>
      <c r="H24" s="15"/>
      <c r="I24" s="15"/>
      <c r="J24" s="15"/>
      <c r="K24" s="15"/>
      <c r="L24" s="15"/>
      <c r="M24" s="15"/>
      <c r="N24" s="15"/>
      <c r="O24" s="15">
        <f>SUM(tblDaily[[#This Row],[JAN]:[DEC]])</f>
        <v>111</v>
      </c>
      <c r="P24" s="16"/>
      <c r="Q24" s="3"/>
    </row>
    <row r="25" spans="1:17" s="5" customFormat="1" ht="22.15" customHeight="1" x14ac:dyDescent="0.2">
      <c r="A25" s="13"/>
      <c r="B25" s="14" t="s">
        <v>7</v>
      </c>
      <c r="C25" s="15">
        <v>25</v>
      </c>
      <c r="D25" s="15">
        <v>17</v>
      </c>
      <c r="E25" s="15">
        <v>7</v>
      </c>
      <c r="F25" s="15"/>
      <c r="G25" s="15"/>
      <c r="H25" s="15"/>
      <c r="I25" s="15"/>
      <c r="J25" s="15"/>
      <c r="K25" s="15"/>
      <c r="L25" s="15"/>
      <c r="M25" s="15"/>
      <c r="N25" s="15"/>
      <c r="O25" s="15">
        <f>SUM(tblDaily[[#This Row],[JAN]:[DEC]])</f>
        <v>49</v>
      </c>
      <c r="P25" s="16"/>
      <c r="Q25" s="3"/>
    </row>
    <row r="26" spans="1:17" ht="22.15" customHeight="1" x14ac:dyDescent="0.2">
      <c r="B26" s="14" t="s">
        <v>8</v>
      </c>
      <c r="C26" s="15">
        <v>10</v>
      </c>
      <c r="D26" s="15">
        <v>5</v>
      </c>
      <c r="E26" s="15">
        <v>7</v>
      </c>
      <c r="F26" s="15"/>
      <c r="G26" s="15"/>
      <c r="H26" s="15"/>
      <c r="I26" s="15"/>
      <c r="J26" s="15"/>
      <c r="K26" s="15"/>
      <c r="L26" s="15"/>
      <c r="M26" s="15"/>
      <c r="N26" s="15"/>
      <c r="O26" s="15">
        <f>SUM(tblDaily[[#This Row],[JAN]:[DEC]])</f>
        <v>22</v>
      </c>
      <c r="P26" s="16"/>
    </row>
    <row r="27" spans="1:17" s="25" customFormat="1" ht="22.15" customHeight="1" x14ac:dyDescent="0.45">
      <c r="A27" s="21"/>
      <c r="B27" s="14" t="s">
        <v>55</v>
      </c>
      <c r="C27" s="15">
        <f>SUBTOTAL(109,tblDaily[JAN])</f>
        <v>501</v>
      </c>
      <c r="D27" s="15">
        <f>SUBTOTAL(109,tblDaily[FEB])</f>
        <v>374</v>
      </c>
      <c r="E27" s="15">
        <f>SUBTOTAL(109,tblDaily[MAR])</f>
        <v>435</v>
      </c>
      <c r="F27" s="15">
        <f>SUBTOTAL(109,tblDaily[APR])</f>
        <v>0</v>
      </c>
      <c r="G27" s="15">
        <f>SUBTOTAL(109,tblDaily[MAY])</f>
        <v>0</v>
      </c>
      <c r="H27" s="15">
        <f>SUBTOTAL(109,tblDaily[JUN])</f>
        <v>0</v>
      </c>
      <c r="I27" s="15">
        <f>SUBTOTAL(109,tblDaily[JUL])</f>
        <v>0</v>
      </c>
      <c r="J27" s="15">
        <f>SUBTOTAL(109,tblDaily[AUG])</f>
        <v>0</v>
      </c>
      <c r="K27" s="15">
        <f>SUBTOTAL(109,tblDaily[SEP])</f>
        <v>0</v>
      </c>
      <c r="L27" s="15">
        <f>SUBTOTAL(109,tblDaily[OCT])</f>
        <v>0</v>
      </c>
      <c r="M27" s="15">
        <f>SUBTOTAL(109,tblDaily[NOV])</f>
        <v>0</v>
      </c>
      <c r="N27" s="15">
        <f>SUBTOTAL(109,tblDaily[DEC])</f>
        <v>0</v>
      </c>
      <c r="O27" s="15">
        <f>SUBTOTAL(109,tblDaily[YEAR])</f>
        <v>1310</v>
      </c>
      <c r="P27" s="17"/>
      <c r="Q27" s="23"/>
    </row>
    <row r="28" spans="1:17" s="5" customFormat="1" ht="21.95" customHeight="1" x14ac:dyDescent="0.2">
      <c r="A28" s="13"/>
      <c r="B28" s="3"/>
      <c r="C28" s="4"/>
      <c r="D28" s="4"/>
      <c r="E28" s="4"/>
      <c r="F28" s="4"/>
      <c r="G28" s="4"/>
      <c r="H28" s="4"/>
      <c r="I28" s="4"/>
      <c r="J28" s="4"/>
      <c r="K28" s="4"/>
      <c r="L28" s="4"/>
      <c r="M28" s="4"/>
      <c r="N28" s="4"/>
      <c r="O28" s="4"/>
      <c r="P28" s="3"/>
      <c r="Q28" s="3"/>
    </row>
    <row r="29" spans="1:17" s="5" customFormat="1" ht="30" customHeight="1" x14ac:dyDescent="0.2">
      <c r="A29" s="13"/>
      <c r="B29" s="22" t="s">
        <v>59</v>
      </c>
      <c r="C29" s="36" t="s">
        <v>70</v>
      </c>
      <c r="D29" s="36" t="s">
        <v>71</v>
      </c>
      <c r="E29" s="36" t="s">
        <v>73</v>
      </c>
      <c r="F29" s="36" t="s">
        <v>74</v>
      </c>
      <c r="G29" s="36" t="s">
        <v>72</v>
      </c>
      <c r="H29" s="36" t="s">
        <v>75</v>
      </c>
      <c r="I29" s="36" t="s">
        <v>76</v>
      </c>
      <c r="J29" s="36" t="s">
        <v>77</v>
      </c>
      <c r="K29" s="36" t="s">
        <v>78</v>
      </c>
      <c r="L29" s="36" t="s">
        <v>79</v>
      </c>
      <c r="M29" s="36" t="s">
        <v>80</v>
      </c>
      <c r="N29" s="36" t="s">
        <v>81</v>
      </c>
      <c r="O29" s="36" t="s">
        <v>82</v>
      </c>
      <c r="P29" s="37" t="s">
        <v>86</v>
      </c>
      <c r="Q29" s="3"/>
    </row>
    <row r="30" spans="1:17" s="5" customFormat="1" ht="22.15" customHeight="1" x14ac:dyDescent="0.2">
      <c r="A30" s="13"/>
      <c r="B30" s="14" t="s">
        <v>9</v>
      </c>
      <c r="C30" s="15">
        <v>195</v>
      </c>
      <c r="D30" s="15">
        <v>125</v>
      </c>
      <c r="E30" s="15">
        <v>171</v>
      </c>
      <c r="F30" s="15"/>
      <c r="G30" s="15"/>
      <c r="H30" s="15"/>
      <c r="I30" s="15"/>
      <c r="J30" s="15"/>
      <c r="K30" s="15"/>
      <c r="L30" s="15"/>
      <c r="M30" s="15"/>
      <c r="N30" s="15"/>
      <c r="O30" s="15">
        <f>SUM(tblTransportation[[#This Row],[JAN]:[DEC]])</f>
        <v>491</v>
      </c>
      <c r="P30" s="16"/>
      <c r="Q30" s="3"/>
    </row>
    <row r="31" spans="1:17" s="5" customFormat="1" ht="22.15" customHeight="1" x14ac:dyDescent="0.2">
      <c r="A31" s="13"/>
      <c r="B31" s="14" t="s">
        <v>10</v>
      </c>
      <c r="C31" s="15">
        <v>165</v>
      </c>
      <c r="D31" s="15">
        <v>165</v>
      </c>
      <c r="E31" s="15">
        <v>165</v>
      </c>
      <c r="F31" s="15"/>
      <c r="G31" s="15"/>
      <c r="H31" s="15"/>
      <c r="I31" s="15"/>
      <c r="J31" s="15"/>
      <c r="K31" s="15"/>
      <c r="L31" s="15"/>
      <c r="M31" s="15"/>
      <c r="N31" s="15"/>
      <c r="O31" s="15">
        <f>SUM(tblTransportation[[#This Row],[JAN]:[DEC]])</f>
        <v>495</v>
      </c>
      <c r="P31" s="16"/>
      <c r="Q31" s="3"/>
    </row>
    <row r="32" spans="1:17" s="5" customFormat="1" ht="22.15" customHeight="1" x14ac:dyDescent="0.2">
      <c r="A32" s="3"/>
      <c r="B32" s="14" t="s">
        <v>11</v>
      </c>
      <c r="C32" s="15"/>
      <c r="D32" s="15"/>
      <c r="E32" s="15"/>
      <c r="F32" s="15"/>
      <c r="G32" s="15"/>
      <c r="H32" s="15"/>
      <c r="I32" s="15"/>
      <c r="J32" s="15"/>
      <c r="K32" s="15"/>
      <c r="L32" s="15"/>
      <c r="M32" s="15"/>
      <c r="N32" s="15"/>
      <c r="O32" s="15">
        <f>SUM(tblTransportation[[#This Row],[JAN]:[DEC]])</f>
        <v>0</v>
      </c>
      <c r="P32" s="16"/>
      <c r="Q32" s="3"/>
    </row>
    <row r="33" spans="1:17" s="5" customFormat="1" ht="22.15" customHeight="1" x14ac:dyDescent="0.2">
      <c r="A33" s="13"/>
      <c r="B33" s="14" t="s">
        <v>12</v>
      </c>
      <c r="C33" s="15">
        <v>10</v>
      </c>
      <c r="D33" s="15"/>
      <c r="E33" s="15"/>
      <c r="F33" s="15"/>
      <c r="G33" s="15"/>
      <c r="H33" s="15"/>
      <c r="I33" s="15"/>
      <c r="J33" s="15"/>
      <c r="K33" s="15"/>
      <c r="L33" s="15"/>
      <c r="M33" s="15"/>
      <c r="N33" s="15"/>
      <c r="O33" s="15">
        <f>SUM(tblTransportation[[#This Row],[JAN]:[DEC]])</f>
        <v>10</v>
      </c>
      <c r="P33" s="16"/>
      <c r="Q33" s="3"/>
    </row>
    <row r="34" spans="1:17" s="5" customFormat="1" ht="22.15" customHeight="1" x14ac:dyDescent="0.2">
      <c r="A34" s="13"/>
      <c r="B34" s="14" t="s">
        <v>13</v>
      </c>
      <c r="C34" s="15">
        <v>10</v>
      </c>
      <c r="D34" s="15">
        <v>40</v>
      </c>
      <c r="E34" s="15">
        <v>20</v>
      </c>
      <c r="F34" s="15"/>
      <c r="G34" s="15"/>
      <c r="H34" s="15"/>
      <c r="I34" s="15"/>
      <c r="J34" s="15"/>
      <c r="K34" s="15"/>
      <c r="L34" s="15"/>
      <c r="M34" s="15"/>
      <c r="N34" s="15"/>
      <c r="O34" s="15">
        <f>SUM(tblTransportation[[#This Row],[JAN]:[DEC]])</f>
        <v>70</v>
      </c>
      <c r="P34" s="16"/>
      <c r="Q34" s="3"/>
    </row>
    <row r="35" spans="1:17" ht="22.15" customHeight="1" x14ac:dyDescent="0.2">
      <c r="B35" s="14" t="s">
        <v>14</v>
      </c>
      <c r="C35" s="15">
        <v>20</v>
      </c>
      <c r="D35" s="15">
        <v>40</v>
      </c>
      <c r="E35" s="15">
        <v>30</v>
      </c>
      <c r="F35" s="15"/>
      <c r="G35" s="15"/>
      <c r="H35" s="15"/>
      <c r="I35" s="15"/>
      <c r="J35" s="15"/>
      <c r="K35" s="15"/>
      <c r="L35" s="15"/>
      <c r="M35" s="15"/>
      <c r="N35" s="15"/>
      <c r="O35" s="15">
        <f>SUM(tblTransportation[[#This Row],[JAN]:[DEC]])</f>
        <v>90</v>
      </c>
      <c r="P35" s="16"/>
    </row>
    <row r="36" spans="1:17" s="25" customFormat="1" ht="22.15" customHeight="1" x14ac:dyDescent="0.45">
      <c r="A36" s="21"/>
      <c r="B36" s="14" t="s">
        <v>55</v>
      </c>
      <c r="C36" s="15">
        <f>SUBTOTAL(109,tblTransportation[JAN])</f>
        <v>400</v>
      </c>
      <c r="D36" s="15">
        <f>SUBTOTAL(109,tblTransportation[FEB])</f>
        <v>370</v>
      </c>
      <c r="E36" s="15">
        <f>SUBTOTAL(109,tblTransportation[MAR])</f>
        <v>386</v>
      </c>
      <c r="F36" s="15">
        <f>SUBTOTAL(109,tblTransportation[APR])</f>
        <v>0</v>
      </c>
      <c r="G36" s="15">
        <f>SUBTOTAL(109,tblTransportation[MAY])</f>
        <v>0</v>
      </c>
      <c r="H36" s="15">
        <f>SUBTOTAL(109,tblTransportation[JUN])</f>
        <v>0</v>
      </c>
      <c r="I36" s="15">
        <f>SUBTOTAL(109,tblTransportation[JUL])</f>
        <v>0</v>
      </c>
      <c r="J36" s="15">
        <f>SUBTOTAL(109,tblTransportation[AUG])</f>
        <v>0</v>
      </c>
      <c r="K36" s="15">
        <f>SUBTOTAL(109,tblTransportation[SEP])</f>
        <v>0</v>
      </c>
      <c r="L36" s="15">
        <f>SUBTOTAL(109,tblTransportation[OCT])</f>
        <v>0</v>
      </c>
      <c r="M36" s="15">
        <f>SUBTOTAL(109,tblTransportation[NOV])</f>
        <v>0</v>
      </c>
      <c r="N36" s="15">
        <f>SUBTOTAL(109,tblTransportation[DEC])</f>
        <v>0</v>
      </c>
      <c r="O36" s="15">
        <f>SUBTOTAL(109,tblTransportation[YEAR])</f>
        <v>1156</v>
      </c>
      <c r="P36" s="17"/>
      <c r="Q36" s="23"/>
    </row>
    <row r="37" spans="1:17" s="5" customFormat="1" ht="21.95" customHeight="1" x14ac:dyDescent="0.2">
      <c r="A37" s="13"/>
      <c r="B37" s="3"/>
      <c r="C37" s="4"/>
      <c r="D37" s="4"/>
      <c r="E37" s="4"/>
      <c r="F37" s="4"/>
      <c r="G37" s="4"/>
      <c r="H37" s="4"/>
      <c r="I37" s="4"/>
      <c r="J37" s="4"/>
      <c r="K37" s="4"/>
      <c r="L37" s="4"/>
      <c r="M37" s="4"/>
      <c r="N37" s="4"/>
      <c r="O37" s="4"/>
      <c r="P37" s="3"/>
      <c r="Q37" s="3"/>
    </row>
    <row r="38" spans="1:17" s="5" customFormat="1" ht="30" customHeight="1" x14ac:dyDescent="0.2">
      <c r="A38" s="13"/>
      <c r="B38" s="22" t="s">
        <v>61</v>
      </c>
      <c r="C38" s="36" t="s">
        <v>70</v>
      </c>
      <c r="D38" s="36" t="s">
        <v>71</v>
      </c>
      <c r="E38" s="36" t="s">
        <v>73</v>
      </c>
      <c r="F38" s="36" t="s">
        <v>74</v>
      </c>
      <c r="G38" s="36" t="s">
        <v>72</v>
      </c>
      <c r="H38" s="36" t="s">
        <v>75</v>
      </c>
      <c r="I38" s="36" t="s">
        <v>76</v>
      </c>
      <c r="J38" s="36" t="s">
        <v>77</v>
      </c>
      <c r="K38" s="36" t="s">
        <v>78</v>
      </c>
      <c r="L38" s="36" t="s">
        <v>79</v>
      </c>
      <c r="M38" s="36" t="s">
        <v>80</v>
      </c>
      <c r="N38" s="36" t="s">
        <v>81</v>
      </c>
      <c r="O38" s="36" t="s">
        <v>82</v>
      </c>
      <c r="P38" s="37" t="s">
        <v>86</v>
      </c>
      <c r="Q38" s="3"/>
    </row>
    <row r="39" spans="1:17" s="5" customFormat="1" ht="22.15" customHeight="1" x14ac:dyDescent="0.2">
      <c r="A39" s="13"/>
      <c r="B39" s="14" t="s">
        <v>15</v>
      </c>
      <c r="C39" s="15">
        <v>85</v>
      </c>
      <c r="D39" s="15">
        <v>85</v>
      </c>
      <c r="E39" s="15">
        <v>85</v>
      </c>
      <c r="F39" s="15"/>
      <c r="G39" s="15"/>
      <c r="H39" s="15"/>
      <c r="I39" s="15"/>
      <c r="J39" s="15"/>
      <c r="K39" s="15"/>
      <c r="L39" s="15"/>
      <c r="M39" s="15"/>
      <c r="N39" s="15"/>
      <c r="O39" s="15">
        <f>SUM(tblEntertainment[[#This Row],[JAN]:[DEC]])</f>
        <v>255</v>
      </c>
      <c r="P39" s="16"/>
      <c r="Q39" s="3"/>
    </row>
    <row r="40" spans="1:17" s="5" customFormat="1" ht="22.15" customHeight="1" x14ac:dyDescent="0.2">
      <c r="A40" s="13"/>
      <c r="B40" s="14" t="s">
        <v>16</v>
      </c>
      <c r="C40" s="15">
        <v>7</v>
      </c>
      <c r="D40" s="15">
        <v>8</v>
      </c>
      <c r="E40" s="15">
        <v>9</v>
      </c>
      <c r="F40" s="15"/>
      <c r="G40" s="15"/>
      <c r="H40" s="15"/>
      <c r="I40" s="15"/>
      <c r="J40" s="15"/>
      <c r="K40" s="15"/>
      <c r="L40" s="15"/>
      <c r="M40" s="15"/>
      <c r="N40" s="15"/>
      <c r="O40" s="15">
        <f>SUM(tblEntertainment[[#This Row],[JAN]:[DEC]])</f>
        <v>24</v>
      </c>
      <c r="P40" s="16"/>
      <c r="Q40" s="3"/>
    </row>
    <row r="41" spans="1:17" s="5" customFormat="1" ht="22.15" customHeight="1" x14ac:dyDescent="0.2">
      <c r="A41" s="13"/>
      <c r="B41" s="14" t="s">
        <v>17</v>
      </c>
      <c r="C41" s="15">
        <v>9</v>
      </c>
      <c r="D41" s="15">
        <v>5</v>
      </c>
      <c r="E41" s="15">
        <v>9</v>
      </c>
      <c r="F41" s="15"/>
      <c r="G41" s="15"/>
      <c r="H41" s="15"/>
      <c r="I41" s="15"/>
      <c r="J41" s="15"/>
      <c r="K41" s="15"/>
      <c r="L41" s="15"/>
      <c r="M41" s="15"/>
      <c r="N41" s="15"/>
      <c r="O41" s="15">
        <f>SUM(tblEntertainment[[#This Row],[JAN]:[DEC]])</f>
        <v>23</v>
      </c>
      <c r="P41" s="16"/>
      <c r="Q41" s="3"/>
    </row>
    <row r="42" spans="1:17" ht="22.15" customHeight="1" x14ac:dyDescent="0.2">
      <c r="B42" s="14" t="s">
        <v>18</v>
      </c>
      <c r="C42" s="15">
        <v>5</v>
      </c>
      <c r="D42" s="15">
        <v>5</v>
      </c>
      <c r="E42" s="15">
        <v>7</v>
      </c>
      <c r="F42" s="15"/>
      <c r="G42" s="15"/>
      <c r="H42" s="15"/>
      <c r="I42" s="15"/>
      <c r="J42" s="15"/>
      <c r="K42" s="15"/>
      <c r="L42" s="15"/>
      <c r="M42" s="15"/>
      <c r="N42" s="15"/>
      <c r="O42" s="15">
        <f>SUM(tblEntertainment[[#This Row],[JAN]:[DEC]])</f>
        <v>17</v>
      </c>
      <c r="P42" s="16"/>
    </row>
    <row r="43" spans="1:17" s="25" customFormat="1" ht="22.15" customHeight="1" x14ac:dyDescent="0.45">
      <c r="A43" s="21"/>
      <c r="B43" s="14" t="s">
        <v>55</v>
      </c>
      <c r="C43" s="15">
        <f>SUBTOTAL(109,tblEntertainment[JAN])</f>
        <v>106</v>
      </c>
      <c r="D43" s="15">
        <f>SUBTOTAL(109,tblEntertainment[FEB])</f>
        <v>103</v>
      </c>
      <c r="E43" s="15">
        <f>SUBTOTAL(109,tblEntertainment[MAR])</f>
        <v>110</v>
      </c>
      <c r="F43" s="15">
        <f>SUBTOTAL(109,tblEntertainment[APR])</f>
        <v>0</v>
      </c>
      <c r="G43" s="15">
        <f>SUBTOTAL(109,tblEntertainment[MAY])</f>
        <v>0</v>
      </c>
      <c r="H43" s="15">
        <f>SUBTOTAL(109,tblEntertainment[JUN])</f>
        <v>0</v>
      </c>
      <c r="I43" s="15">
        <f>SUBTOTAL(109,tblEntertainment[JUL])</f>
        <v>0</v>
      </c>
      <c r="J43" s="15">
        <f>SUBTOTAL(109,tblEntertainment[AUG])</f>
        <v>0</v>
      </c>
      <c r="K43" s="15">
        <f>SUBTOTAL(109,tblEntertainment[SEP])</f>
        <v>0</v>
      </c>
      <c r="L43" s="15">
        <f>SUBTOTAL(109,tblEntertainment[OCT])</f>
        <v>0</v>
      </c>
      <c r="M43" s="15">
        <f>SUBTOTAL(109,tblEntertainment[NOV])</f>
        <v>0</v>
      </c>
      <c r="N43" s="15">
        <f>SUBTOTAL(109,tblEntertainment[DEC])</f>
        <v>0</v>
      </c>
      <c r="O43" s="15">
        <f>SUBTOTAL(109,tblEntertainment[YEAR])</f>
        <v>319</v>
      </c>
      <c r="P43" s="17"/>
      <c r="Q43" s="23"/>
    </row>
    <row r="44" spans="1:17" s="5" customFormat="1" ht="21.95" customHeight="1" x14ac:dyDescent="0.2">
      <c r="A44" s="13"/>
      <c r="B44" s="3"/>
      <c r="C44" s="4"/>
      <c r="D44" s="4"/>
      <c r="E44" s="4"/>
      <c r="F44" s="4"/>
      <c r="G44" s="4"/>
      <c r="H44" s="4"/>
      <c r="I44" s="4"/>
      <c r="J44" s="4"/>
      <c r="K44" s="4"/>
      <c r="L44" s="4"/>
      <c r="M44" s="4"/>
      <c r="N44" s="4"/>
      <c r="O44" s="4"/>
      <c r="P44" s="3"/>
      <c r="Q44" s="3"/>
    </row>
    <row r="45" spans="1:17" s="5" customFormat="1" ht="30" customHeight="1" x14ac:dyDescent="0.2">
      <c r="A45" s="13"/>
      <c r="B45" s="22" t="s">
        <v>62</v>
      </c>
      <c r="C45" s="36" t="s">
        <v>70</v>
      </c>
      <c r="D45" s="36" t="s">
        <v>71</v>
      </c>
      <c r="E45" s="36" t="s">
        <v>73</v>
      </c>
      <c r="F45" s="36" t="s">
        <v>74</v>
      </c>
      <c r="G45" s="36" t="s">
        <v>72</v>
      </c>
      <c r="H45" s="36" t="s">
        <v>75</v>
      </c>
      <c r="I45" s="36" t="s">
        <v>76</v>
      </c>
      <c r="J45" s="36" t="s">
        <v>77</v>
      </c>
      <c r="K45" s="36" t="s">
        <v>78</v>
      </c>
      <c r="L45" s="36" t="s">
        <v>79</v>
      </c>
      <c r="M45" s="36" t="s">
        <v>80</v>
      </c>
      <c r="N45" s="36" t="s">
        <v>81</v>
      </c>
      <c r="O45" s="36" t="s">
        <v>82</v>
      </c>
      <c r="P45" s="37" t="s">
        <v>86</v>
      </c>
      <c r="Q45" s="3"/>
    </row>
    <row r="46" spans="1:17" s="5" customFormat="1" ht="22.15" customHeight="1" x14ac:dyDescent="0.2">
      <c r="A46" s="13"/>
      <c r="B46" s="14" t="s">
        <v>19</v>
      </c>
      <c r="C46" s="15">
        <v>50</v>
      </c>
      <c r="D46" s="15">
        <v>50</v>
      </c>
      <c r="E46" s="15">
        <v>50</v>
      </c>
      <c r="F46" s="15"/>
      <c r="G46" s="15"/>
      <c r="H46" s="15"/>
      <c r="I46" s="15"/>
      <c r="J46" s="15"/>
      <c r="K46" s="15"/>
      <c r="L46" s="15"/>
      <c r="M46" s="15"/>
      <c r="N46" s="15"/>
      <c r="O46" s="15">
        <f>SUM(tblHealth[[#This Row],[JAN]:[DEC]])</f>
        <v>150</v>
      </c>
      <c r="P46" s="16"/>
      <c r="Q46" s="3"/>
    </row>
    <row r="47" spans="1:17" s="5" customFormat="1" ht="22.15" customHeight="1" x14ac:dyDescent="0.2">
      <c r="A47" s="3"/>
      <c r="B47" s="14" t="s">
        <v>10</v>
      </c>
      <c r="C47" s="15">
        <v>225</v>
      </c>
      <c r="D47" s="15">
        <v>225</v>
      </c>
      <c r="E47" s="15">
        <v>225</v>
      </c>
      <c r="F47" s="15"/>
      <c r="G47" s="15"/>
      <c r="H47" s="15"/>
      <c r="I47" s="15"/>
      <c r="J47" s="15"/>
      <c r="K47" s="15"/>
      <c r="L47" s="15"/>
      <c r="M47" s="15"/>
      <c r="N47" s="15"/>
      <c r="O47" s="15">
        <f>SUM(tblHealth[[#This Row],[JAN]:[DEC]])</f>
        <v>675</v>
      </c>
      <c r="P47" s="16"/>
      <c r="Q47" s="3"/>
    </row>
    <row r="48" spans="1:17" s="5" customFormat="1" ht="22.15" customHeight="1" x14ac:dyDescent="0.2">
      <c r="A48" s="13"/>
      <c r="B48" s="14" t="s">
        <v>20</v>
      </c>
      <c r="C48" s="15">
        <v>100</v>
      </c>
      <c r="D48" s="15">
        <v>100</v>
      </c>
      <c r="E48" s="15">
        <v>100</v>
      </c>
      <c r="F48" s="15"/>
      <c r="G48" s="15"/>
      <c r="H48" s="15"/>
      <c r="I48" s="15"/>
      <c r="J48" s="15"/>
      <c r="K48" s="15"/>
      <c r="L48" s="15"/>
      <c r="M48" s="15"/>
      <c r="N48" s="15"/>
      <c r="O48" s="15">
        <f>SUM(tblHealth[[#This Row],[JAN]:[DEC]])</f>
        <v>300</v>
      </c>
      <c r="P48" s="16"/>
      <c r="Q48" s="3"/>
    </row>
    <row r="49" spans="1:17" s="5" customFormat="1" ht="22.15" customHeight="1" x14ac:dyDescent="0.2">
      <c r="A49" s="13"/>
      <c r="B49" s="14" t="s">
        <v>21</v>
      </c>
      <c r="C49" s="15">
        <v>6</v>
      </c>
      <c r="D49" s="15">
        <v>2</v>
      </c>
      <c r="E49" s="15">
        <v>9</v>
      </c>
      <c r="F49" s="15"/>
      <c r="G49" s="15"/>
      <c r="H49" s="15"/>
      <c r="I49" s="15"/>
      <c r="J49" s="15"/>
      <c r="K49" s="15"/>
      <c r="L49" s="15"/>
      <c r="M49" s="15"/>
      <c r="N49" s="15"/>
      <c r="O49" s="15">
        <f>SUM(tblHealth[[#This Row],[JAN]:[DEC]])</f>
        <v>17</v>
      </c>
      <c r="P49" s="16"/>
      <c r="Q49" s="3"/>
    </row>
    <row r="50" spans="1:17" s="5" customFormat="1" ht="22.15" customHeight="1" x14ac:dyDescent="0.2">
      <c r="A50" s="13"/>
      <c r="B50" s="14" t="s">
        <v>22</v>
      </c>
      <c r="C50" s="15">
        <v>20</v>
      </c>
      <c r="D50" s="15"/>
      <c r="E50" s="15">
        <v>41</v>
      </c>
      <c r="F50" s="15"/>
      <c r="G50" s="15"/>
      <c r="H50" s="15"/>
      <c r="I50" s="15"/>
      <c r="J50" s="15"/>
      <c r="K50" s="15"/>
      <c r="L50" s="15"/>
      <c r="M50" s="15"/>
      <c r="N50" s="15"/>
      <c r="O50" s="15">
        <f>SUM(tblHealth[[#This Row],[JAN]:[DEC]])</f>
        <v>61</v>
      </c>
      <c r="P50" s="16"/>
      <c r="Q50" s="3"/>
    </row>
    <row r="51" spans="1:17" s="5" customFormat="1" ht="22.15" customHeight="1" x14ac:dyDescent="0.2">
      <c r="A51" s="13"/>
      <c r="B51" s="14" t="s">
        <v>23</v>
      </c>
      <c r="C51" s="15">
        <v>4</v>
      </c>
      <c r="D51" s="15"/>
      <c r="E51" s="15">
        <v>25</v>
      </c>
      <c r="F51" s="15"/>
      <c r="G51" s="15"/>
      <c r="H51" s="15"/>
      <c r="I51" s="15"/>
      <c r="J51" s="15"/>
      <c r="K51" s="15"/>
      <c r="L51" s="15"/>
      <c r="M51" s="15"/>
      <c r="N51" s="15"/>
      <c r="O51" s="15">
        <f>SUM(tblHealth[[#This Row],[JAN]:[DEC]])</f>
        <v>29</v>
      </c>
      <c r="P51" s="16"/>
      <c r="Q51" s="3"/>
    </row>
    <row r="52" spans="1:17" ht="22.15" customHeight="1" x14ac:dyDescent="0.2">
      <c r="B52" s="14" t="s">
        <v>24</v>
      </c>
      <c r="C52" s="15">
        <v>55</v>
      </c>
      <c r="D52" s="15">
        <v>55</v>
      </c>
      <c r="E52" s="15">
        <v>55</v>
      </c>
      <c r="F52" s="15"/>
      <c r="G52" s="15"/>
      <c r="H52" s="15"/>
      <c r="I52" s="15"/>
      <c r="J52" s="15"/>
      <c r="K52" s="15"/>
      <c r="L52" s="15"/>
      <c r="M52" s="15"/>
      <c r="N52" s="15"/>
      <c r="O52" s="15">
        <f>SUM(tblHealth[[#This Row],[JAN]:[DEC]])</f>
        <v>165</v>
      </c>
      <c r="P52" s="16"/>
    </row>
    <row r="53" spans="1:17" s="25" customFormat="1" ht="22.15" customHeight="1" x14ac:dyDescent="0.45">
      <c r="A53" s="21"/>
      <c r="B53" s="14" t="s">
        <v>55</v>
      </c>
      <c r="C53" s="15">
        <f>SUBTOTAL(109,tblHealth[JAN])</f>
        <v>460</v>
      </c>
      <c r="D53" s="15">
        <f>SUBTOTAL(109,tblHealth[FEB])</f>
        <v>432</v>
      </c>
      <c r="E53" s="15">
        <f>SUBTOTAL(109,tblHealth[MAR])</f>
        <v>505</v>
      </c>
      <c r="F53" s="15">
        <f>SUBTOTAL(109,tblHealth[APR])</f>
        <v>0</v>
      </c>
      <c r="G53" s="15">
        <f>SUBTOTAL(109,tblHealth[MAY])</f>
        <v>0</v>
      </c>
      <c r="H53" s="15">
        <f>SUBTOTAL(109,tblHealth[JUN])</f>
        <v>0</v>
      </c>
      <c r="I53" s="15">
        <f>SUBTOTAL(109,tblHealth[JUL])</f>
        <v>0</v>
      </c>
      <c r="J53" s="15">
        <f>SUBTOTAL(109,tblHealth[AUG])</f>
        <v>0</v>
      </c>
      <c r="K53" s="15">
        <f>SUBTOTAL(109,tblHealth[SEP])</f>
        <v>0</v>
      </c>
      <c r="L53" s="15">
        <f>SUBTOTAL(109,tblHealth[OCT])</f>
        <v>0</v>
      </c>
      <c r="M53" s="15">
        <f>SUBTOTAL(109,tblHealth[NOV])</f>
        <v>0</v>
      </c>
      <c r="N53" s="15">
        <f>SUBTOTAL(109,tblHealth[DEC])</f>
        <v>0</v>
      </c>
      <c r="O53" s="15">
        <f>SUBTOTAL(109,tblHealth[YEAR])</f>
        <v>1397</v>
      </c>
      <c r="P53" s="17"/>
      <c r="Q53" s="23"/>
    </row>
    <row r="54" spans="1:17" s="5" customFormat="1" ht="21.95" customHeight="1" x14ac:dyDescent="0.2">
      <c r="A54" s="13"/>
      <c r="B54" s="3"/>
      <c r="C54" s="4"/>
      <c r="D54" s="4"/>
      <c r="E54" s="4"/>
      <c r="F54" s="4"/>
      <c r="G54" s="4"/>
      <c r="H54" s="4"/>
      <c r="I54" s="4"/>
      <c r="J54" s="4"/>
      <c r="K54" s="4"/>
      <c r="L54" s="4"/>
      <c r="M54" s="4"/>
      <c r="N54" s="4"/>
      <c r="O54" s="4"/>
      <c r="P54" s="3"/>
      <c r="Q54" s="3"/>
    </row>
    <row r="55" spans="1:17" s="5" customFormat="1" ht="30" customHeight="1" x14ac:dyDescent="0.2">
      <c r="A55" s="13"/>
      <c r="B55" s="22" t="s">
        <v>63</v>
      </c>
      <c r="C55" s="36" t="s">
        <v>70</v>
      </c>
      <c r="D55" s="36" t="s">
        <v>71</v>
      </c>
      <c r="E55" s="36" t="s">
        <v>73</v>
      </c>
      <c r="F55" s="36" t="s">
        <v>74</v>
      </c>
      <c r="G55" s="36" t="s">
        <v>72</v>
      </c>
      <c r="H55" s="36" t="s">
        <v>75</v>
      </c>
      <c r="I55" s="36" t="s">
        <v>76</v>
      </c>
      <c r="J55" s="36" t="s">
        <v>77</v>
      </c>
      <c r="K55" s="36" t="s">
        <v>78</v>
      </c>
      <c r="L55" s="36" t="s">
        <v>79</v>
      </c>
      <c r="M55" s="36" t="s">
        <v>80</v>
      </c>
      <c r="N55" s="36" t="s">
        <v>81</v>
      </c>
      <c r="O55" s="36" t="s">
        <v>82</v>
      </c>
      <c r="P55" s="37" t="s">
        <v>86</v>
      </c>
      <c r="Q55" s="3"/>
    </row>
    <row r="56" spans="1:17" s="5" customFormat="1" ht="22.15" customHeight="1" x14ac:dyDescent="0.2">
      <c r="A56" s="13"/>
      <c r="B56" s="14" t="s">
        <v>25</v>
      </c>
      <c r="C56" s="15"/>
      <c r="D56" s="15">
        <v>485</v>
      </c>
      <c r="E56" s="15"/>
      <c r="F56" s="15"/>
      <c r="G56" s="15"/>
      <c r="H56" s="15"/>
      <c r="I56" s="15"/>
      <c r="J56" s="15"/>
      <c r="K56" s="15"/>
      <c r="L56" s="15"/>
      <c r="M56" s="15"/>
      <c r="N56" s="15"/>
      <c r="O56" s="15">
        <f>SUM(tblVacations[[#This Row],[JAN]:[DEC]])</f>
        <v>485</v>
      </c>
      <c r="P56" s="16"/>
      <c r="Q56" s="3"/>
    </row>
    <row r="57" spans="1:17" s="5" customFormat="1" ht="22.15" customHeight="1" x14ac:dyDescent="0.2">
      <c r="A57" s="13"/>
      <c r="B57" s="14" t="s">
        <v>26</v>
      </c>
      <c r="C57" s="15"/>
      <c r="D57" s="15">
        <v>245</v>
      </c>
      <c r="E57" s="15"/>
      <c r="F57" s="15"/>
      <c r="G57" s="15"/>
      <c r="H57" s="15"/>
      <c r="I57" s="15"/>
      <c r="J57" s="15"/>
      <c r="K57" s="15"/>
      <c r="L57" s="15"/>
      <c r="M57" s="15"/>
      <c r="N57" s="15"/>
      <c r="O57" s="15">
        <f>SUM(tblVacations[[#This Row],[JAN]:[DEC]])</f>
        <v>245</v>
      </c>
      <c r="P57" s="16"/>
      <c r="Q57" s="3"/>
    </row>
    <row r="58" spans="1:17" s="5" customFormat="1" ht="22.15" customHeight="1" x14ac:dyDescent="0.2">
      <c r="A58" s="13"/>
      <c r="B58" s="14" t="s">
        <v>27</v>
      </c>
      <c r="C58" s="15"/>
      <c r="D58" s="15">
        <v>95</v>
      </c>
      <c r="E58" s="15"/>
      <c r="F58" s="15"/>
      <c r="G58" s="15"/>
      <c r="H58" s="15"/>
      <c r="I58" s="15"/>
      <c r="J58" s="15"/>
      <c r="K58" s="15"/>
      <c r="L58" s="15"/>
      <c r="M58" s="15"/>
      <c r="N58" s="15"/>
      <c r="O58" s="15">
        <f>SUM(tblVacations[[#This Row],[JAN]:[DEC]])</f>
        <v>95</v>
      </c>
      <c r="P58" s="16"/>
      <c r="Q58" s="3"/>
    </row>
    <row r="59" spans="1:17" s="5" customFormat="1" ht="22.15" customHeight="1" x14ac:dyDescent="0.2">
      <c r="A59" s="13"/>
      <c r="B59" s="14" t="s">
        <v>28</v>
      </c>
      <c r="C59" s="15"/>
      <c r="D59" s="15"/>
      <c r="E59" s="15"/>
      <c r="F59" s="15"/>
      <c r="G59" s="15"/>
      <c r="H59" s="15"/>
      <c r="I59" s="15"/>
      <c r="J59" s="15"/>
      <c r="K59" s="15"/>
      <c r="L59" s="15"/>
      <c r="M59" s="15"/>
      <c r="N59" s="15"/>
      <c r="O59" s="15">
        <f>SUM(tblVacations[[#This Row],[JAN]:[DEC]])</f>
        <v>0</v>
      </c>
      <c r="P59" s="16"/>
      <c r="Q59" s="3"/>
    </row>
    <row r="60" spans="1:17" s="5" customFormat="1" ht="22.15" customHeight="1" x14ac:dyDescent="0.2">
      <c r="A60" s="13"/>
      <c r="B60" s="14" t="s">
        <v>29</v>
      </c>
      <c r="C60" s="15"/>
      <c r="D60" s="15"/>
      <c r="E60" s="15"/>
      <c r="F60" s="15"/>
      <c r="G60" s="15"/>
      <c r="H60" s="15"/>
      <c r="I60" s="15"/>
      <c r="J60" s="15"/>
      <c r="K60" s="15"/>
      <c r="L60" s="15"/>
      <c r="M60" s="15"/>
      <c r="N60" s="15"/>
      <c r="O60" s="15">
        <f>SUM(tblVacations[[#This Row],[JAN]:[DEC]])</f>
        <v>0</v>
      </c>
      <c r="P60" s="16"/>
      <c r="Q60" s="3"/>
    </row>
    <row r="61" spans="1:17" ht="22.15" customHeight="1" x14ac:dyDescent="0.2">
      <c r="B61" s="14" t="s">
        <v>30</v>
      </c>
      <c r="C61" s="15"/>
      <c r="D61" s="15">
        <v>85</v>
      </c>
      <c r="E61" s="15"/>
      <c r="F61" s="15"/>
      <c r="G61" s="15"/>
      <c r="H61" s="15"/>
      <c r="I61" s="15"/>
      <c r="J61" s="15"/>
      <c r="K61" s="15"/>
      <c r="L61" s="15"/>
      <c r="M61" s="15"/>
      <c r="N61" s="15"/>
      <c r="O61" s="15">
        <f>SUM(tblVacations[[#This Row],[JAN]:[DEC]])</f>
        <v>85</v>
      </c>
      <c r="P61" s="16"/>
    </row>
    <row r="62" spans="1:17" s="25" customFormat="1" ht="22.15" customHeight="1" x14ac:dyDescent="0.45">
      <c r="A62" s="21"/>
      <c r="B62" s="14" t="s">
        <v>55</v>
      </c>
      <c r="C62" s="15">
        <f>SUBTOTAL(109,tblVacations[JAN])</f>
        <v>0</v>
      </c>
      <c r="D62" s="15">
        <f>SUBTOTAL(109,tblVacations[FEB])</f>
        <v>910</v>
      </c>
      <c r="E62" s="15">
        <f>SUBTOTAL(109,tblVacations[MAR])</f>
        <v>0</v>
      </c>
      <c r="F62" s="15">
        <f>SUBTOTAL(109,tblVacations[APR])</f>
        <v>0</v>
      </c>
      <c r="G62" s="15">
        <f>SUBTOTAL(109,tblVacations[MAY])</f>
        <v>0</v>
      </c>
      <c r="H62" s="15">
        <f>SUBTOTAL(109,tblVacations[JUN])</f>
        <v>0</v>
      </c>
      <c r="I62" s="15">
        <f>SUBTOTAL(109,tblVacations[JUL])</f>
        <v>0</v>
      </c>
      <c r="J62" s="15">
        <f>SUBTOTAL(109,tblVacations[AUG])</f>
        <v>0</v>
      </c>
      <c r="K62" s="15">
        <f>SUBTOTAL(109,tblVacations[SEP])</f>
        <v>0</v>
      </c>
      <c r="L62" s="15">
        <f>SUBTOTAL(109,tblVacations[OCT])</f>
        <v>0</v>
      </c>
      <c r="M62" s="15">
        <f>SUBTOTAL(109,tblVacations[NOV])</f>
        <v>0</v>
      </c>
      <c r="N62" s="15">
        <f>SUBTOTAL(109,tblVacations[DEC])</f>
        <v>0</v>
      </c>
      <c r="O62" s="15">
        <f>SUBTOTAL(109,tblVacations[YEAR])</f>
        <v>910</v>
      </c>
      <c r="P62" s="17"/>
      <c r="Q62" s="23"/>
    </row>
    <row r="63" spans="1:17" s="5" customFormat="1" ht="21.95" customHeight="1" x14ac:dyDescent="0.2">
      <c r="A63" s="13"/>
      <c r="B63" s="3"/>
      <c r="C63" s="4"/>
      <c r="D63" s="4"/>
      <c r="E63" s="4"/>
      <c r="F63" s="4"/>
      <c r="G63" s="4"/>
      <c r="H63" s="4"/>
      <c r="I63" s="4"/>
      <c r="J63" s="4"/>
      <c r="K63" s="4"/>
      <c r="L63" s="4"/>
      <c r="M63" s="4"/>
      <c r="N63" s="4"/>
      <c r="O63" s="4"/>
      <c r="P63" s="3"/>
      <c r="Q63" s="3"/>
    </row>
    <row r="64" spans="1:17" s="5" customFormat="1" ht="30" customHeight="1" x14ac:dyDescent="0.2">
      <c r="A64" s="13"/>
      <c r="B64" s="22" t="s">
        <v>64</v>
      </c>
      <c r="C64" s="36" t="s">
        <v>70</v>
      </c>
      <c r="D64" s="36" t="s">
        <v>71</v>
      </c>
      <c r="E64" s="36" t="s">
        <v>73</v>
      </c>
      <c r="F64" s="36" t="s">
        <v>74</v>
      </c>
      <c r="G64" s="36" t="s">
        <v>72</v>
      </c>
      <c r="H64" s="36" t="s">
        <v>75</v>
      </c>
      <c r="I64" s="36" t="s">
        <v>76</v>
      </c>
      <c r="J64" s="36" t="s">
        <v>77</v>
      </c>
      <c r="K64" s="36" t="s">
        <v>78</v>
      </c>
      <c r="L64" s="36" t="s">
        <v>79</v>
      </c>
      <c r="M64" s="36" t="s">
        <v>80</v>
      </c>
      <c r="N64" s="36" t="s">
        <v>81</v>
      </c>
      <c r="O64" s="36" t="s">
        <v>82</v>
      </c>
      <c r="P64" s="37" t="s">
        <v>86</v>
      </c>
      <c r="Q64" s="3"/>
    </row>
    <row r="65" spans="1:17" s="5" customFormat="1" ht="22.15" customHeight="1" x14ac:dyDescent="0.2">
      <c r="A65" s="13"/>
      <c r="B65" s="14" t="s">
        <v>31</v>
      </c>
      <c r="C65" s="15"/>
      <c r="D65" s="15"/>
      <c r="E65" s="15"/>
      <c r="F65" s="15"/>
      <c r="G65" s="15"/>
      <c r="H65" s="15"/>
      <c r="I65" s="15"/>
      <c r="J65" s="15"/>
      <c r="K65" s="15"/>
      <c r="L65" s="15"/>
      <c r="M65" s="15"/>
      <c r="N65" s="15"/>
      <c r="O65" s="15">
        <f>SUM(tblRecreation[[#This Row],[JAN]:[DEC]])</f>
        <v>0</v>
      </c>
      <c r="P65" s="16"/>
      <c r="Q65" s="3"/>
    </row>
    <row r="66" spans="1:17" s="5" customFormat="1" ht="22.15" customHeight="1" x14ac:dyDescent="0.2">
      <c r="A66" s="13"/>
      <c r="B66" s="14" t="s">
        <v>32</v>
      </c>
      <c r="C66" s="15"/>
      <c r="D66" s="15"/>
      <c r="E66" s="15"/>
      <c r="F66" s="15"/>
      <c r="G66" s="15"/>
      <c r="H66" s="15"/>
      <c r="I66" s="15"/>
      <c r="J66" s="15"/>
      <c r="K66" s="15"/>
      <c r="L66" s="15"/>
      <c r="M66" s="15"/>
      <c r="N66" s="15"/>
      <c r="O66" s="15">
        <f>SUM(tblRecreation[[#This Row],[JAN]:[DEC]])</f>
        <v>0</v>
      </c>
      <c r="P66" s="16"/>
      <c r="Q66" s="3"/>
    </row>
    <row r="67" spans="1:17" s="5" customFormat="1" ht="22.15" customHeight="1" x14ac:dyDescent="0.2">
      <c r="A67" s="13"/>
      <c r="B67" s="14" t="s">
        <v>33</v>
      </c>
      <c r="C67" s="15"/>
      <c r="D67" s="15"/>
      <c r="E67" s="15"/>
      <c r="F67" s="15"/>
      <c r="G67" s="15"/>
      <c r="H67" s="15"/>
      <c r="I67" s="15"/>
      <c r="J67" s="15"/>
      <c r="K67" s="15"/>
      <c r="L67" s="15"/>
      <c r="M67" s="15"/>
      <c r="N67" s="15"/>
      <c r="O67" s="15">
        <f>SUM(tblRecreation[[#This Row],[JAN]:[DEC]])</f>
        <v>0</v>
      </c>
      <c r="P67" s="16"/>
      <c r="Q67" s="3"/>
    </row>
    <row r="68" spans="1:17" ht="22.15" customHeight="1" x14ac:dyDescent="0.2">
      <c r="B68" s="14" t="s">
        <v>34</v>
      </c>
      <c r="C68" s="15">
        <v>39</v>
      </c>
      <c r="D68" s="15">
        <v>33</v>
      </c>
      <c r="E68" s="15">
        <v>40</v>
      </c>
      <c r="F68" s="15"/>
      <c r="G68" s="15"/>
      <c r="H68" s="15"/>
      <c r="I68" s="15"/>
      <c r="J68" s="15"/>
      <c r="K68" s="15"/>
      <c r="L68" s="15"/>
      <c r="M68" s="15"/>
      <c r="N68" s="15"/>
      <c r="O68" s="15">
        <f>SUM(tblRecreation[[#This Row],[JAN]:[DEC]])</f>
        <v>112</v>
      </c>
      <c r="P68" s="16"/>
    </row>
    <row r="69" spans="1:17" s="25" customFormat="1" ht="22.15" customHeight="1" x14ac:dyDescent="0.45">
      <c r="A69" s="21"/>
      <c r="B69" s="14" t="s">
        <v>55</v>
      </c>
      <c r="C69" s="15">
        <f>SUBTOTAL(109,tblRecreation[JAN])</f>
        <v>39</v>
      </c>
      <c r="D69" s="15">
        <f>SUBTOTAL(109,tblRecreation[FEB])</f>
        <v>33</v>
      </c>
      <c r="E69" s="15">
        <f>SUBTOTAL(109,tblRecreation[MAR])</f>
        <v>40</v>
      </c>
      <c r="F69" s="15">
        <f>SUBTOTAL(109,tblRecreation[APR])</f>
        <v>0</v>
      </c>
      <c r="G69" s="15">
        <f>SUBTOTAL(109,tblRecreation[MAY])</f>
        <v>0</v>
      </c>
      <c r="H69" s="15">
        <f>SUBTOTAL(109,tblRecreation[JUN])</f>
        <v>0</v>
      </c>
      <c r="I69" s="15">
        <f>SUBTOTAL(109,tblRecreation[JUL])</f>
        <v>0</v>
      </c>
      <c r="J69" s="15">
        <f>SUBTOTAL(109,tblRecreation[AUG])</f>
        <v>0</v>
      </c>
      <c r="K69" s="15">
        <f>SUBTOTAL(109,tblRecreation[SEP])</f>
        <v>0</v>
      </c>
      <c r="L69" s="15">
        <f>SUBTOTAL(109,tblRecreation[OCT])</f>
        <v>0</v>
      </c>
      <c r="M69" s="15">
        <f>SUBTOTAL(109,tblRecreation[NOV])</f>
        <v>0</v>
      </c>
      <c r="N69" s="15">
        <f>SUBTOTAL(109,tblRecreation[DEC])</f>
        <v>0</v>
      </c>
      <c r="O69" s="15">
        <f>SUBTOTAL(109,tblRecreation[YEAR])</f>
        <v>112</v>
      </c>
      <c r="P69" s="17"/>
      <c r="Q69" s="23"/>
    </row>
    <row r="70" spans="1:17" s="5" customFormat="1" ht="21.95" customHeight="1" x14ac:dyDescent="0.2">
      <c r="A70" s="13"/>
      <c r="B70" s="3"/>
      <c r="C70" s="4"/>
      <c r="D70" s="4"/>
      <c r="E70" s="4"/>
      <c r="F70" s="4"/>
      <c r="G70" s="4"/>
      <c r="H70" s="4"/>
      <c r="I70" s="4"/>
      <c r="J70" s="4"/>
      <c r="K70" s="4"/>
      <c r="L70" s="4"/>
      <c r="M70" s="4"/>
      <c r="N70" s="4"/>
      <c r="O70" s="4"/>
      <c r="P70" s="3"/>
      <c r="Q70" s="3"/>
    </row>
    <row r="71" spans="1:17" s="5" customFormat="1" ht="30" customHeight="1" x14ac:dyDescent="0.2">
      <c r="A71" s="13"/>
      <c r="B71" s="22" t="s">
        <v>65</v>
      </c>
      <c r="C71" s="36" t="s">
        <v>70</v>
      </c>
      <c r="D71" s="36" t="s">
        <v>71</v>
      </c>
      <c r="E71" s="36" t="s">
        <v>73</v>
      </c>
      <c r="F71" s="36" t="s">
        <v>74</v>
      </c>
      <c r="G71" s="36" t="s">
        <v>72</v>
      </c>
      <c r="H71" s="36" t="s">
        <v>75</v>
      </c>
      <c r="I71" s="36" t="s">
        <v>76</v>
      </c>
      <c r="J71" s="36" t="s">
        <v>77</v>
      </c>
      <c r="K71" s="36" t="s">
        <v>78</v>
      </c>
      <c r="L71" s="36" t="s">
        <v>79</v>
      </c>
      <c r="M71" s="36" t="s">
        <v>80</v>
      </c>
      <c r="N71" s="36" t="s">
        <v>81</v>
      </c>
      <c r="O71" s="36" t="s">
        <v>82</v>
      </c>
      <c r="P71" s="37" t="s">
        <v>86</v>
      </c>
      <c r="Q71" s="3"/>
    </row>
    <row r="72" spans="1:17" s="5" customFormat="1" ht="22.15" customHeight="1" x14ac:dyDescent="0.2">
      <c r="A72" s="13"/>
      <c r="B72" s="14" t="s">
        <v>35</v>
      </c>
      <c r="C72" s="15"/>
      <c r="D72" s="15"/>
      <c r="E72" s="15"/>
      <c r="F72" s="15"/>
      <c r="G72" s="15"/>
      <c r="H72" s="15"/>
      <c r="I72" s="15"/>
      <c r="J72" s="15"/>
      <c r="K72" s="15"/>
      <c r="L72" s="15"/>
      <c r="M72" s="15"/>
      <c r="N72" s="15"/>
      <c r="O72" s="15">
        <f>SUM(tblDues[[#This Row],[JAN]:[DEC]])</f>
        <v>0</v>
      </c>
      <c r="P72" s="16"/>
      <c r="Q72" s="3"/>
    </row>
    <row r="73" spans="1:17" s="5" customFormat="1" ht="22.15" customHeight="1" x14ac:dyDescent="0.2">
      <c r="A73" s="13"/>
      <c r="B73" s="14" t="s">
        <v>36</v>
      </c>
      <c r="C73" s="15"/>
      <c r="D73" s="15"/>
      <c r="E73" s="15"/>
      <c r="F73" s="15"/>
      <c r="G73" s="15"/>
      <c r="H73" s="15"/>
      <c r="I73" s="15"/>
      <c r="J73" s="15"/>
      <c r="K73" s="15"/>
      <c r="L73" s="15"/>
      <c r="M73" s="15"/>
      <c r="N73" s="15"/>
      <c r="O73" s="15">
        <f>SUM(tblDues[[#This Row],[JAN]:[DEC]])</f>
        <v>0</v>
      </c>
      <c r="P73" s="16"/>
      <c r="Q73" s="3"/>
    </row>
    <row r="74" spans="1:17" s="5" customFormat="1" ht="22.15" customHeight="1" x14ac:dyDescent="0.2">
      <c r="A74" s="13"/>
      <c r="B74" s="14" t="s">
        <v>37</v>
      </c>
      <c r="C74" s="15"/>
      <c r="D74" s="15"/>
      <c r="E74" s="15"/>
      <c r="F74" s="15"/>
      <c r="G74" s="15"/>
      <c r="H74" s="15"/>
      <c r="I74" s="15"/>
      <c r="J74" s="15"/>
      <c r="K74" s="15"/>
      <c r="L74" s="15"/>
      <c r="M74" s="15"/>
      <c r="N74" s="15"/>
      <c r="O74" s="15">
        <f>SUM(tblDues[[#This Row],[JAN]:[DEC]])</f>
        <v>0</v>
      </c>
      <c r="P74" s="16"/>
      <c r="Q74" s="3"/>
    </row>
    <row r="75" spans="1:17" s="5" customFormat="1" ht="22.15" customHeight="1" x14ac:dyDescent="0.2">
      <c r="A75" s="13"/>
      <c r="B75" s="14" t="s">
        <v>38</v>
      </c>
      <c r="C75" s="15"/>
      <c r="D75" s="15"/>
      <c r="E75" s="15"/>
      <c r="F75" s="15"/>
      <c r="G75" s="15"/>
      <c r="H75" s="15"/>
      <c r="I75" s="15"/>
      <c r="J75" s="15"/>
      <c r="K75" s="15"/>
      <c r="L75" s="15"/>
      <c r="M75" s="15"/>
      <c r="N75" s="15"/>
      <c r="O75" s="15">
        <f>SUM(tblDues[[#This Row],[JAN]:[DEC]])</f>
        <v>0</v>
      </c>
      <c r="P75" s="16"/>
      <c r="Q75" s="3"/>
    </row>
    <row r="76" spans="1:17" s="5" customFormat="1" ht="22.15" customHeight="1" x14ac:dyDescent="0.2">
      <c r="A76" s="13"/>
      <c r="B76" s="14" t="s">
        <v>39</v>
      </c>
      <c r="C76" s="15"/>
      <c r="D76" s="15"/>
      <c r="E76" s="15"/>
      <c r="F76" s="15"/>
      <c r="G76" s="15"/>
      <c r="H76" s="15"/>
      <c r="I76" s="15"/>
      <c r="J76" s="15"/>
      <c r="K76" s="15"/>
      <c r="L76" s="15"/>
      <c r="M76" s="15"/>
      <c r="N76" s="15"/>
      <c r="O76" s="15">
        <f>SUM(tblDues[[#This Row],[JAN]:[DEC]])</f>
        <v>0</v>
      </c>
      <c r="P76" s="16"/>
      <c r="Q76" s="3"/>
    </row>
    <row r="77" spans="1:17" s="5" customFormat="1" ht="22.15" customHeight="1" x14ac:dyDescent="0.2">
      <c r="A77" s="13"/>
      <c r="B77" s="14" t="s">
        <v>40</v>
      </c>
      <c r="C77" s="15">
        <v>29</v>
      </c>
      <c r="D77" s="15">
        <v>18</v>
      </c>
      <c r="E77" s="15">
        <v>17</v>
      </c>
      <c r="F77" s="15"/>
      <c r="G77" s="15"/>
      <c r="H77" s="15"/>
      <c r="I77" s="15"/>
      <c r="J77" s="15"/>
      <c r="K77" s="15"/>
      <c r="L77" s="15"/>
      <c r="M77" s="15"/>
      <c r="N77" s="15"/>
      <c r="O77" s="15">
        <f>SUM(tblDues[[#This Row],[JAN]:[DEC]])</f>
        <v>64</v>
      </c>
      <c r="P77" s="16"/>
      <c r="Q77" s="3"/>
    </row>
    <row r="78" spans="1:17" ht="22.15" customHeight="1" x14ac:dyDescent="0.2">
      <c r="B78" s="14" t="s">
        <v>41</v>
      </c>
      <c r="C78" s="15"/>
      <c r="D78" s="15"/>
      <c r="E78" s="15"/>
      <c r="F78" s="15"/>
      <c r="G78" s="15"/>
      <c r="H78" s="15"/>
      <c r="I78" s="15"/>
      <c r="J78" s="15"/>
      <c r="K78" s="15"/>
      <c r="L78" s="15"/>
      <c r="M78" s="15"/>
      <c r="N78" s="15"/>
      <c r="O78" s="15">
        <f>SUM(tblDues[[#This Row],[JAN]:[DEC]])</f>
        <v>0</v>
      </c>
      <c r="P78" s="16"/>
    </row>
    <row r="79" spans="1:17" s="25" customFormat="1" ht="22.15" customHeight="1" x14ac:dyDescent="0.45">
      <c r="A79" s="21"/>
      <c r="B79" s="14" t="s">
        <v>55</v>
      </c>
      <c r="C79" s="15">
        <f>SUBTOTAL(109,tblDues[JAN])</f>
        <v>29</v>
      </c>
      <c r="D79" s="15">
        <f>SUBTOTAL(109,tblDues[FEB])</f>
        <v>18</v>
      </c>
      <c r="E79" s="15">
        <f>SUBTOTAL(109,tblDues[MAR])</f>
        <v>17</v>
      </c>
      <c r="F79" s="15">
        <f>SUBTOTAL(109,tblDues[APR])</f>
        <v>0</v>
      </c>
      <c r="G79" s="15">
        <f>SUBTOTAL(109,tblDues[MAY])</f>
        <v>0</v>
      </c>
      <c r="H79" s="15">
        <f>SUBTOTAL(109,tblDues[JUN])</f>
        <v>0</v>
      </c>
      <c r="I79" s="15">
        <f>SUBTOTAL(109,tblDues[JUL])</f>
        <v>0</v>
      </c>
      <c r="J79" s="15">
        <f>SUBTOTAL(109,tblDues[AUG])</f>
        <v>0</v>
      </c>
      <c r="K79" s="15">
        <f>SUBTOTAL(109,tblDues[SEP])</f>
        <v>0</v>
      </c>
      <c r="L79" s="15">
        <f>SUBTOTAL(109,tblDues[OCT])</f>
        <v>0</v>
      </c>
      <c r="M79" s="15">
        <f>SUBTOTAL(109,tblDues[NOV])</f>
        <v>0</v>
      </c>
      <c r="N79" s="15">
        <f>SUBTOTAL(109,tblDues[DEC])</f>
        <v>0</v>
      </c>
      <c r="O79" s="15">
        <f>SUBTOTAL(109,tblDues[YEAR])</f>
        <v>64</v>
      </c>
      <c r="P79" s="17"/>
      <c r="Q79" s="23"/>
    </row>
    <row r="80" spans="1:17" s="5" customFormat="1" ht="21.95" customHeight="1" x14ac:dyDescent="0.2">
      <c r="A80" s="13"/>
      <c r="B80" s="3"/>
      <c r="C80" s="4"/>
      <c r="D80" s="4"/>
      <c r="E80" s="4"/>
      <c r="F80" s="4"/>
      <c r="G80" s="4"/>
      <c r="H80" s="4"/>
      <c r="I80" s="4"/>
      <c r="J80" s="4"/>
      <c r="K80" s="4"/>
      <c r="L80" s="4"/>
      <c r="M80" s="4"/>
      <c r="N80" s="4"/>
      <c r="O80" s="4"/>
      <c r="P80" s="3"/>
      <c r="Q80" s="3"/>
    </row>
    <row r="81" spans="1:17" s="5" customFormat="1" ht="30" customHeight="1" x14ac:dyDescent="0.2">
      <c r="A81" s="13"/>
      <c r="B81" s="22" t="s">
        <v>66</v>
      </c>
      <c r="C81" s="36" t="s">
        <v>70</v>
      </c>
      <c r="D81" s="36" t="s">
        <v>71</v>
      </c>
      <c r="E81" s="36" t="s">
        <v>73</v>
      </c>
      <c r="F81" s="36" t="s">
        <v>74</v>
      </c>
      <c r="G81" s="36" t="s">
        <v>72</v>
      </c>
      <c r="H81" s="36" t="s">
        <v>75</v>
      </c>
      <c r="I81" s="36" t="s">
        <v>76</v>
      </c>
      <c r="J81" s="36" t="s">
        <v>77</v>
      </c>
      <c r="K81" s="36" t="s">
        <v>78</v>
      </c>
      <c r="L81" s="36" t="s">
        <v>79</v>
      </c>
      <c r="M81" s="36" t="s">
        <v>80</v>
      </c>
      <c r="N81" s="36" t="s">
        <v>81</v>
      </c>
      <c r="O81" s="36" t="s">
        <v>82</v>
      </c>
      <c r="P81" s="37" t="s">
        <v>86</v>
      </c>
      <c r="Q81" s="3"/>
    </row>
    <row r="82" spans="1:17" s="5" customFormat="1" ht="22.15" customHeight="1" x14ac:dyDescent="0.2">
      <c r="A82" s="13"/>
      <c r="B82" s="14" t="s">
        <v>42</v>
      </c>
      <c r="C82" s="15"/>
      <c r="D82" s="15"/>
      <c r="E82" s="15">
        <v>29</v>
      </c>
      <c r="F82" s="15"/>
      <c r="G82" s="15"/>
      <c r="H82" s="15"/>
      <c r="I82" s="15"/>
      <c r="J82" s="15"/>
      <c r="K82" s="15"/>
      <c r="L82" s="15"/>
      <c r="M82" s="15"/>
      <c r="N82" s="15"/>
      <c r="O82" s="15">
        <f>SUM(tblPersonal[[#This Row],[JAN]:[DEC]])</f>
        <v>29</v>
      </c>
      <c r="P82" s="16"/>
      <c r="Q82" s="3"/>
    </row>
    <row r="83" spans="1:17" s="5" customFormat="1" ht="22.15" customHeight="1" x14ac:dyDescent="0.2">
      <c r="A83" s="13"/>
      <c r="B83" s="14" t="s">
        <v>43</v>
      </c>
      <c r="C83" s="15"/>
      <c r="D83" s="15">
        <v>35</v>
      </c>
      <c r="E83" s="15"/>
      <c r="F83" s="15"/>
      <c r="G83" s="15"/>
      <c r="H83" s="15"/>
      <c r="I83" s="15"/>
      <c r="J83" s="15"/>
      <c r="K83" s="15"/>
      <c r="L83" s="15"/>
      <c r="M83" s="15"/>
      <c r="N83" s="15"/>
      <c r="O83" s="15">
        <f>SUM(tblPersonal[[#This Row],[JAN]:[DEC]])</f>
        <v>35</v>
      </c>
      <c r="P83" s="16"/>
      <c r="Q83" s="3"/>
    </row>
    <row r="84" spans="1:17" s="5" customFormat="1" ht="22.15" customHeight="1" x14ac:dyDescent="0.2">
      <c r="A84" s="13"/>
      <c r="B84" s="14" t="s">
        <v>44</v>
      </c>
      <c r="C84" s="15">
        <v>25</v>
      </c>
      <c r="D84" s="15">
        <v>25</v>
      </c>
      <c r="E84" s="15">
        <v>25</v>
      </c>
      <c r="F84" s="15"/>
      <c r="G84" s="15"/>
      <c r="H84" s="15"/>
      <c r="I84" s="15"/>
      <c r="J84" s="15"/>
      <c r="K84" s="15"/>
      <c r="L84" s="15"/>
      <c r="M84" s="15"/>
      <c r="N84" s="15"/>
      <c r="O84" s="15">
        <f>SUM(tblPersonal[[#This Row],[JAN]:[DEC]])</f>
        <v>75</v>
      </c>
      <c r="P84" s="16"/>
      <c r="Q84" s="3"/>
    </row>
    <row r="85" spans="1:17" s="5" customFormat="1" ht="22.15" customHeight="1" x14ac:dyDescent="0.2">
      <c r="A85" s="13"/>
      <c r="B85" s="14" t="s">
        <v>45</v>
      </c>
      <c r="C85" s="15"/>
      <c r="D85" s="15"/>
      <c r="E85" s="15"/>
      <c r="F85" s="15"/>
      <c r="G85" s="15"/>
      <c r="H85" s="15"/>
      <c r="I85" s="15"/>
      <c r="J85" s="15"/>
      <c r="K85" s="15"/>
      <c r="L85" s="15"/>
      <c r="M85" s="15"/>
      <c r="N85" s="15"/>
      <c r="O85" s="15">
        <f>SUM(tblPersonal[[#This Row],[JAN]:[DEC]])</f>
        <v>0</v>
      </c>
      <c r="P85" s="16"/>
      <c r="Q85" s="3"/>
    </row>
    <row r="86" spans="1:17" ht="22.15" customHeight="1" x14ac:dyDescent="0.2">
      <c r="B86" s="14" t="s">
        <v>46</v>
      </c>
      <c r="C86" s="15"/>
      <c r="D86" s="15"/>
      <c r="E86" s="15"/>
      <c r="F86" s="15"/>
      <c r="G86" s="15"/>
      <c r="H86" s="15"/>
      <c r="I86" s="15"/>
      <c r="J86" s="15"/>
      <c r="K86" s="15"/>
      <c r="L86" s="15"/>
      <c r="M86" s="15"/>
      <c r="N86" s="15"/>
      <c r="O86" s="15">
        <f>SUM(tblPersonal[[#This Row],[JAN]:[DEC]])</f>
        <v>0</v>
      </c>
      <c r="P86" s="16"/>
    </row>
    <row r="87" spans="1:17" s="25" customFormat="1" ht="22.15" customHeight="1" x14ac:dyDescent="0.45">
      <c r="A87" s="21"/>
      <c r="B87" s="14" t="s">
        <v>55</v>
      </c>
      <c r="C87" s="15">
        <f>SUBTOTAL(109,tblPersonal[JAN])</f>
        <v>25</v>
      </c>
      <c r="D87" s="15">
        <f>SUBTOTAL(109,tblPersonal[FEB])</f>
        <v>60</v>
      </c>
      <c r="E87" s="15">
        <f>SUBTOTAL(109,tblPersonal[MAR])</f>
        <v>54</v>
      </c>
      <c r="F87" s="15">
        <f>SUBTOTAL(109,tblPersonal[APR])</f>
        <v>0</v>
      </c>
      <c r="G87" s="15">
        <f>SUBTOTAL(109,tblPersonal[MAY])</f>
        <v>0</v>
      </c>
      <c r="H87" s="15">
        <f>SUBTOTAL(109,tblPersonal[JUN])</f>
        <v>0</v>
      </c>
      <c r="I87" s="15">
        <f>SUBTOTAL(109,tblPersonal[JUL])</f>
        <v>0</v>
      </c>
      <c r="J87" s="15">
        <f>SUBTOTAL(109,tblPersonal[AUG])</f>
        <v>0</v>
      </c>
      <c r="K87" s="15">
        <f>SUBTOTAL(109,tblPersonal[SEP])</f>
        <v>0</v>
      </c>
      <c r="L87" s="15">
        <f>SUBTOTAL(109,tblPersonal[OCT])</f>
        <v>0</v>
      </c>
      <c r="M87" s="15">
        <f>SUBTOTAL(109,tblPersonal[NOV])</f>
        <v>0</v>
      </c>
      <c r="N87" s="15">
        <f>SUBTOTAL(109,tblPersonal[DEC])</f>
        <v>0</v>
      </c>
      <c r="O87" s="15">
        <f>SUBTOTAL(109,tblPersonal[YEAR])</f>
        <v>139</v>
      </c>
      <c r="P87" s="17"/>
      <c r="Q87" s="23"/>
    </row>
    <row r="88" spans="1:17" s="5" customFormat="1" ht="21.95" customHeight="1" x14ac:dyDescent="0.2">
      <c r="A88" s="13"/>
      <c r="B88" s="3"/>
      <c r="C88" s="4"/>
      <c r="D88" s="4"/>
      <c r="E88" s="4"/>
      <c r="F88" s="4"/>
      <c r="G88" s="4"/>
      <c r="H88" s="4"/>
      <c r="I88" s="4"/>
      <c r="J88" s="4"/>
      <c r="K88" s="4"/>
      <c r="L88" s="4"/>
      <c r="M88" s="4"/>
      <c r="N88" s="4"/>
      <c r="O88" s="4"/>
      <c r="P88" s="3"/>
      <c r="Q88" s="3"/>
    </row>
    <row r="89" spans="1:17" s="5" customFormat="1" ht="30" customHeight="1" x14ac:dyDescent="0.2">
      <c r="A89" s="13"/>
      <c r="B89" s="22" t="s">
        <v>67</v>
      </c>
      <c r="C89" s="36" t="s">
        <v>70</v>
      </c>
      <c r="D89" s="36" t="s">
        <v>71</v>
      </c>
      <c r="E89" s="36" t="s">
        <v>73</v>
      </c>
      <c r="F89" s="36" t="s">
        <v>74</v>
      </c>
      <c r="G89" s="36" t="s">
        <v>72</v>
      </c>
      <c r="H89" s="36" t="s">
        <v>75</v>
      </c>
      <c r="I89" s="36" t="s">
        <v>76</v>
      </c>
      <c r="J89" s="36" t="s">
        <v>77</v>
      </c>
      <c r="K89" s="36" t="s">
        <v>78</v>
      </c>
      <c r="L89" s="36" t="s">
        <v>79</v>
      </c>
      <c r="M89" s="36" t="s">
        <v>80</v>
      </c>
      <c r="N89" s="36" t="s">
        <v>81</v>
      </c>
      <c r="O89" s="36" t="s">
        <v>82</v>
      </c>
      <c r="P89" s="37" t="s">
        <v>86</v>
      </c>
      <c r="Q89" s="3"/>
    </row>
    <row r="90" spans="1:17" s="5" customFormat="1" ht="22.15" customHeight="1" x14ac:dyDescent="0.2">
      <c r="A90" s="13"/>
      <c r="B90" s="14" t="s">
        <v>47</v>
      </c>
      <c r="C90" s="15">
        <v>25</v>
      </c>
      <c r="D90" s="15">
        <v>25</v>
      </c>
      <c r="E90" s="15">
        <v>25</v>
      </c>
      <c r="F90" s="15"/>
      <c r="G90" s="15"/>
      <c r="H90" s="15"/>
      <c r="I90" s="15"/>
      <c r="J90" s="15"/>
      <c r="K90" s="15"/>
      <c r="L90" s="15"/>
      <c r="M90" s="15"/>
      <c r="N90" s="15"/>
      <c r="O90" s="15">
        <f>SUM(tblFinancial[[#This Row],[JAN]:[DEC]])</f>
        <v>75</v>
      </c>
      <c r="P90" s="16"/>
      <c r="Q90" s="3"/>
    </row>
    <row r="91" spans="1:17" s="5" customFormat="1" ht="22.15" customHeight="1" x14ac:dyDescent="0.2">
      <c r="A91" s="13"/>
      <c r="B91" s="14" t="s">
        <v>48</v>
      </c>
      <c r="C91" s="15">
        <v>45</v>
      </c>
      <c r="D91" s="15">
        <v>45</v>
      </c>
      <c r="E91" s="15">
        <v>45</v>
      </c>
      <c r="F91" s="15"/>
      <c r="G91" s="15"/>
      <c r="H91" s="15"/>
      <c r="I91" s="15"/>
      <c r="J91" s="15"/>
      <c r="K91" s="15"/>
      <c r="L91" s="15"/>
      <c r="M91" s="15"/>
      <c r="N91" s="15"/>
      <c r="O91" s="15">
        <f>SUM(tblFinancial[[#This Row],[JAN]:[DEC]])</f>
        <v>135</v>
      </c>
      <c r="P91" s="16"/>
      <c r="Q91" s="3"/>
    </row>
    <row r="92" spans="1:17" s="5" customFormat="1" ht="22.15" customHeight="1" x14ac:dyDescent="0.2">
      <c r="A92" s="13"/>
      <c r="B92" s="14" t="s">
        <v>49</v>
      </c>
      <c r="C92" s="15">
        <v>75</v>
      </c>
      <c r="D92" s="15">
        <v>75</v>
      </c>
      <c r="E92" s="15">
        <v>75</v>
      </c>
      <c r="F92" s="15"/>
      <c r="G92" s="15"/>
      <c r="H92" s="15"/>
      <c r="I92" s="15"/>
      <c r="J92" s="15"/>
      <c r="K92" s="15"/>
      <c r="L92" s="15"/>
      <c r="M92" s="15"/>
      <c r="N92" s="15"/>
      <c r="O92" s="15">
        <f>SUM(tblFinancial[[#This Row],[JAN]:[DEC]])</f>
        <v>225</v>
      </c>
      <c r="P92" s="16"/>
      <c r="Q92" s="3"/>
    </row>
    <row r="93" spans="1:17" s="5" customFormat="1" ht="22.15" customHeight="1" x14ac:dyDescent="0.2">
      <c r="A93" s="13"/>
      <c r="B93" s="14" t="s">
        <v>50</v>
      </c>
      <c r="C93" s="15"/>
      <c r="D93" s="15"/>
      <c r="E93" s="15"/>
      <c r="F93" s="15"/>
      <c r="G93" s="15"/>
      <c r="H93" s="15"/>
      <c r="I93" s="15"/>
      <c r="J93" s="15"/>
      <c r="K93" s="15"/>
      <c r="L93" s="15"/>
      <c r="M93" s="15"/>
      <c r="N93" s="15"/>
      <c r="O93" s="15">
        <f>SUM(tblFinancial[[#This Row],[JAN]:[DEC]])</f>
        <v>0</v>
      </c>
      <c r="P93" s="16"/>
      <c r="Q93" s="3"/>
    </row>
    <row r="94" spans="1:17" ht="22.15" customHeight="1" x14ac:dyDescent="0.2">
      <c r="B94" s="14" t="s">
        <v>51</v>
      </c>
      <c r="C94" s="15">
        <v>32</v>
      </c>
      <c r="D94" s="15">
        <v>34</v>
      </c>
      <c r="E94" s="15">
        <v>1</v>
      </c>
      <c r="F94" s="15"/>
      <c r="G94" s="15"/>
      <c r="H94" s="15"/>
      <c r="I94" s="15"/>
      <c r="J94" s="15"/>
      <c r="K94" s="15"/>
      <c r="L94" s="15"/>
      <c r="M94" s="15"/>
      <c r="N94" s="15"/>
      <c r="O94" s="15">
        <f>SUM(tblFinancial[[#This Row],[JAN]:[DEC]])</f>
        <v>67</v>
      </c>
      <c r="P94" s="16"/>
    </row>
    <row r="95" spans="1:17" s="25" customFormat="1" ht="22.15" customHeight="1" x14ac:dyDescent="0.45">
      <c r="A95" s="21"/>
      <c r="B95" s="14" t="s">
        <v>55</v>
      </c>
      <c r="C95" s="15">
        <f>SUBTOTAL(109,tblFinancial[JAN])</f>
        <v>177</v>
      </c>
      <c r="D95" s="15">
        <f>SUBTOTAL(109,tblFinancial[FEB])</f>
        <v>179</v>
      </c>
      <c r="E95" s="15">
        <f>SUBTOTAL(109,tblFinancial[MAR])</f>
        <v>146</v>
      </c>
      <c r="F95" s="15">
        <f>SUBTOTAL(109,tblFinancial[APR])</f>
        <v>0</v>
      </c>
      <c r="G95" s="15">
        <f>SUBTOTAL(109,tblFinancial[MAY])</f>
        <v>0</v>
      </c>
      <c r="H95" s="15">
        <f>SUBTOTAL(109,tblFinancial[JUN])</f>
        <v>0</v>
      </c>
      <c r="I95" s="15">
        <f>SUBTOTAL(109,tblFinancial[JUL])</f>
        <v>0</v>
      </c>
      <c r="J95" s="15">
        <f>SUBTOTAL(109,tblFinancial[AUG])</f>
        <v>0</v>
      </c>
      <c r="K95" s="15">
        <f>SUBTOTAL(109,tblFinancial[SEP])</f>
        <v>0</v>
      </c>
      <c r="L95" s="15">
        <f>SUBTOTAL(109,tblFinancial[OCT])</f>
        <v>0</v>
      </c>
      <c r="M95" s="15">
        <f>SUBTOTAL(109,tblFinancial[NOV])</f>
        <v>0</v>
      </c>
      <c r="N95" s="15">
        <f>SUBTOTAL(109,tblFinancial[DEC])</f>
        <v>0</v>
      </c>
      <c r="O95" s="15">
        <f>SUBTOTAL(109,tblFinancial[YEAR])</f>
        <v>502</v>
      </c>
      <c r="P95" s="17"/>
      <c r="Q95" s="23"/>
    </row>
    <row r="96" spans="1:17" s="5" customFormat="1" ht="21.95" customHeight="1" x14ac:dyDescent="0.2">
      <c r="A96" s="13"/>
      <c r="B96" s="3"/>
      <c r="C96" s="4"/>
      <c r="D96" s="4"/>
      <c r="E96" s="4"/>
      <c r="F96" s="4"/>
      <c r="G96" s="4"/>
      <c r="H96" s="4"/>
      <c r="I96" s="4"/>
      <c r="J96" s="4"/>
      <c r="K96" s="4"/>
      <c r="L96" s="4"/>
      <c r="M96" s="4"/>
      <c r="N96" s="4"/>
      <c r="O96" s="4"/>
      <c r="P96" s="3"/>
      <c r="Q96" s="3"/>
    </row>
    <row r="97" spans="1:17" s="5" customFormat="1" ht="30" customHeight="1" x14ac:dyDescent="0.2">
      <c r="A97" s="13"/>
      <c r="B97" s="22" t="s">
        <v>68</v>
      </c>
      <c r="C97" s="36" t="s">
        <v>70</v>
      </c>
      <c r="D97" s="36" t="s">
        <v>71</v>
      </c>
      <c r="E97" s="36" t="s">
        <v>73</v>
      </c>
      <c r="F97" s="36" t="s">
        <v>74</v>
      </c>
      <c r="G97" s="36" t="s">
        <v>72</v>
      </c>
      <c r="H97" s="36" t="s">
        <v>75</v>
      </c>
      <c r="I97" s="36" t="s">
        <v>76</v>
      </c>
      <c r="J97" s="36" t="s">
        <v>77</v>
      </c>
      <c r="K97" s="36" t="s">
        <v>78</v>
      </c>
      <c r="L97" s="36" t="s">
        <v>79</v>
      </c>
      <c r="M97" s="36" t="s">
        <v>80</v>
      </c>
      <c r="N97" s="36" t="s">
        <v>81</v>
      </c>
      <c r="O97" s="36" t="s">
        <v>82</v>
      </c>
      <c r="P97" s="37" t="s">
        <v>86</v>
      </c>
      <c r="Q97" s="3"/>
    </row>
    <row r="98" spans="1:17" s="5" customFormat="1" ht="22.15" customHeight="1" x14ac:dyDescent="0.2">
      <c r="A98" s="13"/>
      <c r="B98" s="18" t="s">
        <v>52</v>
      </c>
      <c r="C98" s="15"/>
      <c r="D98" s="15"/>
      <c r="E98" s="15"/>
      <c r="F98" s="15"/>
      <c r="G98" s="15"/>
      <c r="H98" s="15"/>
      <c r="I98" s="15"/>
      <c r="J98" s="15"/>
      <c r="K98" s="15"/>
      <c r="L98" s="15"/>
      <c r="M98" s="15"/>
      <c r="N98" s="15"/>
      <c r="O98" s="15">
        <f>SUM(tblMisc[[#This Row],[JAN]:[DEC]])</f>
        <v>0</v>
      </c>
      <c r="P98" s="16"/>
      <c r="Q98" s="3"/>
    </row>
    <row r="99" spans="1:17" s="5" customFormat="1" ht="22.15" customHeight="1" x14ac:dyDescent="0.2">
      <c r="A99" s="13"/>
      <c r="B99" s="18" t="s">
        <v>52</v>
      </c>
      <c r="C99" s="15"/>
      <c r="D99" s="15"/>
      <c r="E99" s="15"/>
      <c r="F99" s="15"/>
      <c r="G99" s="15"/>
      <c r="H99" s="15"/>
      <c r="I99" s="15"/>
      <c r="J99" s="15"/>
      <c r="K99" s="15"/>
      <c r="L99" s="15"/>
      <c r="M99" s="15"/>
      <c r="N99" s="15"/>
      <c r="O99" s="15">
        <f>SUM(tblMisc[[#This Row],[JAN]:[DEC]])</f>
        <v>0</v>
      </c>
      <c r="P99" s="16"/>
      <c r="Q99" s="3"/>
    </row>
    <row r="100" spans="1:17" s="5" customFormat="1" ht="22.15" customHeight="1" x14ac:dyDescent="0.2">
      <c r="A100" s="13"/>
      <c r="B100" s="18" t="s">
        <v>52</v>
      </c>
      <c r="C100" s="15"/>
      <c r="D100" s="15"/>
      <c r="E100" s="15"/>
      <c r="F100" s="15"/>
      <c r="G100" s="15"/>
      <c r="H100" s="15"/>
      <c r="I100" s="15"/>
      <c r="J100" s="15"/>
      <c r="K100" s="15"/>
      <c r="L100" s="15"/>
      <c r="M100" s="15"/>
      <c r="N100" s="15"/>
      <c r="O100" s="15">
        <f>SUM(tblMisc[[#This Row],[JAN]:[DEC]])</f>
        <v>0</v>
      </c>
      <c r="P100" s="16"/>
      <c r="Q100" s="3"/>
    </row>
    <row r="101" spans="1:17" s="5" customFormat="1" ht="22.15" customHeight="1" x14ac:dyDescent="0.2">
      <c r="A101" s="13"/>
      <c r="B101" s="18" t="s">
        <v>52</v>
      </c>
      <c r="C101" s="15"/>
      <c r="D101" s="15"/>
      <c r="E101" s="15"/>
      <c r="F101" s="15"/>
      <c r="G101" s="15"/>
      <c r="H101" s="15"/>
      <c r="I101" s="15"/>
      <c r="J101" s="15"/>
      <c r="K101" s="15"/>
      <c r="L101" s="15"/>
      <c r="M101" s="15"/>
      <c r="N101" s="15"/>
      <c r="O101" s="15">
        <f>SUM(tblMisc[[#This Row],[JAN]:[DEC]])</f>
        <v>0</v>
      </c>
      <c r="P101" s="16"/>
      <c r="Q101" s="3"/>
    </row>
    <row r="102" spans="1:17" ht="22.15" customHeight="1" x14ac:dyDescent="0.2">
      <c r="B102" s="18" t="s">
        <v>52</v>
      </c>
      <c r="C102" s="15"/>
      <c r="D102" s="15"/>
      <c r="E102" s="15"/>
      <c r="F102" s="15"/>
      <c r="G102" s="15"/>
      <c r="H102" s="15"/>
      <c r="I102" s="15"/>
      <c r="J102" s="15"/>
      <c r="K102" s="15"/>
      <c r="L102" s="15"/>
      <c r="M102" s="15"/>
      <c r="N102" s="15"/>
      <c r="O102" s="15">
        <f>SUM(tblMisc[[#This Row],[JAN]:[DEC]])</f>
        <v>0</v>
      </c>
      <c r="P102" s="16"/>
    </row>
    <row r="103" spans="1:17" s="26" customFormat="1" ht="22.15" customHeight="1" x14ac:dyDescent="0.45">
      <c r="A103" s="19"/>
      <c r="B103" s="14" t="s">
        <v>55</v>
      </c>
      <c r="C103" s="15">
        <f>SUBTOTAL(109,tblMisc[JAN])</f>
        <v>0</v>
      </c>
      <c r="D103" s="15">
        <f>SUBTOTAL(109,tblMisc[FEB])</f>
        <v>0</v>
      </c>
      <c r="E103" s="15">
        <f>SUBTOTAL(109,tblMisc[MAR])</f>
        <v>0</v>
      </c>
      <c r="F103" s="15">
        <f>SUBTOTAL(109,tblMisc[APR])</f>
        <v>0</v>
      </c>
      <c r="G103" s="15">
        <f>SUBTOTAL(109,tblMisc[MAY])</f>
        <v>0</v>
      </c>
      <c r="H103" s="15">
        <f>SUBTOTAL(109,tblMisc[JUN])</f>
        <v>0</v>
      </c>
      <c r="I103" s="15">
        <f>SUBTOTAL(109,tblMisc[JUL])</f>
        <v>0</v>
      </c>
      <c r="J103" s="15">
        <f>SUBTOTAL(109,tblMisc[AUG])</f>
        <v>0</v>
      </c>
      <c r="K103" s="15">
        <f>SUBTOTAL(109,tblMisc[SEP])</f>
        <v>0</v>
      </c>
      <c r="L103" s="15">
        <f>SUBTOTAL(109,tblMisc[OCT])</f>
        <v>0</v>
      </c>
      <c r="M103" s="15">
        <f>SUBTOTAL(109,tblMisc[NOV])</f>
        <v>0</v>
      </c>
      <c r="N103" s="15">
        <f>SUBTOTAL(109,tblMisc[DEC])</f>
        <v>0</v>
      </c>
      <c r="O103" s="15">
        <f>SUBTOTAL(109,tblMisc[YEAR])</f>
        <v>0</v>
      </c>
      <c r="P103" s="17"/>
      <c r="Q103" s="20"/>
    </row>
    <row r="104" spans="1:17" ht="21.95" customHeight="1" x14ac:dyDescent="0.2">
      <c r="B104" s="3"/>
      <c r="C104" s="4"/>
      <c r="D104" s="4"/>
      <c r="E104" s="4"/>
      <c r="F104" s="4"/>
      <c r="G104" s="4"/>
      <c r="H104" s="4"/>
      <c r="I104" s="4"/>
      <c r="J104" s="4"/>
      <c r="K104" s="4"/>
      <c r="L104" s="4"/>
      <c r="M104" s="4"/>
      <c r="N104" s="4"/>
      <c r="O104" s="4"/>
      <c r="P104" s="3"/>
    </row>
    <row r="105" spans="1:17" ht="30" customHeight="1" x14ac:dyDescent="0.2">
      <c r="B105" s="27" t="s">
        <v>69</v>
      </c>
      <c r="C105" s="28" t="s">
        <v>70</v>
      </c>
      <c r="D105" s="29" t="s">
        <v>71</v>
      </c>
      <c r="E105" s="28" t="s">
        <v>73</v>
      </c>
      <c r="F105" s="29" t="s">
        <v>74</v>
      </c>
      <c r="G105" s="28" t="s">
        <v>72</v>
      </c>
      <c r="H105" s="29" t="s">
        <v>75</v>
      </c>
      <c r="I105" s="28" t="s">
        <v>76</v>
      </c>
      <c r="J105" s="29" t="s">
        <v>77</v>
      </c>
      <c r="K105" s="28" t="s">
        <v>78</v>
      </c>
      <c r="L105" s="29" t="s">
        <v>79</v>
      </c>
      <c r="M105" s="28" t="s">
        <v>80</v>
      </c>
      <c r="N105" s="29" t="s">
        <v>81</v>
      </c>
      <c r="O105" s="28" t="s">
        <v>82</v>
      </c>
      <c r="P105" s="27" t="s">
        <v>86</v>
      </c>
    </row>
    <row r="106" spans="1:17" ht="21.95" customHeight="1" x14ac:dyDescent="0.2">
      <c r="B106" s="6" t="s">
        <v>53</v>
      </c>
      <c r="C106" s="7">
        <f>SUM(tblMisc[[#Totals],[JAN]],tblFinancial[[#Totals],[JAN]],tblPersonal[[#Totals],[JAN]],tblDues[[#Totals],[JAN]],tblRecreation[[#Totals],[JAN]],tblVacations[[#Totals],[JAN]],tblHealth[[#Totals],[JAN]],tblEntertainment[[#Totals],[JAN]],tblTransportation[[#Totals],[JAN]],tblDaily[[#Totals],[JAN]],tblHome[[#Totals],[JAN]])</f>
        <v>2687</v>
      </c>
      <c r="D106" s="8">
        <f>SUM(tblMisc[[#Totals],[FEB]],tblFinancial[[#Totals],[FEB]],tblPersonal[[#Totals],[FEB]],tblDues[[#Totals],[FEB]],tblRecreation[[#Totals],[FEB]],tblVacations[[#Totals],[FEB]],tblHealth[[#Totals],[FEB]],tblEntertainment[[#Totals],[FEB]],tblTransportation[[#Totals],[FEB]],tblDaily[[#Totals],[FEB]],tblHome[[#Totals],[FEB]])</f>
        <v>3429</v>
      </c>
      <c r="E106" s="7">
        <f>SUM(tblMisc[[#Totals],[MAR]],tblFinancial[[#Totals],[MAR]],tblPersonal[[#Totals],[MAR]],tblDues[[#Totals],[MAR]],tblRecreation[[#Totals],[MAR]],tblVacations[[#Totals],[MAR]],tblHealth[[#Totals],[MAR]],tblEntertainment[[#Totals],[MAR]],tblTransportation[[#Totals],[MAR]],tblDaily[[#Totals],[MAR]],tblHome[[#Totals],[MAR]])</f>
        <v>2718</v>
      </c>
      <c r="F106" s="8">
        <f>SUM(tblMisc[[#Totals],[APR]],tblFinancial[[#Totals],[APR]],tblPersonal[[#Totals],[APR]],tblDues[[#Totals],[APR]],tblRecreation[[#Totals],[APR]],tblVacations[[#Totals],[APR]],tblHealth[[#Totals],[APR]],tblEntertainment[[#Totals],[APR]],tblTransportation[[#Totals],[APR]],tblDaily[[#Totals],[APR]],tblHome[[#Totals],[APR]])</f>
        <v>0</v>
      </c>
      <c r="G106" s="7">
        <f>SUM(tblMisc[[#Totals],[MAY]],tblFinancial[[#Totals],[MAY]],tblPersonal[[#Totals],[MAY]],tblDues[[#Totals],[MAY]],tblRecreation[[#Totals],[MAY]],tblVacations[[#Totals],[MAY]],tblHealth[[#Totals],[MAY]],tblEntertainment[[#Totals],[MAY]],tblTransportation[[#Totals],[MAY]],tblDaily[[#Totals],[MAY]],tblHome[[#Totals],[MAY]])</f>
        <v>0</v>
      </c>
      <c r="H106" s="8">
        <f>SUM(tblMisc[[#Totals],[JUN]],tblFinancial[[#Totals],[JUN]],tblPersonal[[#Totals],[JUN]],tblDues[[#Totals],[JUN]],tblRecreation[[#Totals],[JUN]],tblVacations[[#Totals],[JUN]],tblHealth[[#Totals],[JUN]],tblEntertainment[[#Totals],[JUN]],tblTransportation[[#Totals],[JUN]],tblDaily[[#Totals],[JUN]],tblHome[[#Totals],[JUN]])</f>
        <v>0</v>
      </c>
      <c r="I106" s="7">
        <f>SUM(tblMisc[[#Totals],[JUL]],tblFinancial[[#Totals],[JUL]],tblPersonal[[#Totals],[JUL]],tblDues[[#Totals],[JUL]],tblRecreation[[#Totals],[JUL]],tblVacations[[#Totals],[JUL]],tblHealth[[#Totals],[JUL]],tblEntertainment[[#Totals],[JUL]],tblTransportation[[#Totals],[JUL]],tblDaily[[#Totals],[JUL]],tblHome[[#Totals],[JUL]])</f>
        <v>0</v>
      </c>
      <c r="J106" s="8">
        <f>SUM(tblMisc[[#Totals],[AUG]],tblFinancial[[#Totals],[AUG]],tblPersonal[[#Totals],[AUG]],tblDues[[#Totals],[AUG]],tblRecreation[[#Totals],[AUG]],tblVacations[[#Totals],[AUG]],tblHealth[[#Totals],[AUG]],tblEntertainment[[#Totals],[AUG]],tblTransportation[[#Totals],[AUG]],tblDaily[[#Totals],[AUG]],tblHome[[#Totals],[AUG]])</f>
        <v>0</v>
      </c>
      <c r="K106" s="7">
        <f>SUM(tblMisc[[#Totals],[SEP]],tblFinancial[[#Totals],[SEP]],tblPersonal[[#Totals],[SEP]],tblDues[[#Totals],[SEP]],tblRecreation[[#Totals],[SEP]],tblVacations[[#Totals],[SEP]],tblHealth[[#Totals],[SEP]],tblEntertainment[[#Totals],[SEP]],tblTransportation[[#Totals],[SEP]],tblDaily[[#Totals],[SEP]],tblHome[[#Totals],[SEP]])</f>
        <v>0</v>
      </c>
      <c r="L106" s="8">
        <f>SUM(tblMisc[[#Totals],[OCT]],tblFinancial[[#Totals],[OCT]],tblPersonal[[#Totals],[OCT]],tblDues[[#Totals],[OCT]],tblRecreation[[#Totals],[OCT]],tblVacations[[#Totals],[OCT]],tblHealth[[#Totals],[OCT]],tblEntertainment[[#Totals],[OCT]],tblTransportation[[#Totals],[OCT]],tblDaily[[#Totals],[OCT]],tblHome[[#Totals],[OCT]])</f>
        <v>0</v>
      </c>
      <c r="M106" s="7">
        <f>SUM(tblMisc[[#Totals],[NOV]],tblFinancial[[#Totals],[NOV]],tblPersonal[[#Totals],[NOV]],tblDues[[#Totals],[NOV]],tblRecreation[[#Totals],[NOV]],tblVacations[[#Totals],[NOV]],tblHealth[[#Totals],[NOV]],tblEntertainment[[#Totals],[NOV]],tblTransportation[[#Totals],[NOV]],tblDaily[[#Totals],[NOV]],tblHome[[#Totals],[NOV]])</f>
        <v>0</v>
      </c>
      <c r="N106" s="8">
        <f>SUM(tblMisc[[#Totals],[DEC]],tblFinancial[[#Totals],[DEC]],tblPersonal[[#Totals],[DEC]],tblDues[[#Totals],[DEC]],tblRecreation[[#Totals],[DEC]],tblVacations[[#Totals],[DEC]],tblHealth[[#Totals],[DEC]],tblEntertainment[[#Totals],[DEC]],tblTransportation[[#Totals],[DEC]],tblDaily[[#Totals],[DEC]],tblHome[[#Totals],[DEC]])</f>
        <v>0</v>
      </c>
      <c r="O106" s="7">
        <f>SUM(tblMisc[[#Totals],[YEAR]],tblFinancial[[#Totals],[YEAR]],tblPersonal[[#Totals],[YEAR]],tblDues[[#Totals],[YEAR]],tblRecreation[[#Totals],[YEAR]],tblVacations[[#Totals],[YEAR]],tblHealth[[#Totals],[YEAR]],tblEntertainment[[#Totals],[YEAR]],tblTransportation[[#Totals],[YEAR]],tblDaily[[#Totals],[YEAR]],tblHome[[#Totals],[YEAR]])</f>
        <v>8834</v>
      </c>
      <c r="P106" s="9"/>
    </row>
    <row r="107" spans="1:17" ht="21.95" customHeight="1" x14ac:dyDescent="0.2">
      <c r="B107" s="6" t="s">
        <v>54</v>
      </c>
      <c r="C107" s="7">
        <f>tblIncome[[#Totals],[JAN]]-C106</f>
        <v>1036</v>
      </c>
      <c r="D107" s="8">
        <f>tblIncome[[#Totals],[FEB]]-D106</f>
        <v>127</v>
      </c>
      <c r="E107" s="7">
        <f>tblIncome[[#Totals],[MAR]]-E106</f>
        <v>926</v>
      </c>
      <c r="F107" s="8">
        <f>tblIncome[[#Totals],[APR]]-F106</f>
        <v>0</v>
      </c>
      <c r="G107" s="7">
        <f>tblIncome[[#Totals],[MAY]]-G106</f>
        <v>0</v>
      </c>
      <c r="H107" s="8">
        <f>tblIncome[[#Totals],[JUN]]-H106</f>
        <v>0</v>
      </c>
      <c r="I107" s="7">
        <f>tblIncome[[#Totals],[JUL]]-I106</f>
        <v>0</v>
      </c>
      <c r="J107" s="8">
        <f>tblIncome[[#Totals],[AUG]]-J106</f>
        <v>0</v>
      </c>
      <c r="K107" s="7">
        <f>tblIncome[[#Totals],[SEP]]-K106</f>
        <v>0</v>
      </c>
      <c r="L107" s="8">
        <f>tblIncome[[#Totals],[OCT]]-L106</f>
        <v>0</v>
      </c>
      <c r="M107" s="7">
        <f>tblIncome[[#Totals],[NOV]]-M106</f>
        <v>0</v>
      </c>
      <c r="N107" s="8">
        <f>tblIncome[[#Totals],[DEC]]-N106</f>
        <v>0</v>
      </c>
      <c r="O107" s="7">
        <f>tblIncome[[#Totals],[YEAR]]-O106</f>
        <v>2089</v>
      </c>
      <c r="P107" s="9"/>
    </row>
    <row r="109" spans="1:17" ht="21.95" customHeight="1" x14ac:dyDescent="0.2">
      <c r="A109" s="11"/>
    </row>
    <row r="110" spans="1:17" ht="21.95" customHeight="1" x14ac:dyDescent="0.2">
      <c r="A110" s="11"/>
    </row>
  </sheetData>
  <mergeCells count="1">
    <mergeCell ref="B2:P2"/>
  </mergeCells>
  <conditionalFormatting sqref="C107:O107">
    <cfRule type="cellIs" dxfId="0" priority="1" operator="lessThan">
      <formula>0</formula>
    </cfRule>
  </conditionalFormatting>
  <dataValidations count="1">
    <dataValidation allowBlank="1" showInputMessage="1" showErrorMessage="1" prompt="Manage your personal budget using this spreadsheet. Enter your income and expenses details in the tables below. Totals for each table are auto calculated. Summary for income vs total expenses starts at row 105._x000a_" sqref="A1" xr:uid="{F32C70B7-BEBC-4556-9D21-8DD3A3533DF2}"/>
  </dataValidations>
  <printOptions horizontalCentered="1"/>
  <pageMargins left="0.25" right="0.25" top="0.75" bottom="0.75" header="0.3" footer="0.3"/>
  <pageSetup fitToHeight="0" orientation="landscape" r:id="rId1"/>
  <headerFooter differentFirst="1"/>
  <ignoredErrors>
    <ignoredError sqref="C106:O106" calculatedColumn="1"/>
  </ignoredErrors>
  <tableParts count="13">
    <tablePart r:id="rId2"/>
    <tablePart r:id="rId3"/>
    <tablePart r:id="rId4"/>
    <tablePart r:id="rId5"/>
    <tablePart r:id="rId6"/>
    <tablePart r:id="rId7"/>
    <tablePart r:id="rId8"/>
    <tablePart r:id="rId9"/>
    <tablePart r:id="rId10"/>
    <tablePart r:id="rId11"/>
    <tablePart r:id="rId12"/>
    <tablePart r:id="rId13"/>
    <tablePart r:id="rId14"/>
  </tableParts>
  <extLst>
    <ext xmlns:x14="http://schemas.microsoft.com/office/spreadsheetml/2009/9/main" uri="{05C60535-1F16-4fd2-B633-F4F36F0B64E0}">
      <x14:sparklineGroups xmlns:xm="http://schemas.microsoft.com/office/excel/2006/main">
        <x14:sparklineGroup displayEmptyCellsAs="gap" high="1" low="1" xr2:uid="{00000000-0003-0000-0000-000000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'PERSONAL BUDGET'!C13:N13</xm:f>
              <xm:sqref>P13</xm:sqref>
            </x14:sparkline>
            <x14:sparkline>
              <xm:f>'PERSONAL BUDGET'!C14:N14</xm:f>
              <xm:sqref>P14</xm:sqref>
            </x14:sparkline>
            <x14:sparkline>
              <xm:f>'PERSONAL BUDGET'!C15:N15</xm:f>
              <xm:sqref>P15</xm:sqref>
            </x14:sparkline>
            <x14:sparkline>
              <xm:f>'PERSONAL BUDGET'!C16:N16</xm:f>
              <xm:sqref>P16</xm:sqref>
            </x14:sparkline>
            <x14:sparkline>
              <xm:f>'PERSONAL BUDGET'!C17:N17</xm:f>
              <xm:sqref>P17</xm:sqref>
            </x14:sparkline>
            <x14:sparkline>
              <xm:f>'PERSONAL BUDGET'!C18:N18</xm:f>
              <xm:sqref>P18</xm:sqref>
            </x14:sparkline>
          </x14:sparklines>
        </x14:sparklineGroup>
        <x14:sparklineGroup displayEmptyCellsAs="gap" high="1" low="1" xr2:uid="{00000000-0003-0000-0000-000002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'PERSONAL BUDGET'!C21:N21</xm:f>
              <xm:sqref>P21</xm:sqref>
            </x14:sparkline>
            <x14:sparkline>
              <xm:f>'PERSONAL BUDGET'!C22:N22</xm:f>
              <xm:sqref>P22</xm:sqref>
            </x14:sparkline>
            <x14:sparkline>
              <xm:f>'PERSONAL BUDGET'!C23:N23</xm:f>
              <xm:sqref>P23</xm:sqref>
            </x14:sparkline>
            <x14:sparkline>
              <xm:f>'PERSONAL BUDGET'!C24:N24</xm:f>
              <xm:sqref>P24</xm:sqref>
            </x14:sparkline>
            <x14:sparkline>
              <xm:f>'PERSONAL BUDGET'!C25:N25</xm:f>
              <xm:sqref>P25</xm:sqref>
            </x14:sparkline>
            <x14:sparkline>
              <xm:f>'PERSONAL BUDGET'!C26:N26</xm:f>
              <xm:sqref>P26</xm:sqref>
            </x14:sparkline>
            <x14:sparkline>
              <xm:f>'PERSONAL BUDGET'!C27:N27</xm:f>
              <xm:sqref>P27</xm:sqref>
            </x14:sparkline>
          </x14:sparklines>
        </x14:sparklineGroup>
        <x14:sparklineGroup displayEmptyCellsAs="gap" high="1" low="1" xr2:uid="{00000000-0003-0000-0000-000003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'PERSONAL BUDGET'!C30:N30</xm:f>
              <xm:sqref>P30</xm:sqref>
            </x14:sparkline>
            <x14:sparkline>
              <xm:f>'PERSONAL BUDGET'!C31:N31</xm:f>
              <xm:sqref>P31</xm:sqref>
            </x14:sparkline>
            <x14:sparkline>
              <xm:f>'PERSONAL BUDGET'!C32:N32</xm:f>
              <xm:sqref>P32</xm:sqref>
            </x14:sparkline>
            <x14:sparkline>
              <xm:f>'PERSONAL BUDGET'!C33:N33</xm:f>
              <xm:sqref>P33</xm:sqref>
            </x14:sparkline>
            <x14:sparkline>
              <xm:f>'PERSONAL BUDGET'!C34:N34</xm:f>
              <xm:sqref>P34</xm:sqref>
            </x14:sparkline>
            <x14:sparkline>
              <xm:f>'PERSONAL BUDGET'!C35:N35</xm:f>
              <xm:sqref>P35</xm:sqref>
            </x14:sparkline>
            <x14:sparkline>
              <xm:f>'PERSONAL BUDGET'!C36:N36</xm:f>
              <xm:sqref>P36</xm:sqref>
            </x14:sparkline>
          </x14:sparklines>
        </x14:sparklineGroup>
        <x14:sparklineGroup displayEmptyCellsAs="gap" high="1" low="1" xr2:uid="{00000000-0003-0000-0000-000004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'PERSONAL BUDGET'!C39:N39</xm:f>
              <xm:sqref>P39</xm:sqref>
            </x14:sparkline>
            <x14:sparkline>
              <xm:f>'PERSONAL BUDGET'!C40:N40</xm:f>
              <xm:sqref>P40</xm:sqref>
            </x14:sparkline>
            <x14:sparkline>
              <xm:f>'PERSONAL BUDGET'!C41:N41</xm:f>
              <xm:sqref>P41</xm:sqref>
            </x14:sparkline>
            <x14:sparkline>
              <xm:f>'PERSONAL BUDGET'!C42:N42</xm:f>
              <xm:sqref>P42</xm:sqref>
            </x14:sparkline>
            <x14:sparkline>
              <xm:f>'PERSONAL BUDGET'!C43:N43</xm:f>
              <xm:sqref>P43</xm:sqref>
            </x14:sparkline>
          </x14:sparklines>
        </x14:sparklineGroup>
        <x14:sparklineGroup displayEmptyCellsAs="gap" high="1" low="1" xr2:uid="{00000000-0003-0000-0000-000005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'PERSONAL BUDGET'!C46:N46</xm:f>
              <xm:sqref>P46</xm:sqref>
            </x14:sparkline>
            <x14:sparkline>
              <xm:f>'PERSONAL BUDGET'!C47:N47</xm:f>
              <xm:sqref>P47</xm:sqref>
            </x14:sparkline>
            <x14:sparkline>
              <xm:f>'PERSONAL BUDGET'!C48:N48</xm:f>
              <xm:sqref>P48</xm:sqref>
            </x14:sparkline>
            <x14:sparkline>
              <xm:f>'PERSONAL BUDGET'!C49:N49</xm:f>
              <xm:sqref>P49</xm:sqref>
            </x14:sparkline>
            <x14:sparkline>
              <xm:f>'PERSONAL BUDGET'!C50:N50</xm:f>
              <xm:sqref>P50</xm:sqref>
            </x14:sparkline>
            <x14:sparkline>
              <xm:f>'PERSONAL BUDGET'!C51:N51</xm:f>
              <xm:sqref>P51</xm:sqref>
            </x14:sparkline>
            <x14:sparkline>
              <xm:f>'PERSONAL BUDGET'!C52:N52</xm:f>
              <xm:sqref>P52</xm:sqref>
            </x14:sparkline>
            <x14:sparkline>
              <xm:f>'PERSONAL BUDGET'!C53:N53</xm:f>
              <xm:sqref>P53</xm:sqref>
            </x14:sparkline>
          </x14:sparklines>
        </x14:sparklineGroup>
        <x14:sparklineGroup displayEmptyCellsAs="gap" high="1" low="1" xr2:uid="{00000000-0003-0000-0000-000006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'PERSONAL BUDGET'!C56:N56</xm:f>
              <xm:sqref>P56</xm:sqref>
            </x14:sparkline>
            <x14:sparkline>
              <xm:f>'PERSONAL BUDGET'!C57:N57</xm:f>
              <xm:sqref>P57</xm:sqref>
            </x14:sparkline>
            <x14:sparkline>
              <xm:f>'PERSONAL BUDGET'!C58:N58</xm:f>
              <xm:sqref>P58</xm:sqref>
            </x14:sparkline>
            <x14:sparkline>
              <xm:f>'PERSONAL BUDGET'!C59:N59</xm:f>
              <xm:sqref>P59</xm:sqref>
            </x14:sparkline>
            <x14:sparkline>
              <xm:f>'PERSONAL BUDGET'!C60:N60</xm:f>
              <xm:sqref>P60</xm:sqref>
            </x14:sparkline>
            <x14:sparkline>
              <xm:f>'PERSONAL BUDGET'!C61:N61</xm:f>
              <xm:sqref>P61</xm:sqref>
            </x14:sparkline>
            <x14:sparkline>
              <xm:f>'PERSONAL BUDGET'!C62:N62</xm:f>
              <xm:sqref>P62</xm:sqref>
            </x14:sparkline>
          </x14:sparklines>
        </x14:sparklineGroup>
        <x14:sparklineGroup displayEmptyCellsAs="gap" high="1" low="1" xr2:uid="{00000000-0003-0000-0000-000007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'PERSONAL BUDGET'!C65:N65</xm:f>
              <xm:sqref>P65</xm:sqref>
            </x14:sparkline>
            <x14:sparkline>
              <xm:f>'PERSONAL BUDGET'!C66:N66</xm:f>
              <xm:sqref>P66</xm:sqref>
            </x14:sparkline>
            <x14:sparkline>
              <xm:f>'PERSONAL BUDGET'!C67:N67</xm:f>
              <xm:sqref>P67</xm:sqref>
            </x14:sparkline>
            <x14:sparkline>
              <xm:f>'PERSONAL BUDGET'!C68:N68</xm:f>
              <xm:sqref>P68</xm:sqref>
            </x14:sparkline>
            <x14:sparkline>
              <xm:f>'PERSONAL BUDGET'!C69:N69</xm:f>
              <xm:sqref>P69</xm:sqref>
            </x14:sparkline>
          </x14:sparklines>
        </x14:sparklineGroup>
        <x14:sparklineGroup displayEmptyCellsAs="gap" high="1" low="1" xr2:uid="{00000000-0003-0000-0000-000008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'PERSONAL BUDGET'!C72:N72</xm:f>
              <xm:sqref>P72</xm:sqref>
            </x14:sparkline>
            <x14:sparkline>
              <xm:f>'PERSONAL BUDGET'!C73:N73</xm:f>
              <xm:sqref>P73</xm:sqref>
            </x14:sparkline>
            <x14:sparkline>
              <xm:f>'PERSONAL BUDGET'!C74:N74</xm:f>
              <xm:sqref>P74</xm:sqref>
            </x14:sparkline>
            <x14:sparkline>
              <xm:f>'PERSONAL BUDGET'!C75:N75</xm:f>
              <xm:sqref>P75</xm:sqref>
            </x14:sparkline>
            <x14:sparkline>
              <xm:f>'PERSONAL BUDGET'!C76:N76</xm:f>
              <xm:sqref>P76</xm:sqref>
            </x14:sparkline>
            <x14:sparkline>
              <xm:f>'PERSONAL BUDGET'!C77:N77</xm:f>
              <xm:sqref>P77</xm:sqref>
            </x14:sparkline>
            <x14:sparkline>
              <xm:f>'PERSONAL BUDGET'!C78:N78</xm:f>
              <xm:sqref>P78</xm:sqref>
            </x14:sparkline>
            <x14:sparkline>
              <xm:f>'PERSONAL BUDGET'!C79:N79</xm:f>
              <xm:sqref>P79</xm:sqref>
            </x14:sparkline>
          </x14:sparklines>
        </x14:sparklineGroup>
        <x14:sparklineGroup displayEmptyCellsAs="gap" high="1" low="1" xr2:uid="{00000000-0003-0000-0000-000009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'PERSONAL BUDGET'!C82:N82</xm:f>
              <xm:sqref>P82</xm:sqref>
            </x14:sparkline>
            <x14:sparkline>
              <xm:f>'PERSONAL BUDGET'!C83:N83</xm:f>
              <xm:sqref>P83</xm:sqref>
            </x14:sparkline>
            <x14:sparkline>
              <xm:f>'PERSONAL BUDGET'!C84:N84</xm:f>
              <xm:sqref>P84</xm:sqref>
            </x14:sparkline>
            <x14:sparkline>
              <xm:f>'PERSONAL BUDGET'!C85:N85</xm:f>
              <xm:sqref>P85</xm:sqref>
            </x14:sparkline>
            <x14:sparkline>
              <xm:f>'PERSONAL BUDGET'!C86:N86</xm:f>
              <xm:sqref>P86</xm:sqref>
            </x14:sparkline>
            <x14:sparkline>
              <xm:f>'PERSONAL BUDGET'!C87:N87</xm:f>
              <xm:sqref>P87</xm:sqref>
            </x14:sparkline>
          </x14:sparklines>
        </x14:sparklineGroup>
        <x14:sparklineGroup displayEmptyCellsAs="gap" high="1" low="1" xr2:uid="{00000000-0003-0000-0000-00000A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'PERSONAL BUDGET'!C90:N90</xm:f>
              <xm:sqref>P90</xm:sqref>
            </x14:sparkline>
            <x14:sparkline>
              <xm:f>'PERSONAL BUDGET'!C91:N91</xm:f>
              <xm:sqref>P91</xm:sqref>
            </x14:sparkline>
            <x14:sparkline>
              <xm:f>'PERSONAL BUDGET'!C92:N92</xm:f>
              <xm:sqref>P92</xm:sqref>
            </x14:sparkline>
            <x14:sparkline>
              <xm:f>'PERSONAL BUDGET'!C93:N93</xm:f>
              <xm:sqref>P93</xm:sqref>
            </x14:sparkline>
            <x14:sparkline>
              <xm:f>'PERSONAL BUDGET'!C94:N94</xm:f>
              <xm:sqref>P94</xm:sqref>
            </x14:sparkline>
            <x14:sparkline>
              <xm:f>'PERSONAL BUDGET'!C95:N95</xm:f>
              <xm:sqref>P95</xm:sqref>
            </x14:sparkline>
          </x14:sparklines>
        </x14:sparklineGroup>
        <x14:sparklineGroup displayEmptyCellsAs="gap" markers="1" high="1" low="1" xr2:uid="{00000000-0003-0000-0000-00000B000000}">
          <x14:colorSeries theme="0"/>
          <x14:colorNegative theme="6"/>
          <x14:colorAxis rgb="FF000000"/>
          <x14:colorMarkers theme="0"/>
          <x14:colorFirst theme="5" tint="0.39997558519241921"/>
          <x14:colorLast theme="5" tint="0.39997558519241921"/>
          <x14:colorHigh theme="5"/>
          <x14:colorLow theme="5"/>
          <x14:sparklines>
            <x14:sparkline>
              <xm:f>'PERSONAL BUDGET'!C106:N106</xm:f>
              <xm:sqref>P106</xm:sqref>
            </x14:sparkline>
            <x14:sparkline>
              <xm:f>'PERSONAL BUDGET'!C107:N107</xm:f>
              <xm:sqref>P107</xm:sqref>
            </x14:sparkline>
          </x14:sparklines>
        </x14:sparklineGroup>
        <x14:sparklineGroup displayEmptyCellsAs="gap" high="1" low="1" xr2:uid="{00000000-0003-0000-0000-00000D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'PERSONAL BUDGET'!C98:N98</xm:f>
              <xm:sqref>P98</xm:sqref>
            </x14:sparkline>
            <x14:sparkline>
              <xm:f>'PERSONAL BUDGET'!C99:N99</xm:f>
              <xm:sqref>P99</xm:sqref>
            </x14:sparkline>
            <x14:sparkline>
              <xm:f>'PERSONAL BUDGET'!C100:N100</xm:f>
              <xm:sqref>P100</xm:sqref>
            </x14:sparkline>
            <x14:sparkline>
              <xm:f>'PERSONAL BUDGET'!C101:N101</xm:f>
              <xm:sqref>P101</xm:sqref>
            </x14:sparkline>
            <x14:sparkline>
              <xm:f>'PERSONAL BUDGET'!C102:N102</xm:f>
              <xm:sqref>P102</xm:sqref>
            </x14:sparkline>
            <x14:sparkline>
              <xm:f>'PERSONAL BUDGET'!C103:N103</xm:f>
              <xm:sqref>P103</xm:sqref>
            </x14:sparkline>
          </x14:sparklines>
        </x14:sparklineGroup>
        <x14:sparklineGroup displayEmptyCellsAs="gap" high="1" low="1" xr2:uid="{00000000-0003-0000-0000-00000C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'PERSONAL BUDGET'!C6:N6</xm:f>
              <xm:sqref>P6</xm:sqref>
            </x14:sparkline>
            <x14:sparkline>
              <xm:f>'PERSONAL BUDGET'!C7:N7</xm:f>
              <xm:sqref>P7</xm:sqref>
            </x14:sparkline>
            <x14:sparkline>
              <xm:f>'PERSONAL BUDGET'!C8:N8</xm:f>
              <xm:sqref>P8</xm:sqref>
            </x14:sparkline>
            <x14:sparkline>
              <xm:f>'PERSONAL BUDGET'!C9:N9</xm:f>
              <xm:sqref>P9</xm:sqref>
            </x14:sparkline>
          </x14:sparklines>
        </x14:sparklineGroup>
      </x14:sparklineGroup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41BD612-3EFF-4EE7-8E02-A06AD7635D9D}">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82FF4AD7-3681-4C41-86EE-42DFC1849F96}">
  <ds:schemaRefs>
    <ds:schemaRef ds:uri="http://schemas.microsoft.com/sharepoint/v3/contenttype/forms"/>
  </ds:schemaRefs>
</ds:datastoreItem>
</file>

<file path=customXml/itemProps3.xml><?xml version="1.0" encoding="utf-8"?>
<ds:datastoreItem xmlns:ds="http://schemas.openxmlformats.org/officeDocument/2006/customXml" ds:itemID="{073C813B-832D-4E45-B65E-EF3FE057300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TM04035483</Template>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PERSONAL BUDGET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Karel Tutsu</dc:creator>
  <cp:lastModifiedBy>Karel Tutsu</cp:lastModifiedBy>
  <dcterms:created xsi:type="dcterms:W3CDTF">2023-08-15T09:07:42Z</dcterms:created>
  <dcterms:modified xsi:type="dcterms:W3CDTF">2024-01-05T19:27:25Z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