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blacion" sheetId="1" r:id="rId4"/>
    <sheet state="visible" name="Dataset" sheetId="2" r:id="rId5"/>
    <sheet state="visible" name="DATOS TablaDin" sheetId="3" r:id="rId6"/>
    <sheet state="visible" name="Tabla dinámica 4" sheetId="4" r:id="rId7"/>
    <sheet state="visible" name="Gráficas" sheetId="5" r:id="rId8"/>
    <sheet state="visible" name="México SIN" sheetId="6" r:id="rId9"/>
    <sheet state="visible" name="México CON" sheetId="7" r:id="rId10"/>
    <sheet state="visible" name="Peru SIN" sheetId="8" r:id="rId11"/>
    <sheet state="visible" name="Peru CON" sheetId="9" r:id="rId12"/>
    <sheet state="visible" name="Chile SIN" sheetId="10" r:id="rId13"/>
    <sheet state="visible" name="Chile CON" sheetId="11" r:id="rId14"/>
    <sheet state="visible" name="Colombia SIN" sheetId="12" r:id="rId15"/>
    <sheet state="visible" name="Colombia CON" sheetId="13" r:id="rId16"/>
  </sheets>
  <definedNames/>
  <calcPr/>
  <pivotCaches>
    <pivotCache cacheId="0" r:id="rId17"/>
  </pivotCaches>
</workbook>
</file>

<file path=xl/sharedStrings.xml><?xml version="1.0" encoding="utf-8"?>
<sst xmlns="http://schemas.openxmlformats.org/spreadsheetml/2006/main" count="1327" uniqueCount="26">
  <si>
    <t>País</t>
  </si>
  <si>
    <t>Poblacion</t>
  </si>
  <si>
    <t>Mexico</t>
  </si>
  <si>
    <t>Peru</t>
  </si>
  <si>
    <t>Chile</t>
  </si>
  <si>
    <t>Colombia</t>
  </si>
  <si>
    <t>Fecha inicio</t>
  </si>
  <si>
    <t>Fecha fin</t>
  </si>
  <si>
    <t>Semana</t>
  </si>
  <si>
    <t>Total muertes reportadas</t>
  </si>
  <si>
    <t>Total muertes reportadas por covid</t>
  </si>
  <si>
    <t>Diferencia (ExcM) - (TMxCovid)</t>
  </si>
  <si>
    <t xml:space="preserve"> </t>
  </si>
  <si>
    <t>Total de Poblacion</t>
  </si>
  <si>
    <t>Total de Exceso de Mortalidad (Normalizado)</t>
  </si>
  <si>
    <t>Total de Muertes-Covid (Normalizaado)</t>
  </si>
  <si>
    <t>Suma total</t>
  </si>
  <si>
    <t>México</t>
  </si>
  <si>
    <t>Todos los países</t>
  </si>
  <si>
    <t>Promedio SIN COVID</t>
  </si>
  <si>
    <t>Promedio CON COVID</t>
  </si>
  <si>
    <t>Exceso de mortalidad</t>
  </si>
  <si>
    <t>Normalizar (TMxCovid)</t>
  </si>
  <si>
    <t>Normalizar (ExcM)</t>
  </si>
  <si>
    <t>Acumulado (TMxCovid)</t>
  </si>
  <si>
    <t>Acumulado (ExcM)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</si>
</sst>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/m/yy"/>
    <numFmt numFmtId="165" formatCode="dd/mm/yy"/>
    <numFmt numFmtId="166" formatCode="m/yy"/>
    <numFmt numFmtId="167" formatCode="0.0"/>
    <numFmt numFmtId="168" formatCode="mm-yyyy"/>
  </numFmts>
  <fonts count="14">
    <font>
      <sz val="10.0"/>
      <color rgb="FF000000"/>
      <name val="Verdana"/>
      <scheme val="minor"/>
    </font>
    <font>
      <b/>
      <color rgb="FF000000"/>
      <name val="Lexend"/>
    </font>
    <font>
      <color theme="1"/>
      <name val="Lexend"/>
    </font>
    <font>
      <b/>
      <color rgb="FF38761D"/>
      <name val="Lexend"/>
    </font>
    <font>
      <b/>
      <color theme="5"/>
      <name val="Lexend"/>
    </font>
    <font>
      <b/>
      <color rgb="FF0000FF"/>
      <name val="Lexend"/>
    </font>
    <font>
      <b/>
      <color rgb="FFF1C232"/>
      <name val="Lexend"/>
    </font>
    <font>
      <b/>
      <color theme="1"/>
      <name val="Lexend"/>
    </font>
    <font>
      <color theme="1"/>
      <name val="Verdana"/>
      <scheme val="minor"/>
    </font>
    <font>
      <sz val="11.0"/>
      <color theme="1"/>
      <name val="Lexend"/>
    </font>
    <font>
      <b/>
      <sz val="12.0"/>
      <color theme="1"/>
      <name val="Lexend"/>
    </font>
    <font>
      <color rgb="FF000000"/>
      <name val="Lexend"/>
    </font>
    <font>
      <sz val="10.0"/>
      <color theme="1"/>
      <name val="Lexend"/>
    </font>
    <font>
      <sz val="10.0"/>
      <color rgb="FF000000"/>
      <name val="Lexend"/>
    </font>
  </fonts>
  <fills count="19">
    <fill>
      <patternFill patternType="none"/>
    </fill>
    <fill>
      <patternFill patternType="lightGray"/>
    </fill>
    <fill>
      <patternFill patternType="solid">
        <fgColor rgb="FFB4A7D6"/>
        <bgColor rgb="FFB4A7D6"/>
      </patternFill>
    </fill>
    <fill>
      <patternFill patternType="solid">
        <fgColor theme="0"/>
        <bgColor theme="0"/>
      </patternFill>
    </fill>
    <fill>
      <patternFill patternType="solid">
        <fgColor rgb="FF97E9DE"/>
        <bgColor rgb="FF97E9DE"/>
      </patternFill>
    </fill>
    <fill>
      <patternFill patternType="solid">
        <fgColor rgb="FF96EEE3"/>
        <bgColor rgb="FF96EEE3"/>
      </patternFill>
    </fill>
    <fill>
      <patternFill patternType="solid">
        <fgColor rgb="FFEFEFEF"/>
        <bgColor rgb="FFEFEFEF"/>
      </patternFill>
    </fill>
    <fill>
      <patternFill patternType="solid">
        <fgColor rgb="FFC27BA0"/>
        <bgColor rgb="FFC27BA0"/>
      </patternFill>
    </fill>
    <fill>
      <patternFill patternType="solid">
        <fgColor rgb="FFEAD1DC"/>
        <bgColor rgb="FFEAD1DC"/>
      </patternFill>
    </fill>
    <fill>
      <patternFill patternType="solid">
        <fgColor rgb="FFA2C4C9"/>
        <bgColor rgb="FFA2C4C9"/>
      </patternFill>
    </fill>
    <fill>
      <patternFill patternType="solid">
        <fgColor rgb="FFD0E0E3"/>
        <bgColor rgb="FFD0E0E3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EA9999"/>
        <bgColor rgb="FFEA9999"/>
      </patternFill>
    </fill>
    <fill>
      <patternFill patternType="solid">
        <fgColor rgb="FFF4CCCC"/>
        <bgColor rgb="FFF4CCCC"/>
      </patternFill>
    </fill>
    <fill>
      <patternFill patternType="solid">
        <fgColor rgb="FF9FC5E8"/>
        <bgColor rgb="FF9FC5E8"/>
      </patternFill>
    </fill>
    <fill>
      <patternFill patternType="solid">
        <fgColor rgb="FFCFE2F3"/>
        <bgColor rgb="FFCFE2F3"/>
      </patternFill>
    </fill>
    <fill>
      <patternFill patternType="solid">
        <fgColor rgb="FFFFE599"/>
        <bgColor rgb="FFFFE599"/>
      </patternFill>
    </fill>
    <fill>
      <patternFill patternType="solid">
        <fgColor rgb="FFFFF2CC"/>
        <bgColor rgb="FFFFF2CC"/>
      </patternFill>
    </fill>
  </fills>
  <borders count="2">
    <border/>
    <border>
      <bottom style="thin">
        <color rgb="FF666666"/>
      </bottom>
    </border>
  </borders>
  <cellStyleXfs count="1">
    <xf borderId="0" fillId="0" fontId="0" numFmtId="0" applyAlignment="1" applyFont="1"/>
  </cellStyleXfs>
  <cellXfs count="8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center"/>
    </xf>
    <xf borderId="0" fillId="0" fontId="2" numFmtId="0" xfId="0" applyFont="1"/>
    <xf borderId="0" fillId="0" fontId="3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0" fontId="4" numFmtId="0" xfId="0" applyAlignment="1" applyFont="1">
      <alignment horizontal="center" readingOrder="0" vertical="center"/>
    </xf>
    <xf borderId="0" fillId="0" fontId="5" numFmtId="0" xfId="0" applyAlignment="1" applyFont="1">
      <alignment horizontal="center" readingOrder="0" vertical="center"/>
    </xf>
    <xf borderId="0" fillId="0" fontId="6" numFmtId="0" xfId="0" applyAlignment="1" applyFont="1">
      <alignment horizontal="center" readingOrder="0" vertical="center"/>
    </xf>
    <xf borderId="0" fillId="2" fontId="7" numFmtId="0" xfId="0" applyAlignment="1" applyFont="1">
      <alignment horizontal="center" readingOrder="0" shrinkToFit="0" vertical="center" wrapText="1"/>
    </xf>
    <xf borderId="0" fillId="3" fontId="2" numFmtId="164" xfId="0" applyAlignment="1" applyFill="1" applyFont="1" applyNumberFormat="1">
      <alignment horizontal="center" readingOrder="0" vertical="center"/>
    </xf>
    <xf borderId="0" fillId="3" fontId="2" numFmtId="165" xfId="0" applyAlignment="1" applyFont="1" applyNumberFormat="1">
      <alignment horizontal="center" readingOrder="0" vertical="center"/>
    </xf>
    <xf borderId="0" fillId="0" fontId="2" numFmtId="165" xfId="0" applyAlignment="1" applyFont="1" applyNumberFormat="1">
      <alignment horizontal="center" readingOrder="0" vertical="center"/>
    </xf>
    <xf borderId="0" fillId="0" fontId="2" numFmtId="164" xfId="0" applyAlignment="1" applyFont="1" applyNumberFormat="1">
      <alignment horizontal="center" readingOrder="0" vertical="center"/>
    </xf>
    <xf borderId="0" fillId="0" fontId="2" numFmtId="0" xfId="0" applyAlignment="1" applyFont="1">
      <alignment horizontal="center" vertical="center"/>
    </xf>
    <xf borderId="0" fillId="4" fontId="7" numFmtId="0" xfId="0" applyAlignment="1" applyFill="1" applyFont="1">
      <alignment horizontal="center" shrinkToFit="0" vertical="center" wrapText="1"/>
    </xf>
    <xf borderId="0" fillId="4" fontId="7" numFmtId="0" xfId="0" applyAlignment="1" applyFont="1">
      <alignment horizontal="center" readingOrder="0" shrinkToFit="0" vertical="center" wrapText="1"/>
    </xf>
    <xf borderId="0" fillId="5" fontId="1" numFmtId="0" xfId="0" applyAlignment="1" applyFill="1" applyFont="1">
      <alignment horizontal="center" readingOrder="0" vertical="center"/>
    </xf>
    <xf borderId="0" fillId="0" fontId="2" numFmtId="0" xfId="0" applyAlignment="1" applyFont="1">
      <alignment horizontal="center" shrinkToFit="0" vertical="center" wrapText="1"/>
    </xf>
    <xf borderId="0" fillId="0" fontId="2" numFmtId="166" xfId="0" applyAlignment="1" applyFont="1" applyNumberFormat="1">
      <alignment horizontal="center" shrinkToFit="0" vertical="center" wrapText="1"/>
    </xf>
    <xf borderId="0" fillId="0" fontId="2" numFmtId="165" xfId="0" applyAlignment="1" applyFont="1" applyNumberFormat="1">
      <alignment horizontal="center" shrinkToFit="0" vertical="center" wrapText="1"/>
    </xf>
    <xf borderId="0" fillId="6" fontId="2" numFmtId="1" xfId="0" applyAlignment="1" applyFill="1" applyFont="1" applyNumberFormat="1">
      <alignment horizontal="center" shrinkToFit="0" vertical="center" wrapText="1"/>
    </xf>
    <xf borderId="0" fillId="0" fontId="2" numFmtId="1" xfId="0" applyAlignment="1" applyFont="1" applyNumberFormat="1">
      <alignment horizontal="center" shrinkToFit="0" vertical="center" wrapText="1"/>
    </xf>
    <xf borderId="0" fillId="0" fontId="2" numFmtId="167" xfId="0" applyAlignment="1" applyFont="1" applyNumberFormat="1">
      <alignment horizontal="center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1" fillId="0" fontId="2" numFmtId="166" xfId="0" applyAlignment="1" applyBorder="1" applyFont="1" applyNumberFormat="1">
      <alignment horizontal="center" shrinkToFit="0" vertical="center" wrapText="1"/>
    </xf>
    <xf borderId="1" fillId="0" fontId="2" numFmtId="165" xfId="0" applyAlignment="1" applyBorder="1" applyFont="1" applyNumberFormat="1">
      <alignment horizontal="center" shrinkToFit="0" vertical="center" wrapText="1"/>
    </xf>
    <xf borderId="1" fillId="6" fontId="2" numFmtId="1" xfId="0" applyAlignment="1" applyBorder="1" applyFont="1" applyNumberFormat="1">
      <alignment horizontal="center" shrinkToFit="0" vertical="center" wrapText="1"/>
    </xf>
    <xf borderId="1" fillId="0" fontId="2" numFmtId="1" xfId="0" applyAlignment="1" applyBorder="1" applyFont="1" applyNumberFormat="1">
      <alignment horizontal="center" shrinkToFit="0" vertical="center" wrapText="1"/>
    </xf>
    <xf borderId="1" fillId="0" fontId="2" numFmtId="167" xfId="0" applyAlignment="1" applyBorder="1" applyFont="1" applyNumberFormat="1">
      <alignment horizontal="center" shrinkToFit="0" vertical="center" wrapText="1"/>
    </xf>
    <xf borderId="1" fillId="0" fontId="8" numFmtId="0" xfId="0" applyBorder="1" applyFont="1"/>
    <xf borderId="0" fillId="0" fontId="2" numFmtId="2" xfId="0" applyAlignment="1" applyFont="1" applyNumberFormat="1">
      <alignment horizontal="center" shrinkToFit="0" vertical="center" wrapText="1"/>
    </xf>
    <xf borderId="1" fillId="0" fontId="2" numFmtId="2" xfId="0" applyAlignment="1" applyBorder="1" applyFont="1" applyNumberFormat="1">
      <alignment horizontal="center" shrinkToFit="0" vertical="center" wrapText="1"/>
    </xf>
    <xf borderId="0" fillId="6" fontId="2" numFmtId="0" xfId="0" applyAlignment="1" applyFont="1">
      <alignment horizontal="center" shrinkToFit="0" vertical="center" wrapText="1"/>
    </xf>
    <xf borderId="1" fillId="6" fontId="2" numFmtId="0" xfId="0" applyAlignment="1" applyBorder="1" applyFont="1">
      <alignment horizontal="center" shrinkToFit="0" vertical="center" wrapText="1"/>
    </xf>
    <xf borderId="0" fillId="0" fontId="9" numFmtId="0" xfId="0" applyAlignment="1" applyFont="1">
      <alignment horizontal="center" shrinkToFit="0" vertical="center" wrapText="1"/>
    </xf>
    <xf borderId="0" fillId="0" fontId="9" numFmtId="167" xfId="0" applyAlignment="1" applyFont="1" applyNumberFormat="1">
      <alignment horizontal="center" shrinkToFit="0" vertical="center" wrapText="1"/>
    </xf>
    <xf borderId="0" fillId="0" fontId="9" numFmtId="0" xfId="0" applyFont="1"/>
    <xf borderId="0" fillId="0" fontId="9" numFmtId="4" xfId="0" applyAlignment="1" applyFont="1" applyNumberFormat="1">
      <alignment horizontal="center" shrinkToFit="0" vertical="center" wrapText="1"/>
    </xf>
    <xf borderId="1" fillId="0" fontId="9" numFmtId="0" xfId="0" applyAlignment="1" applyBorder="1" applyFont="1">
      <alignment horizontal="center" shrinkToFit="0" vertical="center" wrapText="1"/>
    </xf>
    <xf borderId="1" fillId="0" fontId="9" numFmtId="4" xfId="0" applyAlignment="1" applyBorder="1" applyFont="1" applyNumberFormat="1">
      <alignment horizontal="center" shrinkToFit="0" vertical="center" wrapText="1"/>
    </xf>
    <xf borderId="1" fillId="0" fontId="9" numFmtId="167" xfId="0" applyAlignment="1" applyBorder="1" applyFont="1" applyNumberFormat="1">
      <alignment horizontal="center" shrinkToFit="0" vertical="center" wrapText="1"/>
    </xf>
    <xf borderId="0" fillId="0" fontId="9" numFmtId="0" xfId="0" applyAlignment="1" applyFont="1">
      <alignment horizontal="center" shrinkToFit="0" wrapText="1"/>
    </xf>
    <xf borderId="0" fillId="0" fontId="9" numFmtId="167" xfId="0" applyAlignment="1" applyFont="1" applyNumberFormat="1">
      <alignment horizontal="center" shrinkToFit="0" wrapText="1"/>
    </xf>
    <xf borderId="0" fillId="0" fontId="9" numFmtId="167" xfId="0" applyFont="1" applyNumberFormat="1"/>
    <xf borderId="0" fillId="7" fontId="10" numFmtId="0" xfId="0" applyAlignment="1" applyFill="1" applyFont="1">
      <alignment horizontal="center" readingOrder="0"/>
    </xf>
    <xf borderId="0" fillId="7" fontId="2" numFmtId="0" xfId="0" applyFont="1"/>
    <xf borderId="0" fillId="8" fontId="10" numFmtId="0" xfId="0" applyAlignment="1" applyFill="1" applyFont="1">
      <alignment horizontal="center" readingOrder="0"/>
    </xf>
    <xf borderId="0" fillId="8" fontId="2" numFmtId="0" xfId="0" applyFont="1"/>
    <xf borderId="0" fillId="7" fontId="8" numFmtId="0" xfId="0" applyFont="1"/>
    <xf borderId="0" fillId="8" fontId="8" numFmtId="0" xfId="0" applyFont="1"/>
    <xf borderId="0" fillId="7" fontId="10" numFmtId="0" xfId="0" applyAlignment="1" applyFont="1">
      <alignment readingOrder="0"/>
    </xf>
    <xf borderId="0" fillId="8" fontId="10" numFmtId="0" xfId="0" applyAlignment="1" applyFont="1">
      <alignment readingOrder="0"/>
    </xf>
    <xf borderId="0" fillId="9" fontId="7" numFmtId="0" xfId="0" applyAlignment="1" applyFill="1" applyFont="1">
      <alignment horizontal="center" shrinkToFit="0" vertical="center" wrapText="1"/>
    </xf>
    <xf borderId="0" fillId="10" fontId="7" numFmtId="1" xfId="0" applyAlignment="1" applyFill="1" applyFont="1" applyNumberFormat="1">
      <alignment horizontal="center" readingOrder="0" shrinkToFit="0" vertical="center" wrapText="1"/>
    </xf>
    <xf borderId="0" fillId="0" fontId="2" numFmtId="164" xfId="0" applyAlignment="1" applyFont="1" applyNumberFormat="1">
      <alignment horizontal="center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11" fontId="2" numFmtId="0" xfId="0" applyAlignment="1" applyFill="1" applyFont="1">
      <alignment horizontal="center" shrinkToFit="0" vertical="center" wrapText="1"/>
    </xf>
    <xf borderId="0" fillId="9" fontId="7" numFmtId="0" xfId="0" applyAlignment="1" applyFont="1">
      <alignment horizontal="center" shrinkToFit="0" textRotation="0" vertical="center" wrapText="1"/>
    </xf>
    <xf borderId="0" fillId="9" fontId="7" numFmtId="1" xfId="0" applyAlignment="1" applyFont="1" applyNumberFormat="1">
      <alignment horizontal="center" readingOrder="0" shrinkToFit="0" vertical="center" wrapText="1"/>
    </xf>
    <xf borderId="0" fillId="9" fontId="7" numFmtId="167" xfId="0" applyAlignment="1" applyFont="1" applyNumberFormat="1">
      <alignment horizontal="center" readingOrder="0" shrinkToFit="0" vertical="center" wrapText="1"/>
    </xf>
    <xf borderId="0" fillId="11" fontId="7" numFmtId="0" xfId="0" applyAlignment="1" applyFont="1">
      <alignment horizontal="center" readingOrder="0" shrinkToFit="0" vertical="center" wrapText="1"/>
    </xf>
    <xf borderId="0" fillId="0" fontId="2" numFmtId="166" xfId="0" applyAlignment="1" applyFont="1" applyNumberFormat="1">
      <alignment horizontal="center" shrinkToFit="0" textRotation="0" vertical="center" wrapText="1"/>
    </xf>
    <xf borderId="0" fillId="12" fontId="2" numFmtId="1" xfId="0" applyAlignment="1" applyFill="1" applyFont="1" applyNumberFormat="1">
      <alignment horizontal="center" readingOrder="0" shrinkToFit="0" vertical="center" wrapText="1"/>
    </xf>
    <xf borderId="0" fillId="12" fontId="2" numFmtId="1" xfId="0" applyAlignment="1" applyFont="1" applyNumberFormat="1">
      <alignment horizontal="center" shrinkToFit="0" vertical="center" wrapText="1"/>
    </xf>
    <xf borderId="0" fillId="11" fontId="11" numFmtId="167" xfId="0" applyAlignment="1" applyFont="1" applyNumberFormat="1">
      <alignment horizontal="center" readingOrder="0"/>
    </xf>
    <xf borderId="0" fillId="0" fontId="2" numFmtId="167" xfId="0" applyAlignment="1" applyFont="1" applyNumberFormat="1">
      <alignment horizontal="center" readingOrder="0" shrinkToFit="0" vertical="center" wrapText="1"/>
    </xf>
    <xf borderId="0" fillId="0" fontId="2" numFmtId="168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center" shrinkToFit="0" textRotation="0" vertical="center" wrapText="1"/>
    </xf>
    <xf borderId="0" fillId="0" fontId="8" numFmtId="1" xfId="0" applyFont="1" applyNumberFormat="1"/>
    <xf borderId="0" fillId="13" fontId="7" numFmtId="0" xfId="0" applyAlignment="1" applyFill="1" applyFont="1">
      <alignment horizontal="center" shrinkToFit="0" vertical="center" wrapText="1"/>
    </xf>
    <xf borderId="0" fillId="14" fontId="7" numFmtId="1" xfId="0" applyAlignment="1" applyFill="1" applyFont="1" applyNumberFormat="1">
      <alignment horizontal="center" readingOrder="0" shrinkToFit="0" vertical="center" wrapText="1"/>
    </xf>
    <xf borderId="0" fillId="0" fontId="2" numFmtId="1" xfId="0" applyAlignment="1" applyFont="1" applyNumberFormat="1">
      <alignment horizontal="center" readingOrder="0" shrinkToFit="0" vertical="center" wrapText="1"/>
    </xf>
    <xf borderId="0" fillId="13" fontId="7" numFmtId="1" xfId="0" applyAlignment="1" applyFont="1" applyNumberFormat="1">
      <alignment horizontal="center" readingOrder="0" shrinkToFit="0" vertical="center" wrapText="1"/>
    </xf>
    <xf borderId="0" fillId="13" fontId="7" numFmtId="167" xfId="0" applyAlignment="1" applyFont="1" applyNumberFormat="1">
      <alignment horizontal="center" readingOrder="0" shrinkToFit="0" vertical="center" wrapText="1"/>
    </xf>
    <xf borderId="0" fillId="0" fontId="12" numFmtId="166" xfId="0" applyAlignment="1" applyFont="1" applyNumberFormat="1">
      <alignment horizontal="center" shrinkToFit="0" vertical="center" wrapText="1"/>
    </xf>
    <xf borderId="0" fillId="12" fontId="2" numFmtId="0" xfId="0" applyAlignment="1" applyFont="1">
      <alignment horizontal="center" shrinkToFit="0" vertical="center" wrapText="1"/>
    </xf>
    <xf borderId="0" fillId="15" fontId="7" numFmtId="0" xfId="0" applyAlignment="1" applyFill="1" applyFont="1">
      <alignment horizontal="center" shrinkToFit="0" vertical="center" wrapText="1"/>
    </xf>
    <xf borderId="0" fillId="16" fontId="7" numFmtId="1" xfId="0" applyAlignment="1" applyFill="1" applyFont="1" applyNumberFormat="1">
      <alignment horizontal="center" readingOrder="0" shrinkToFit="0" vertical="center" wrapText="1"/>
    </xf>
    <xf borderId="0" fillId="15" fontId="7" numFmtId="1" xfId="0" applyAlignment="1" applyFont="1" applyNumberFormat="1">
      <alignment horizontal="center" readingOrder="0" shrinkToFit="0" vertical="center" wrapText="1"/>
    </xf>
    <xf borderId="0" fillId="15" fontId="7" numFmtId="2" xfId="0" applyAlignment="1" applyFont="1" applyNumberFormat="1">
      <alignment horizontal="center" readingOrder="0" shrinkToFit="0" vertical="center" wrapText="1"/>
    </xf>
    <xf borderId="0" fillId="17" fontId="7" numFmtId="0" xfId="0" applyAlignment="1" applyFill="1" applyFont="1">
      <alignment horizontal="center" shrinkToFit="0" vertical="center" wrapText="1"/>
    </xf>
    <xf borderId="0" fillId="18" fontId="7" numFmtId="1" xfId="0" applyAlignment="1" applyFill="1" applyFont="1" applyNumberFormat="1">
      <alignment horizontal="center" readingOrder="0" shrinkToFit="0" vertical="center" wrapText="1"/>
    </xf>
    <xf borderId="0" fillId="17" fontId="7" numFmtId="1" xfId="0" applyAlignment="1" applyFont="1" applyNumberFormat="1">
      <alignment horizontal="center" readingOrder="0" shrinkToFit="0" vertical="center" wrapText="1"/>
    </xf>
    <xf borderId="0" fillId="17" fontId="7" numFmtId="167" xfId="0" applyAlignment="1" applyFont="1" applyNumberFormat="1">
      <alignment horizontal="center" readingOrder="0" shrinkToFit="0" vertical="center" wrapText="1"/>
    </xf>
    <xf borderId="0" fillId="17" fontId="7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center" shrinkToFit="0" vertical="center" wrapText="1"/>
    </xf>
    <xf borderId="0" fillId="12" fontId="13" numFmtId="0" xfId="0" applyAlignment="1" applyFont="1">
      <alignment horizontal="center" shrinkToFit="0" vertical="center" wrapText="1"/>
    </xf>
    <xf borderId="0" fillId="12" fontId="12" numFmtId="0" xfId="0" applyAlignment="1" applyFont="1">
      <alignment horizontal="center" shrinkToFit="0" vertical="center" wrapText="1"/>
    </xf>
    <xf borderId="0" fillId="0" fontId="12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434343"/>
                </a:solidFill>
                <a:latin typeface="sans-serif"/>
              </a:defRPr>
            </a:pPr>
            <a:r>
              <a:rPr b="1">
                <a:solidFill>
                  <a:srgbClr val="434343"/>
                </a:solidFill>
                <a:latin typeface="sans-serif"/>
              </a:rPr>
              <a:t>Total de Poblacion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'Tabla dinámica 4'!$B$1</c:f>
            </c:strRef>
          </c:tx>
          <c:dPt>
            <c:idx val="0"/>
            <c:spPr>
              <a:solidFill>
                <a:srgbClr val="E06666"/>
              </a:solidFill>
            </c:spPr>
          </c:dPt>
          <c:dPt>
            <c:idx val="1"/>
            <c:spPr>
              <a:solidFill>
                <a:srgbClr val="6BB99C"/>
              </a:solidFill>
            </c:spPr>
          </c:dPt>
          <c:dPt>
            <c:idx val="2"/>
            <c:spPr>
              <a:solidFill>
                <a:srgbClr val="F1C232"/>
              </a:solidFill>
            </c:spPr>
          </c:dPt>
          <c:dPt>
            <c:idx val="3"/>
            <c:spPr>
              <a:solidFill>
                <a:srgbClr val="3C78D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'Tabla dinámica 4'!$A$2:$A$5</c:f>
            </c:strRef>
          </c:cat>
          <c:val>
            <c:numRef>
              <c:f>'Tabla dinámica 4'!$B$2:$B$5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434343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sans-serif"/>
              </a:defRPr>
            </a:pPr>
            <a:r>
              <a:rPr b="0">
                <a:solidFill>
                  <a:srgbClr val="838383"/>
                </a:solidFill>
                <a:latin typeface="sans-serif"/>
              </a:rPr>
              <a:t>Normalización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v>Exceso de Mortalidad 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dPt>
            <c:idx val="0"/>
          </c:dPt>
          <c:cat>
            <c:strRef>
              <c:f>'Tabla dinámica 4'!$A$2:$A$5</c:f>
            </c:strRef>
          </c:cat>
          <c:val>
            <c:numRef>
              <c:f>'Tabla dinámica 4'!$C$2:$C$5</c:f>
              <c:numCache/>
            </c:numRef>
          </c:val>
        </c:ser>
        <c:ser>
          <c:idx val="1"/>
          <c:order val="1"/>
          <c:tx>
            <c:v>Muertes por COVID</c:v>
          </c:tx>
          <c:spPr>
            <a:solidFill>
              <a:srgbClr val="8FE5C5"/>
            </a:solidFill>
            <a:ln cmpd="sng">
              <a:solidFill>
                <a:srgbClr val="000000"/>
              </a:solidFill>
            </a:ln>
          </c:spPr>
          <c:cat>
            <c:strRef>
              <c:f>'Tabla dinámica 4'!$A$2:$A$5</c:f>
            </c:strRef>
          </c:cat>
          <c:val>
            <c:numRef>
              <c:f>'Tabla dinámica 4'!$D$2:$D$5</c:f>
              <c:numCache/>
            </c:numRef>
          </c:val>
        </c:ser>
        <c:axId val="1298194497"/>
        <c:axId val="992842935"/>
      </c:barChart>
      <c:catAx>
        <c:axId val="129819449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País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992842935"/>
      </c:catAx>
      <c:valAx>
        <c:axId val="99284293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298194497"/>
        <c:crosses val="max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99999"/>
                </a:solidFill>
                <a:latin typeface="sans-serif"/>
              </a:defRPr>
            </a:pPr>
            <a:r>
              <a:rPr b="0">
                <a:solidFill>
                  <a:srgbClr val="999999"/>
                </a:solidFill>
                <a:latin typeface="sans-serif"/>
              </a:rPr>
              <a:t>Diferencia 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'Tabla dinámica 4'!$E$1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E06666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6BB99C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1C232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3C78D8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'Tabla dinámica 4'!$A$2:$A$5</c:f>
            </c:strRef>
          </c:cat>
          <c:val>
            <c:numRef>
              <c:f>'Tabla dinámica 4'!$E$2:$E$5</c:f>
              <c:numCache/>
            </c:numRef>
          </c:val>
        </c:ser>
        <c:axId val="477932672"/>
        <c:axId val="715160887"/>
      </c:barChart>
      <c:catAx>
        <c:axId val="47793267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País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715160887"/>
      </c:catAx>
      <c:valAx>
        <c:axId val="71516088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47793267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sans-serif"/>
              </a:defRPr>
            </a:pPr>
            <a:r>
              <a:rPr b="0">
                <a:solidFill>
                  <a:srgbClr val="838383"/>
                </a:solidFill>
                <a:latin typeface="sans-serif"/>
              </a:rPr>
              <a:t>Acumulado</a:t>
            </a:r>
          </a:p>
        </c:rich>
      </c:tx>
      <c:overlay val="0"/>
    </c:title>
    <c:plotArea>
      <c:layout/>
      <c:lineChart>
        <c:ser>
          <c:idx val="0"/>
          <c:order val="0"/>
          <c:tx>
            <c:v>Muertes por COVID</c:v>
          </c:tx>
          <c:spPr>
            <a:ln cmpd="sng">
              <a:solidFill>
                <a:srgbClr val="47E78A"/>
              </a:solidFill>
            </a:ln>
          </c:spPr>
          <c:marker>
            <c:symbol val="none"/>
          </c:marker>
          <c:cat>
            <c:strRef>
              <c:f>'México CON'!$B$2:$B$83</c:f>
            </c:strRef>
          </c:cat>
          <c:val>
            <c:numRef>
              <c:f>'México CON'!$M$1:$M$83</c:f>
              <c:numCache/>
            </c:numRef>
          </c:val>
          <c:smooth val="1"/>
        </c:ser>
        <c:ser>
          <c:idx val="1"/>
          <c:order val="1"/>
          <c:tx>
            <c:v>Exceso de mortalidad</c:v>
          </c:tx>
          <c:spPr>
            <a:ln cmpd="sng">
              <a:solidFill>
                <a:srgbClr val="2D729D"/>
              </a:solidFill>
            </a:ln>
          </c:spPr>
          <c:marker>
            <c:symbol val="none"/>
          </c:marker>
          <c:cat>
            <c:strRef>
              <c:f>'México CON'!$B$2:$B$83</c:f>
            </c:strRef>
          </c:cat>
          <c:val>
            <c:numRef>
              <c:f>'México CON'!$N$1:$N$83</c:f>
              <c:numCache/>
            </c:numRef>
          </c:val>
          <c:smooth val="1"/>
        </c:ser>
        <c:axId val="152292437"/>
        <c:axId val="841314765"/>
      </c:lineChart>
      <c:catAx>
        <c:axId val="1522924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Tiempo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841314765"/>
      </c:catAx>
      <c:valAx>
        <c:axId val="8413147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52292437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sans-serif"/>
              </a:defRPr>
            </a:pPr>
            <a:r>
              <a:rPr b="0">
                <a:solidFill>
                  <a:srgbClr val="838383"/>
                </a:solidFill>
                <a:latin typeface="sans-serif"/>
              </a:rPr>
              <a:t>Normalización</a:t>
            </a:r>
          </a:p>
        </c:rich>
      </c:tx>
      <c:overlay val="0"/>
    </c:title>
    <c:plotArea>
      <c:layout/>
      <c:lineChart>
        <c:ser>
          <c:idx val="0"/>
          <c:order val="0"/>
          <c:tx>
            <c:v>Muertes por COVID</c:v>
          </c:tx>
          <c:spPr>
            <a:ln cmpd="sng" w="19050">
              <a:solidFill>
                <a:srgbClr val="47E78A"/>
              </a:solidFill>
            </a:ln>
          </c:spPr>
          <c:marker>
            <c:symbol val="none"/>
          </c:marker>
          <c:cat>
            <c:strRef>
              <c:f>'México CON'!$B$3:$B$83</c:f>
            </c:strRef>
          </c:cat>
          <c:val>
            <c:numRef>
              <c:f>'México CON'!$K$2:$K$83</c:f>
              <c:numCache/>
            </c:numRef>
          </c:val>
          <c:smooth val="1"/>
        </c:ser>
        <c:ser>
          <c:idx val="1"/>
          <c:order val="1"/>
          <c:tx>
            <c:v>Exceso de mortaliad</c:v>
          </c:tx>
          <c:spPr>
            <a:ln cmpd="sng" w="19050">
              <a:solidFill>
                <a:schemeClr val="accent2"/>
              </a:solidFill>
            </a:ln>
          </c:spPr>
          <c:marker>
            <c:symbol val="none"/>
          </c:marker>
          <c:dPt>
            <c:idx val="48"/>
            <c:marker>
              <c:symbol val="none"/>
            </c:marker>
          </c:dPt>
          <c:cat>
            <c:strRef>
              <c:f>'México CON'!$B$3:$B$83</c:f>
            </c:strRef>
          </c:cat>
          <c:val>
            <c:numRef>
              <c:f>'México CON'!$L$2:$L$83</c:f>
              <c:numCache/>
            </c:numRef>
          </c:val>
          <c:smooth val="1"/>
        </c:ser>
        <c:axId val="192107954"/>
        <c:axId val="101467342"/>
      </c:lineChart>
      <c:catAx>
        <c:axId val="1921079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Tiempo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01467342"/>
      </c:catAx>
      <c:valAx>
        <c:axId val="1014673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92107954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99999"/>
                </a:solidFill>
                <a:latin typeface="sans-serif"/>
              </a:defRPr>
            </a:pPr>
            <a:r>
              <a:rPr b="0">
                <a:solidFill>
                  <a:srgbClr val="999999"/>
                </a:solidFill>
                <a:latin typeface="sans-serif"/>
              </a:rPr>
              <a:t>Acumulado</a:t>
            </a:r>
          </a:p>
        </c:rich>
      </c:tx>
      <c:overlay val="0"/>
    </c:title>
    <c:plotArea>
      <c:layout/>
      <c:lineChart>
        <c:ser>
          <c:idx val="0"/>
          <c:order val="0"/>
          <c:tx>
            <c:v>Muertes por COVID</c:v>
          </c:tx>
          <c:spPr>
            <a:ln cmpd="sng">
              <a:solidFill>
                <a:srgbClr val="47E78A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'Peru CON'!$B$2:$B$89</c:f>
            </c:strRef>
          </c:cat>
          <c:val>
            <c:numRef>
              <c:f>'Peru CON'!$M$1:$M$89</c:f>
              <c:numCache/>
            </c:numRef>
          </c:val>
          <c:smooth val="1"/>
        </c:ser>
        <c:ser>
          <c:idx val="1"/>
          <c:order val="1"/>
          <c:tx>
            <c:v>Exceso de mortalidad</c:v>
          </c:tx>
          <c:spPr>
            <a:ln cmpd="sng">
              <a:solidFill>
                <a:srgbClr val="E06666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'Peru CON'!$B$2:$B$89</c:f>
            </c:strRef>
          </c:cat>
          <c:val>
            <c:numRef>
              <c:f>'Peru CON'!$N$1:$N$89</c:f>
              <c:numCache/>
            </c:numRef>
          </c:val>
          <c:smooth val="1"/>
        </c:ser>
        <c:axId val="468593503"/>
        <c:axId val="212942262"/>
      </c:lineChart>
      <c:catAx>
        <c:axId val="468593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Tiempo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212942262"/>
      </c:catAx>
      <c:valAx>
        <c:axId val="2129422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468593503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sans-serif"/>
              </a:defRPr>
            </a:pPr>
            <a:r>
              <a:rPr b="0">
                <a:solidFill>
                  <a:srgbClr val="838383"/>
                </a:solidFill>
                <a:latin typeface="sans-serif"/>
              </a:rPr>
              <a:t>Normalización</a:t>
            </a:r>
          </a:p>
        </c:rich>
      </c:tx>
      <c:overlay val="0"/>
    </c:title>
    <c:plotArea>
      <c:layout/>
      <c:lineChart>
        <c:ser>
          <c:idx val="0"/>
          <c:order val="0"/>
          <c:tx>
            <c:v>Muertes por COVID</c:v>
          </c:tx>
          <c:spPr>
            <a:ln cmpd="sng" w="19050">
              <a:solidFill>
                <a:schemeClr val="accent1"/>
              </a:solidFill>
            </a:ln>
          </c:spPr>
          <c:marker>
            <c:symbol val="none"/>
          </c:marker>
          <c:dPt>
            <c:idx val="47"/>
            <c:marker>
              <c:symbol val="none"/>
            </c:marker>
          </c:dPt>
          <c:dPt>
            <c:idx val="57"/>
            <c:marker>
              <c:symbol val="none"/>
            </c:marker>
          </c:dPt>
          <c:dPt>
            <c:idx val="63"/>
            <c:marker>
              <c:symbol val="none"/>
            </c:marker>
          </c:dPt>
          <c:cat>
            <c:strRef>
              <c:f>'México CON'!$B$3:$B$83</c:f>
            </c:strRef>
          </c:cat>
          <c:val>
            <c:numRef>
              <c:f>'Peru CON'!$K$2:$K$89</c:f>
              <c:numCache/>
            </c:numRef>
          </c:val>
          <c:smooth val="1"/>
        </c:ser>
        <c:ser>
          <c:idx val="1"/>
          <c:order val="1"/>
          <c:tx>
            <c:v>Exceso de mortaliad</c:v>
          </c:tx>
          <c:spPr>
            <a:ln cmpd="sng" w="19050">
              <a:solidFill>
                <a:srgbClr val="E06666">
                  <a:alpha val="100000"/>
                </a:srgbClr>
              </a:solidFill>
            </a:ln>
          </c:spPr>
          <c:marker>
            <c:symbol val="none"/>
          </c:marker>
          <c:dPt>
            <c:idx val="48"/>
            <c:marker>
              <c:symbol val="none"/>
            </c:marker>
          </c:dPt>
          <c:cat>
            <c:strRef>
              <c:f>'México CON'!$B$3:$B$83</c:f>
            </c:strRef>
          </c:cat>
          <c:val>
            <c:numRef>
              <c:f>'Peru CON'!$L$2:$L$89</c:f>
              <c:numCache/>
            </c:numRef>
          </c:val>
          <c:smooth val="1"/>
        </c:ser>
        <c:axId val="83459944"/>
        <c:axId val="1077350492"/>
      </c:lineChart>
      <c:catAx>
        <c:axId val="83459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Tiempo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077350492"/>
      </c:catAx>
      <c:valAx>
        <c:axId val="10773504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83459944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sans-serif"/>
              </a:defRPr>
            </a:pPr>
            <a:r>
              <a:rPr b="0">
                <a:solidFill>
                  <a:srgbClr val="838383"/>
                </a:solidFill>
                <a:latin typeface="sans-serif"/>
              </a:rPr>
              <a:t>Normalización</a:t>
            </a:r>
          </a:p>
        </c:rich>
      </c:tx>
      <c:overlay val="0"/>
    </c:title>
    <c:plotArea>
      <c:layout/>
      <c:lineChart>
        <c:ser>
          <c:idx val="0"/>
          <c:order val="0"/>
          <c:tx>
            <c:v>Muertes por COVID</c:v>
          </c:tx>
          <c:spPr>
            <a:ln cmpd="sng" w="19050">
              <a:solidFill>
                <a:srgbClr val="1155CC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'México CON'!$B$3:$B$83</c:f>
            </c:strRef>
          </c:cat>
          <c:val>
            <c:numRef>
              <c:f>'Chile CON'!$K$2:$K$85</c:f>
              <c:numCache/>
            </c:numRef>
          </c:val>
          <c:smooth val="1"/>
        </c:ser>
        <c:ser>
          <c:idx val="1"/>
          <c:order val="1"/>
          <c:tx>
            <c:v>Exceso de mortaliad</c:v>
          </c:tx>
          <c:spPr>
            <a:ln cmpd="sng" w="19050">
              <a:solidFill>
                <a:srgbClr val="E06666">
                  <a:alpha val="100000"/>
                </a:srgbClr>
              </a:solidFill>
            </a:ln>
          </c:spPr>
          <c:marker>
            <c:symbol val="none"/>
          </c:marker>
          <c:dPt>
            <c:idx val="48"/>
            <c:marker>
              <c:symbol val="none"/>
            </c:marker>
          </c:dPt>
          <c:cat>
            <c:strRef>
              <c:f>'México CON'!$B$3:$B$83</c:f>
            </c:strRef>
          </c:cat>
          <c:val>
            <c:numRef>
              <c:f>'Chile CON'!$L$2:$L$85</c:f>
              <c:numCache/>
            </c:numRef>
          </c:val>
          <c:smooth val="1"/>
        </c:ser>
        <c:axId val="1969826451"/>
        <c:axId val="1030213311"/>
      </c:lineChart>
      <c:catAx>
        <c:axId val="19698264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Tiempo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030213311"/>
      </c:catAx>
      <c:valAx>
        <c:axId val="10302133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969826451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sans-serif"/>
              </a:defRPr>
            </a:pPr>
            <a:r>
              <a:rPr b="0">
                <a:solidFill>
                  <a:srgbClr val="838383"/>
                </a:solidFill>
                <a:latin typeface="sans-serif"/>
              </a:rPr>
              <a:t>Acumulado</a:t>
            </a:r>
          </a:p>
        </c:rich>
      </c:tx>
      <c:overlay val="0"/>
    </c:title>
    <c:plotArea>
      <c:layout/>
      <c:lineChart>
        <c:ser>
          <c:idx val="0"/>
          <c:order val="0"/>
          <c:tx>
            <c:v>Muertes por COVID</c:v>
          </c:tx>
          <c:spPr>
            <a:ln cmpd="sng">
              <a:solidFill>
                <a:srgbClr val="1155CC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'Chile CON'!$B$2:$B$85</c:f>
            </c:strRef>
          </c:cat>
          <c:val>
            <c:numRef>
              <c:f>'Chile CON'!$M$1:$M$85</c:f>
              <c:numCache/>
            </c:numRef>
          </c:val>
          <c:smooth val="1"/>
        </c:ser>
        <c:ser>
          <c:idx val="1"/>
          <c:order val="1"/>
          <c:tx>
            <c:v>Exceso de mortalidad</c:v>
          </c:tx>
          <c:spPr>
            <a:ln cmpd="sng">
              <a:solidFill>
                <a:srgbClr val="E06666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'Chile CON'!$B$2:$B$85</c:f>
            </c:strRef>
          </c:cat>
          <c:val>
            <c:numRef>
              <c:f>'Chile CON'!$N$1:$N$85</c:f>
              <c:numCache/>
            </c:numRef>
          </c:val>
          <c:smooth val="1"/>
        </c:ser>
        <c:axId val="664981719"/>
        <c:axId val="708058"/>
      </c:lineChart>
      <c:catAx>
        <c:axId val="664981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Tiempo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708058"/>
      </c:catAx>
      <c:valAx>
        <c:axId val="7080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664981719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sans-serif"/>
              </a:defRPr>
            </a:pPr>
            <a:r>
              <a:rPr b="0">
                <a:solidFill>
                  <a:srgbClr val="838383"/>
                </a:solidFill>
                <a:latin typeface="sans-serif"/>
              </a:rPr>
              <a:t>Normalización</a:t>
            </a:r>
          </a:p>
        </c:rich>
      </c:tx>
      <c:overlay val="0"/>
    </c:title>
    <c:plotArea>
      <c:layout/>
      <c:lineChart>
        <c:ser>
          <c:idx val="0"/>
          <c:order val="0"/>
          <c:tx>
            <c:v>Muertes por COVID</c:v>
          </c:tx>
          <c:spPr>
            <a:ln cmpd="sng">
              <a:solidFill>
                <a:srgbClr val="BF9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'Colombia CON'!$B$2:$B$70</c:f>
            </c:strRef>
          </c:cat>
          <c:val>
            <c:numRef>
              <c:f>'Colombia CON'!$K$1:$K$70</c:f>
              <c:numCache/>
            </c:numRef>
          </c:val>
          <c:smooth val="1"/>
        </c:ser>
        <c:ser>
          <c:idx val="1"/>
          <c:order val="1"/>
          <c:tx>
            <c:v>Exceso de mortalidad</c:v>
          </c:tx>
          <c:spPr>
            <a:ln cmpd="sng">
              <a:solidFill>
                <a:srgbClr val="1155CC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'Colombia CON'!$B$2:$B$70</c:f>
            </c:strRef>
          </c:cat>
          <c:val>
            <c:numRef>
              <c:f>'Colombia CON'!$L$1:$L$70</c:f>
              <c:numCache/>
            </c:numRef>
          </c:val>
          <c:smooth val="1"/>
        </c:ser>
        <c:axId val="1947044112"/>
        <c:axId val="1445391485"/>
      </c:lineChart>
      <c:catAx>
        <c:axId val="1947044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Tiempo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445391485"/>
      </c:catAx>
      <c:valAx>
        <c:axId val="14453914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947044112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sans-serif"/>
              </a:defRPr>
            </a:pPr>
            <a:r>
              <a:rPr b="0">
                <a:solidFill>
                  <a:srgbClr val="838383"/>
                </a:solidFill>
                <a:latin typeface="sans-serif"/>
              </a:rPr>
              <a:t>Acumulado</a:t>
            </a:r>
          </a:p>
        </c:rich>
      </c:tx>
      <c:overlay val="0"/>
    </c:title>
    <c:plotArea>
      <c:layout/>
      <c:lineChart>
        <c:ser>
          <c:idx val="0"/>
          <c:order val="0"/>
          <c:tx>
            <c:v>Muertes por COVID</c:v>
          </c:tx>
          <c:spPr>
            <a:ln cmpd="sng">
              <a:solidFill>
                <a:srgbClr val="BF9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'Colombia CON'!$B$2:$B$70</c:f>
            </c:strRef>
          </c:cat>
          <c:val>
            <c:numRef>
              <c:f>'Colombia CON'!$M$2:$M$70</c:f>
              <c:numCache/>
            </c:numRef>
          </c:val>
          <c:smooth val="1"/>
        </c:ser>
        <c:ser>
          <c:idx val="1"/>
          <c:order val="1"/>
          <c:tx>
            <c:v>Exceso de mortalidad</c:v>
          </c:tx>
          <c:spPr>
            <a:ln cmpd="sng">
              <a:solidFill>
                <a:srgbClr val="1155CC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'Colombia CON'!$B$2:$B$70</c:f>
            </c:strRef>
          </c:cat>
          <c:val>
            <c:numRef>
              <c:f>'Colombia CON'!$N$2:$N$70</c:f>
              <c:numCache/>
            </c:numRef>
          </c:val>
          <c:smooth val="1"/>
        </c:ser>
        <c:axId val="1183181603"/>
        <c:axId val="1362079361"/>
      </c:lineChart>
      <c:catAx>
        <c:axId val="11831816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Tiempo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362079361"/>
      </c:catAx>
      <c:valAx>
        <c:axId val="13620793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183181603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434343"/>
                </a:solidFill>
                <a:latin typeface="sans-serif"/>
              </a:defRPr>
            </a:pPr>
            <a:r>
              <a:rPr b="1">
                <a:solidFill>
                  <a:srgbClr val="434343"/>
                </a:solidFill>
                <a:latin typeface="sans-serif"/>
              </a:rPr>
              <a:t>Total de Poblacion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'Tabla dinámica 4'!$B$1</c:f>
            </c:strRef>
          </c:tx>
          <c:dPt>
            <c:idx val="0"/>
            <c:spPr>
              <a:solidFill>
                <a:srgbClr val="E06666"/>
              </a:solidFill>
            </c:spPr>
          </c:dPt>
          <c:dPt>
            <c:idx val="1"/>
            <c:spPr>
              <a:solidFill>
                <a:srgbClr val="6BB99C"/>
              </a:solidFill>
            </c:spPr>
          </c:dPt>
          <c:dPt>
            <c:idx val="2"/>
            <c:spPr>
              <a:solidFill>
                <a:srgbClr val="F1C232"/>
              </a:solidFill>
            </c:spPr>
          </c:dPt>
          <c:dPt>
            <c:idx val="3"/>
            <c:spPr>
              <a:solidFill>
                <a:srgbClr val="3C78D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'Tabla dinámica 4'!$A$2:$A$5</c:f>
            </c:strRef>
          </c:cat>
          <c:val>
            <c:numRef>
              <c:f>'Tabla dinámica 4'!$B$2:$B$5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434343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99999"/>
                </a:solidFill>
                <a:latin typeface="sans-serif"/>
              </a:defRPr>
            </a:pPr>
            <a:r>
              <a:rPr b="0">
                <a:solidFill>
                  <a:srgbClr val="999999"/>
                </a:solidFill>
                <a:latin typeface="sans-serif"/>
              </a:rPr>
              <a:t>Diferencia 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'Tabla dinámica 4'!$E$1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E06666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6BB99C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1C232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3C78D8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'Tabla dinámica 4'!$A$2:$A$5</c:f>
            </c:strRef>
          </c:cat>
          <c:val>
            <c:numRef>
              <c:f>'Tabla dinámica 4'!$E$2:$E$5</c:f>
              <c:numCache/>
            </c:numRef>
          </c:val>
        </c:ser>
        <c:axId val="313091505"/>
        <c:axId val="1723314833"/>
      </c:barChart>
      <c:catAx>
        <c:axId val="31309150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País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723314833"/>
      </c:catAx>
      <c:valAx>
        <c:axId val="172331483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31309150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sans-serif"/>
              </a:defRPr>
            </a:pPr>
            <a:r>
              <a:rPr b="0">
                <a:solidFill>
                  <a:srgbClr val="838383"/>
                </a:solidFill>
                <a:latin typeface="sans-serif"/>
              </a:rPr>
              <a:t>Normalización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v>Exceso de Mortalidad </c:v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'Tabla dinámica 4'!$A$2:$A$5</c:f>
            </c:strRef>
          </c:cat>
          <c:val>
            <c:numRef>
              <c:f>'Tabla dinámica 4'!$C$2:$C$5</c:f>
              <c:numCache/>
            </c:numRef>
          </c:val>
        </c:ser>
        <c:ser>
          <c:idx val="1"/>
          <c:order val="1"/>
          <c:tx>
            <c:v>Muertes por COVID</c:v>
          </c:tx>
          <c:spPr>
            <a:solidFill>
              <a:srgbClr val="6BB99C"/>
            </a:solidFill>
            <a:ln cmpd="sng">
              <a:solidFill>
                <a:srgbClr val="000000"/>
              </a:solidFill>
            </a:ln>
          </c:spPr>
          <c:cat>
            <c:strRef>
              <c:f>'Tabla dinámica 4'!$A$2:$A$5</c:f>
            </c:strRef>
          </c:cat>
          <c:val>
            <c:numRef>
              <c:f>'Tabla dinámica 4'!$D$2:$D$5</c:f>
              <c:numCache/>
            </c:numRef>
          </c:val>
        </c:ser>
        <c:axId val="464548730"/>
        <c:axId val="121431442"/>
      </c:barChart>
      <c:catAx>
        <c:axId val="46454873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País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21431442"/>
      </c:catAx>
      <c:valAx>
        <c:axId val="12143144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464548730"/>
        <c:crosses val="max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sans-serif"/>
              </a:defRPr>
            </a:pPr>
            <a:r>
              <a:rPr b="0">
                <a:solidFill>
                  <a:srgbClr val="838383"/>
                </a:solidFill>
                <a:latin typeface="sans-serif"/>
              </a:rPr>
              <a:t>Normalización</a:t>
            </a:r>
          </a:p>
        </c:rich>
      </c:tx>
      <c:overlay val="0"/>
    </c:title>
    <c:plotArea>
      <c:layout/>
      <c:lineChart>
        <c:ser>
          <c:idx val="0"/>
          <c:order val="0"/>
          <c:tx>
            <c:v>Muertes por COVID</c:v>
          </c:tx>
          <c:spPr>
            <a:ln cmpd="sng" w="19050">
              <a:solidFill>
                <a:srgbClr val="47E78A"/>
              </a:solidFill>
            </a:ln>
          </c:spPr>
          <c:marker>
            <c:symbol val="none"/>
          </c:marker>
          <c:cat>
            <c:strRef>
              <c:f>'México CON'!$B$3:$B$83</c:f>
            </c:strRef>
          </c:cat>
          <c:val>
            <c:numRef>
              <c:f>'México CON'!$K$2:$K$83</c:f>
              <c:numCache/>
            </c:numRef>
          </c:val>
          <c:smooth val="1"/>
        </c:ser>
        <c:ser>
          <c:idx val="1"/>
          <c:order val="1"/>
          <c:tx>
            <c:v>Exceso de mortaliad</c:v>
          </c:tx>
          <c:spPr>
            <a:ln cmpd="sng" w="19050">
              <a:solidFill>
                <a:schemeClr val="accent2"/>
              </a:solidFill>
            </a:ln>
          </c:spPr>
          <c:marker>
            <c:symbol val="none"/>
          </c:marker>
          <c:dPt>
            <c:idx val="48"/>
            <c:marker>
              <c:symbol val="none"/>
            </c:marker>
          </c:dPt>
          <c:cat>
            <c:strRef>
              <c:f>'México CON'!$B$3:$B$83</c:f>
            </c:strRef>
          </c:cat>
          <c:val>
            <c:numRef>
              <c:f>'México CON'!$L$2:$L$83</c:f>
              <c:numCache/>
            </c:numRef>
          </c:val>
          <c:smooth val="1"/>
        </c:ser>
        <c:axId val="1910980549"/>
        <c:axId val="172965391"/>
      </c:lineChart>
      <c:catAx>
        <c:axId val="19109805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Tiempo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72965391"/>
      </c:catAx>
      <c:valAx>
        <c:axId val="1729653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910980549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sans-serif"/>
              </a:defRPr>
            </a:pPr>
            <a:r>
              <a:rPr b="0">
                <a:solidFill>
                  <a:srgbClr val="838383"/>
                </a:solidFill>
                <a:latin typeface="sans-serif"/>
              </a:rPr>
              <a:t>Acumulado</a:t>
            </a:r>
          </a:p>
        </c:rich>
      </c:tx>
      <c:overlay val="0"/>
    </c:title>
    <c:plotArea>
      <c:layout/>
      <c:lineChart>
        <c:ser>
          <c:idx val="0"/>
          <c:order val="0"/>
          <c:tx>
            <c:v>Muertes por COVID</c:v>
          </c:tx>
          <c:spPr>
            <a:ln cmpd="sng">
              <a:solidFill>
                <a:srgbClr val="47E78A"/>
              </a:solidFill>
            </a:ln>
          </c:spPr>
          <c:marker>
            <c:symbol val="none"/>
          </c:marker>
          <c:cat>
            <c:strRef>
              <c:f>'México CON'!$B$2:$B$83</c:f>
            </c:strRef>
          </c:cat>
          <c:val>
            <c:numRef>
              <c:f>'México CON'!$M$1:$M$83</c:f>
              <c:numCache/>
            </c:numRef>
          </c:val>
          <c:smooth val="1"/>
        </c:ser>
        <c:ser>
          <c:idx val="1"/>
          <c:order val="1"/>
          <c:tx>
            <c:v>Exceso de mortalidad</c:v>
          </c:tx>
          <c:spPr>
            <a:ln cmpd="sng">
              <a:solidFill>
                <a:srgbClr val="2D729D"/>
              </a:solidFill>
            </a:ln>
          </c:spPr>
          <c:marker>
            <c:symbol val="none"/>
          </c:marker>
          <c:cat>
            <c:strRef>
              <c:f>'México CON'!$B$2:$B$83</c:f>
            </c:strRef>
          </c:cat>
          <c:val>
            <c:numRef>
              <c:f>'México CON'!$N$1:$N$83</c:f>
              <c:numCache/>
            </c:numRef>
          </c:val>
          <c:smooth val="1"/>
        </c:ser>
        <c:axId val="1199455092"/>
        <c:axId val="1956727496"/>
      </c:lineChart>
      <c:catAx>
        <c:axId val="11994550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Tiempo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956727496"/>
      </c:catAx>
      <c:valAx>
        <c:axId val="19567274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199455092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sans-serif"/>
              </a:defRPr>
            </a:pPr>
            <a:r>
              <a:rPr b="0">
                <a:solidFill>
                  <a:srgbClr val="838383"/>
                </a:solidFill>
                <a:latin typeface="sans-serif"/>
              </a:rPr>
              <a:t>Normalización</a:t>
            </a:r>
          </a:p>
        </c:rich>
      </c:tx>
      <c:overlay val="0"/>
    </c:title>
    <c:plotArea>
      <c:layout/>
      <c:lineChart>
        <c:ser>
          <c:idx val="0"/>
          <c:order val="0"/>
          <c:tx>
            <c:v>Muertes por COVID</c:v>
          </c:tx>
          <c:spPr>
            <a:ln cmpd="sng" w="19050">
              <a:solidFill>
                <a:schemeClr val="accent1"/>
              </a:solidFill>
            </a:ln>
          </c:spPr>
          <c:marker>
            <c:symbol val="none"/>
          </c:marker>
          <c:dPt>
            <c:idx val="47"/>
            <c:marker>
              <c:symbol val="none"/>
            </c:marker>
          </c:dPt>
          <c:dPt>
            <c:idx val="57"/>
            <c:marker>
              <c:symbol val="none"/>
            </c:marker>
          </c:dPt>
          <c:dPt>
            <c:idx val="63"/>
            <c:marker>
              <c:symbol val="none"/>
            </c:marker>
          </c:dPt>
          <c:cat>
            <c:strRef>
              <c:f>'México CON'!$B$3:$B$83</c:f>
            </c:strRef>
          </c:cat>
          <c:val>
            <c:numRef>
              <c:f>'Peru CON'!$K$2:$K$89</c:f>
              <c:numCache/>
            </c:numRef>
          </c:val>
          <c:smooth val="1"/>
        </c:ser>
        <c:ser>
          <c:idx val="1"/>
          <c:order val="1"/>
          <c:tx>
            <c:v>Exceso de mortaliad</c:v>
          </c:tx>
          <c:spPr>
            <a:ln cmpd="sng" w="19050">
              <a:solidFill>
                <a:srgbClr val="E06666">
                  <a:alpha val="100000"/>
                </a:srgbClr>
              </a:solidFill>
            </a:ln>
          </c:spPr>
          <c:marker>
            <c:symbol val="none"/>
          </c:marker>
          <c:dPt>
            <c:idx val="48"/>
            <c:marker>
              <c:symbol val="none"/>
            </c:marker>
          </c:dPt>
          <c:cat>
            <c:strRef>
              <c:f>'México CON'!$B$3:$B$83</c:f>
            </c:strRef>
          </c:cat>
          <c:val>
            <c:numRef>
              <c:f>'Peru CON'!$L$2:$L$89</c:f>
              <c:numCache/>
            </c:numRef>
          </c:val>
          <c:smooth val="1"/>
        </c:ser>
        <c:axId val="9647725"/>
        <c:axId val="1045473671"/>
      </c:lineChart>
      <c:catAx>
        <c:axId val="96477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Tiempo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045473671"/>
      </c:catAx>
      <c:valAx>
        <c:axId val="10454736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9647725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99999"/>
                </a:solidFill>
                <a:latin typeface="sans-serif"/>
              </a:defRPr>
            </a:pPr>
            <a:r>
              <a:rPr b="0">
                <a:solidFill>
                  <a:srgbClr val="999999"/>
                </a:solidFill>
                <a:latin typeface="sans-serif"/>
              </a:rPr>
              <a:t>Acumulado</a:t>
            </a:r>
          </a:p>
        </c:rich>
      </c:tx>
      <c:overlay val="0"/>
    </c:title>
    <c:plotArea>
      <c:layout/>
      <c:lineChart>
        <c:ser>
          <c:idx val="0"/>
          <c:order val="0"/>
          <c:tx>
            <c:v>Muertes por COVID</c:v>
          </c:tx>
          <c:spPr>
            <a:ln cmpd="sng">
              <a:solidFill>
                <a:srgbClr val="47E78A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'Peru CON'!$B$2:$B$89</c:f>
            </c:strRef>
          </c:cat>
          <c:val>
            <c:numRef>
              <c:f>'Peru CON'!$M$1:$M$89</c:f>
              <c:numCache/>
            </c:numRef>
          </c:val>
          <c:smooth val="1"/>
        </c:ser>
        <c:ser>
          <c:idx val="1"/>
          <c:order val="1"/>
          <c:tx>
            <c:v>Exceso de mortalidad</c:v>
          </c:tx>
          <c:spPr>
            <a:ln cmpd="sng">
              <a:solidFill>
                <a:srgbClr val="E06666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'Peru CON'!$B$2:$B$89</c:f>
            </c:strRef>
          </c:cat>
          <c:val>
            <c:numRef>
              <c:f>'Peru CON'!$N$1:$N$89</c:f>
              <c:numCache/>
            </c:numRef>
          </c:val>
          <c:smooth val="1"/>
        </c:ser>
        <c:axId val="1594059844"/>
        <c:axId val="1040072358"/>
      </c:lineChart>
      <c:catAx>
        <c:axId val="15940598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Tiempo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040072358"/>
      </c:catAx>
      <c:valAx>
        <c:axId val="10400723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594059844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sans-serif"/>
              </a:defRPr>
            </a:pPr>
            <a:r>
              <a:rPr b="0">
                <a:solidFill>
                  <a:srgbClr val="838383"/>
                </a:solidFill>
                <a:latin typeface="sans-serif"/>
              </a:rPr>
              <a:t>Normalización</a:t>
            </a:r>
          </a:p>
        </c:rich>
      </c:tx>
      <c:overlay val="0"/>
    </c:title>
    <c:plotArea>
      <c:layout/>
      <c:lineChart>
        <c:ser>
          <c:idx val="0"/>
          <c:order val="0"/>
          <c:tx>
            <c:v>Muertes por COVID</c:v>
          </c:tx>
          <c:spPr>
            <a:ln cmpd="sng" w="19050">
              <a:solidFill>
                <a:srgbClr val="1155CC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'México CON'!$B$3:$B$83</c:f>
            </c:strRef>
          </c:cat>
          <c:val>
            <c:numRef>
              <c:f>'Chile CON'!$K$2:$K$85</c:f>
              <c:numCache/>
            </c:numRef>
          </c:val>
          <c:smooth val="1"/>
        </c:ser>
        <c:ser>
          <c:idx val="1"/>
          <c:order val="1"/>
          <c:tx>
            <c:v>Exceso de mortaliad</c:v>
          </c:tx>
          <c:spPr>
            <a:ln cmpd="sng" w="19050">
              <a:solidFill>
                <a:srgbClr val="E06666">
                  <a:alpha val="100000"/>
                </a:srgbClr>
              </a:solidFill>
            </a:ln>
          </c:spPr>
          <c:marker>
            <c:symbol val="none"/>
          </c:marker>
          <c:dPt>
            <c:idx val="48"/>
            <c:marker>
              <c:symbol val="none"/>
            </c:marker>
          </c:dPt>
          <c:cat>
            <c:strRef>
              <c:f>'México CON'!$B$3:$B$83</c:f>
            </c:strRef>
          </c:cat>
          <c:val>
            <c:numRef>
              <c:f>'Chile CON'!$L$2:$L$85</c:f>
              <c:numCache/>
            </c:numRef>
          </c:val>
          <c:smooth val="1"/>
        </c:ser>
        <c:axId val="1308447761"/>
        <c:axId val="421423852"/>
      </c:lineChart>
      <c:catAx>
        <c:axId val="13084477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Tiempo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421423852"/>
      </c:catAx>
      <c:valAx>
        <c:axId val="4214238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308447761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sans-serif"/>
              </a:defRPr>
            </a:pPr>
            <a:r>
              <a:rPr b="0">
                <a:solidFill>
                  <a:srgbClr val="838383"/>
                </a:solidFill>
                <a:latin typeface="sans-serif"/>
              </a:rPr>
              <a:t>Acumulado</a:t>
            </a:r>
          </a:p>
        </c:rich>
      </c:tx>
      <c:overlay val="0"/>
    </c:title>
    <c:plotArea>
      <c:layout/>
      <c:lineChart>
        <c:ser>
          <c:idx val="0"/>
          <c:order val="0"/>
          <c:tx>
            <c:v>Muertes por COVID</c:v>
          </c:tx>
          <c:spPr>
            <a:ln cmpd="sng">
              <a:solidFill>
                <a:srgbClr val="1155CC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'Chile CON'!$B$2:$B$85</c:f>
            </c:strRef>
          </c:cat>
          <c:val>
            <c:numRef>
              <c:f>'Chile CON'!$M$1:$M$85</c:f>
              <c:numCache/>
            </c:numRef>
          </c:val>
          <c:smooth val="1"/>
        </c:ser>
        <c:ser>
          <c:idx val="1"/>
          <c:order val="1"/>
          <c:tx>
            <c:v>Exceso de mortalidad</c:v>
          </c:tx>
          <c:spPr>
            <a:ln cmpd="sng">
              <a:solidFill>
                <a:srgbClr val="E06666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'Chile CON'!$B$2:$B$85</c:f>
            </c:strRef>
          </c:cat>
          <c:val>
            <c:numRef>
              <c:f>'Chile CON'!$N$1:$N$85</c:f>
              <c:numCache/>
            </c:numRef>
          </c:val>
          <c:smooth val="1"/>
        </c:ser>
        <c:axId val="1409916153"/>
        <c:axId val="1383386689"/>
      </c:lineChart>
      <c:catAx>
        <c:axId val="14099161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Tiempo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383386689"/>
      </c:catAx>
      <c:valAx>
        <c:axId val="13833866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409916153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sans-serif"/>
              </a:defRPr>
            </a:pPr>
            <a:r>
              <a:rPr b="0">
                <a:solidFill>
                  <a:srgbClr val="838383"/>
                </a:solidFill>
                <a:latin typeface="sans-serif"/>
              </a:rPr>
              <a:t>Normalización</a:t>
            </a:r>
          </a:p>
        </c:rich>
      </c:tx>
      <c:overlay val="0"/>
    </c:title>
    <c:plotArea>
      <c:layout/>
      <c:lineChart>
        <c:ser>
          <c:idx val="0"/>
          <c:order val="0"/>
          <c:tx>
            <c:v>Muertes por COVID</c:v>
          </c:tx>
          <c:spPr>
            <a:ln cmpd="sng">
              <a:solidFill>
                <a:srgbClr val="BF9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'Colombia CON'!$B$2:$B$70</c:f>
            </c:strRef>
          </c:cat>
          <c:val>
            <c:numRef>
              <c:f>'Colombia CON'!$K$1:$K$70</c:f>
              <c:numCache/>
            </c:numRef>
          </c:val>
          <c:smooth val="1"/>
        </c:ser>
        <c:ser>
          <c:idx val="1"/>
          <c:order val="1"/>
          <c:tx>
            <c:v>Exceso de mortalidad</c:v>
          </c:tx>
          <c:spPr>
            <a:ln cmpd="sng">
              <a:solidFill>
                <a:srgbClr val="1155CC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'Colombia CON'!$B$2:$B$70</c:f>
            </c:strRef>
          </c:cat>
          <c:val>
            <c:numRef>
              <c:f>'Colombia CON'!$L$1:$L$70</c:f>
              <c:numCache/>
            </c:numRef>
          </c:val>
          <c:smooth val="1"/>
        </c:ser>
        <c:axId val="2092117557"/>
        <c:axId val="1485826020"/>
      </c:lineChart>
      <c:catAx>
        <c:axId val="20921175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Tiempo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485826020"/>
      </c:catAx>
      <c:valAx>
        <c:axId val="14858260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2092117557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sans-serif"/>
              </a:defRPr>
            </a:pPr>
            <a:r>
              <a:rPr b="0">
                <a:solidFill>
                  <a:srgbClr val="838383"/>
                </a:solidFill>
                <a:latin typeface="sans-serif"/>
              </a:rPr>
              <a:t>Acumulado</a:t>
            </a:r>
          </a:p>
        </c:rich>
      </c:tx>
      <c:overlay val="0"/>
    </c:title>
    <c:plotArea>
      <c:layout/>
      <c:lineChart>
        <c:ser>
          <c:idx val="0"/>
          <c:order val="0"/>
          <c:tx>
            <c:v>Muertes por COVID</c:v>
          </c:tx>
          <c:spPr>
            <a:ln cmpd="sng">
              <a:solidFill>
                <a:srgbClr val="BF9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'Colombia CON'!$B$2:$B$70</c:f>
            </c:strRef>
          </c:cat>
          <c:val>
            <c:numRef>
              <c:f>'Colombia CON'!$M$2:$M$70</c:f>
              <c:numCache/>
            </c:numRef>
          </c:val>
          <c:smooth val="1"/>
        </c:ser>
        <c:ser>
          <c:idx val="1"/>
          <c:order val="1"/>
          <c:tx>
            <c:v>Exceso de mortalidad</c:v>
          </c:tx>
          <c:spPr>
            <a:ln cmpd="sng">
              <a:solidFill>
                <a:srgbClr val="1155CC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'Colombia CON'!$B$2:$B$70</c:f>
            </c:strRef>
          </c:cat>
          <c:val>
            <c:numRef>
              <c:f>'Colombia CON'!$N$2:$N$70</c:f>
              <c:numCache/>
            </c:numRef>
          </c:val>
          <c:smooth val="1"/>
        </c:ser>
        <c:axId val="1259037684"/>
        <c:axId val="1987465409"/>
      </c:lineChart>
      <c:catAx>
        <c:axId val="12590376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Tiempo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987465409"/>
      </c:catAx>
      <c:valAx>
        <c:axId val="19874654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1A1A1A"/>
                    </a:solidFill>
                    <a:latin typeface="sans-serif"/>
                  </a:defRPr>
                </a:pPr>
                <a:r>
                  <a:rPr b="1">
                    <a:solidFill>
                      <a:srgbClr val="1A1A1A"/>
                    </a:solidFill>
                    <a:latin typeface="sans-serif"/>
                  </a:rPr>
                  <a:t>Tasa por 100,000 habitantes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sans-serif"/>
              </a:defRPr>
            </a:pPr>
          </a:p>
        </c:txPr>
        <c:crossAx val="1259037684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sans-serif"/>
            </a:defRPr>
          </a:pPr>
        </a:p>
      </c:txPr>
    </c:legend>
    <c:plotVisOnly val="1"/>
  </c:chart>
  <c:spPr>
    <a:solidFill>
      <a:srgbClr val="FFFFFF"/>
    </a:solidFill>
  </c:spPr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1" Type="http://schemas.openxmlformats.org/officeDocument/2006/relationships/chart" Target="../charts/chart14.xml"/><Relationship Id="rId10" Type="http://schemas.openxmlformats.org/officeDocument/2006/relationships/chart" Target="../charts/chart13.xml"/><Relationship Id="rId13" Type="http://schemas.openxmlformats.org/officeDocument/2006/relationships/image" Target="../media/image3.png"/><Relationship Id="rId12" Type="http://schemas.openxmlformats.org/officeDocument/2006/relationships/image" Target="../media/image1.png"/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5" Type="http://schemas.openxmlformats.org/officeDocument/2006/relationships/image" Target="../media/image2.png"/><Relationship Id="rId14" Type="http://schemas.openxmlformats.org/officeDocument/2006/relationships/image" Target="../media/image4.png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7" Type="http://schemas.openxmlformats.org/officeDocument/2006/relationships/chart" Target="../charts/chart10.xml"/><Relationship Id="rId8" Type="http://schemas.openxmlformats.org/officeDocument/2006/relationships/chart" Target="../charts/chart11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</xdr:colOff>
      <xdr:row>6</xdr:row>
      <xdr:rowOff>66675</xdr:rowOff>
    </xdr:from>
    <xdr:ext cx="5715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1333500</xdr:colOff>
      <xdr:row>6</xdr:row>
      <xdr:rowOff>66675</xdr:rowOff>
    </xdr:from>
    <xdr:ext cx="5715000" cy="353377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123825</xdr:colOff>
      <xdr:row>24</xdr:row>
      <xdr:rowOff>142875</xdr:rowOff>
    </xdr:from>
    <xdr:ext cx="5715000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904875</xdr:colOff>
      <xdr:row>1</xdr:row>
      <xdr:rowOff>0</xdr:rowOff>
    </xdr:from>
    <xdr:ext cx="5715000" cy="35337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952500</xdr:colOff>
      <xdr:row>1</xdr:row>
      <xdr:rowOff>0</xdr:rowOff>
    </xdr:from>
    <xdr:ext cx="5715000" cy="35337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904875</xdr:colOff>
      <xdr:row>20</xdr:row>
      <xdr:rowOff>28575</xdr:rowOff>
    </xdr:from>
    <xdr:ext cx="5715000" cy="35337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</xdr:col>
      <xdr:colOff>952500</xdr:colOff>
      <xdr:row>20</xdr:row>
      <xdr:rowOff>28575</xdr:rowOff>
    </xdr:from>
    <xdr:ext cx="5715000" cy="353377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952500</xdr:colOff>
      <xdr:row>39</xdr:row>
      <xdr:rowOff>114300</xdr:rowOff>
    </xdr:from>
    <xdr:ext cx="5715000" cy="353377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904875</xdr:colOff>
      <xdr:row>39</xdr:row>
      <xdr:rowOff>114300</xdr:rowOff>
    </xdr:from>
    <xdr:ext cx="5715000" cy="353377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</xdr:col>
      <xdr:colOff>952500</xdr:colOff>
      <xdr:row>59</xdr:row>
      <xdr:rowOff>57150</xdr:rowOff>
    </xdr:from>
    <xdr:ext cx="5715000" cy="3533775"/>
    <xdr:graphicFrame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7</xdr:col>
      <xdr:colOff>904875</xdr:colOff>
      <xdr:row>59</xdr:row>
      <xdr:rowOff>57150</xdr:rowOff>
    </xdr:from>
    <xdr:ext cx="5715000" cy="3533775"/>
    <xdr:graphicFrame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1</xdr:col>
      <xdr:colOff>952500</xdr:colOff>
      <xdr:row>79</xdr:row>
      <xdr:rowOff>28575</xdr:rowOff>
    </xdr:from>
    <xdr:ext cx="5715000" cy="3533775"/>
    <xdr:graphicFrame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</xdr:col>
      <xdr:colOff>952500</xdr:colOff>
      <xdr:row>98</xdr:row>
      <xdr:rowOff>57150</xdr:rowOff>
    </xdr:from>
    <xdr:ext cx="5715000" cy="3533775"/>
    <xdr:graphicFrame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7</xdr:col>
      <xdr:colOff>904875</xdr:colOff>
      <xdr:row>79</xdr:row>
      <xdr:rowOff>28575</xdr:rowOff>
    </xdr:from>
    <xdr:ext cx="5715000" cy="3533775"/>
    <xdr:graphicFrame>
      <xdr:nvGraphicFramePr>
        <xdr:cNvPr id="14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1</xdr:col>
      <xdr:colOff>123825</xdr:colOff>
      <xdr:row>2</xdr:row>
      <xdr:rowOff>66675</xdr:rowOff>
    </xdr:from>
    <xdr:ext cx="619125" cy="352425"/>
    <xdr:pic>
      <xdr:nvPicPr>
        <xdr:cNvPr id="0" name="image1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20</xdr:row>
      <xdr:rowOff>38100</xdr:rowOff>
    </xdr:from>
    <xdr:ext cx="619125" cy="419100"/>
    <xdr:pic>
      <xdr:nvPicPr>
        <xdr:cNvPr id="0" name="image3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40</xdr:row>
      <xdr:rowOff>85725</xdr:rowOff>
    </xdr:from>
    <xdr:ext cx="619125" cy="419100"/>
    <xdr:pic>
      <xdr:nvPicPr>
        <xdr:cNvPr id="0" name="image4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60</xdr:row>
      <xdr:rowOff>85725</xdr:rowOff>
    </xdr:from>
    <xdr:ext cx="619125" cy="419100"/>
    <xdr:pic>
      <xdr:nvPicPr>
        <xdr:cNvPr id="0" name="image2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47625</xdr:colOff>
      <xdr:row>1</xdr:row>
      <xdr:rowOff>0</xdr:rowOff>
    </xdr:from>
    <xdr:ext cx="5715000" cy="3533775"/>
    <xdr:graphicFrame>
      <xdr:nvGraphicFramePr>
        <xdr:cNvPr id="15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47625</xdr:colOff>
      <xdr:row>19</xdr:row>
      <xdr:rowOff>38100</xdr:rowOff>
    </xdr:from>
    <xdr:ext cx="5715000" cy="3533775"/>
    <xdr:graphicFrame>
      <xdr:nvGraphicFramePr>
        <xdr:cNvPr id="16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123825</xdr:colOff>
      <xdr:row>1</xdr:row>
      <xdr:rowOff>0</xdr:rowOff>
    </xdr:from>
    <xdr:ext cx="5715000" cy="3533775"/>
    <xdr:graphicFrame>
      <xdr:nvGraphicFramePr>
        <xdr:cNvPr id="17" name="Chart 1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123825</xdr:colOff>
      <xdr:row>19</xdr:row>
      <xdr:rowOff>47625</xdr:rowOff>
    </xdr:from>
    <xdr:ext cx="5715000" cy="3533775"/>
    <xdr:graphicFrame>
      <xdr:nvGraphicFramePr>
        <xdr:cNvPr id="18" name="Chart 1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38100</xdr:colOff>
      <xdr:row>1</xdr:row>
      <xdr:rowOff>0</xdr:rowOff>
    </xdr:from>
    <xdr:ext cx="5715000" cy="3533775"/>
    <xdr:graphicFrame>
      <xdr:nvGraphicFramePr>
        <xdr:cNvPr id="19" name="Chart 1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38100</xdr:colOff>
      <xdr:row>19</xdr:row>
      <xdr:rowOff>47625</xdr:rowOff>
    </xdr:from>
    <xdr:ext cx="5715000" cy="3533775"/>
    <xdr:graphicFrame>
      <xdr:nvGraphicFramePr>
        <xdr:cNvPr id="20" name="Chart 2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47625</xdr:colOff>
      <xdr:row>1</xdr:row>
      <xdr:rowOff>0</xdr:rowOff>
    </xdr:from>
    <xdr:ext cx="5715000" cy="3533775"/>
    <xdr:graphicFrame>
      <xdr:nvGraphicFramePr>
        <xdr:cNvPr id="21" name="Chart 2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47625</xdr:colOff>
      <xdr:row>19</xdr:row>
      <xdr:rowOff>38100</xdr:rowOff>
    </xdr:from>
    <xdr:ext cx="5715000" cy="3533775"/>
    <xdr:graphicFrame>
      <xdr:nvGraphicFramePr>
        <xdr:cNvPr id="22" name="Chart 2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324" sheet="DATOS TablaDin"/>
  </cacheSource>
  <cacheFields>
    <cacheField name="País" numFmtId="0">
      <sharedItems>
        <s v="Mexico"/>
        <s v="Peru"/>
        <s v="Chile"/>
        <s v="Colombia"/>
      </sharedItems>
    </cacheField>
    <cacheField name="Fecha inicio" numFmtId="166">
      <sharedItems containsSemiMixedTypes="0" containsDate="1" containsString="0">
        <d v="2020-03-16T00:00:00Z"/>
        <d v="2020-03-23T00:00:00Z"/>
        <d v="2020-03-30T00:00:00Z"/>
        <d v="2020-04-06T00:00:00Z"/>
        <d v="2020-04-13T00:00:00Z"/>
        <d v="2020-04-20T00:00:00Z"/>
        <d v="2020-04-27T00:00:00Z"/>
        <d v="2020-05-04T00:00:00Z"/>
        <d v="2020-05-11T00:00:00Z"/>
        <d v="2020-05-18T00:00:00Z"/>
        <d v="2020-05-25T00:00:00Z"/>
        <d v="2020-06-01T00:00:00Z"/>
        <d v="2020-06-08T00:00:00Z"/>
        <d v="2020-06-15T00:00:00Z"/>
        <d v="2020-06-22T00:00:00Z"/>
        <d v="2020-06-29T00:00:00Z"/>
        <d v="2020-07-06T00:00:00Z"/>
        <d v="2020-07-13T00:00:00Z"/>
        <d v="2020-07-20T00:00:00Z"/>
        <d v="2020-07-27T00:00:00Z"/>
        <d v="2020-08-03T00:00:00Z"/>
        <d v="2020-08-10T00:00:00Z"/>
        <d v="2020-08-17T00:00:00Z"/>
        <d v="2020-08-24T00:00:00Z"/>
        <d v="2020-08-31T00:00:00Z"/>
        <d v="2020-09-07T00:00:00Z"/>
        <d v="2020-09-14T00:00:00Z"/>
        <d v="2020-09-21T00:00:00Z"/>
        <d v="2020-09-28T00:00:00Z"/>
        <d v="2020-10-05T00:00:00Z"/>
        <d v="2020-10-12T00:00:00Z"/>
        <d v="2020-10-19T00:00:00Z"/>
        <d v="2020-10-26T00:00:00Z"/>
        <d v="2020-11-02T00:00:00Z"/>
        <d v="2020-11-09T00:00:00Z"/>
        <d v="2020-11-16T00:00:00Z"/>
        <d v="2020-11-23T00:00:00Z"/>
        <d v="2020-11-30T00:00:00Z"/>
        <d v="2020-12-07T00:00:00Z"/>
        <d v="2020-12-14T00:00:00Z"/>
        <d v="2020-12-21T00:00:00Z"/>
        <d v="2020-12-28T00:00:00Z"/>
        <d v="2021-01-04T00:00:00Z"/>
        <d v="2021-01-11T00:00:00Z"/>
        <d v="2021-01-18T00:00:00Z"/>
        <d v="2021-01-25T00:00:00Z"/>
        <d v="2021-02-01T00:00:00Z"/>
        <d v="2021-02-08T00:00:00Z"/>
        <d v="2021-02-15T00:00:00Z"/>
        <d v="2021-02-22T00:00:00Z"/>
        <d v="2021-03-01T00:00:00Z"/>
        <d v="2021-03-08T00:00:00Z"/>
        <d v="2021-03-15T00:00:00Z"/>
        <d v="2021-03-22T00:00:00Z"/>
        <d v="2021-03-29T00:00:00Z"/>
        <d v="2021-04-05T00:00:00Z"/>
        <d v="2021-04-12T00:00:00Z"/>
        <d v="2021-04-19T00:00:00Z"/>
        <d v="2021-04-26T00:00:00Z"/>
        <d v="2021-05-03T00:00:00Z"/>
        <d v="2021-05-10T00:00:00Z"/>
        <d v="2021-05-17T00:00:00Z"/>
        <d v="2021-05-24T00:00:00Z"/>
        <d v="2021-05-31T00:00:00Z"/>
        <d v="2021-06-07T00:00:00Z"/>
        <d v="2021-06-14T00:00:00Z"/>
        <d v="2021-06-21T00:00:00Z"/>
        <d v="2021-06-28T00:00:00Z"/>
        <d v="2021-07-05T00:00:00Z"/>
        <d v="2021-07-12T00:00:00Z"/>
        <d v="2021-07-19T00:00:00Z"/>
        <d v="2021-07-26T00:00:00Z"/>
        <d v="2021-08-02T00:00:00Z"/>
        <d v="2021-08-09T00:00:00Z"/>
        <d v="2021-08-16T00:00:00Z"/>
        <d v="2021-08-23T00:00:00Z"/>
        <d v="2021-08-30T00:00:00Z"/>
        <d v="2021-09-06T00:00:00Z"/>
        <d v="2021-09-13T00:00:00Z"/>
        <d v="2021-09-20T00:00:00Z"/>
        <d v="2021-09-27T00:00:00Z"/>
        <d v="2021-10-04T00:00:00Z"/>
        <d v="2020-03-02T00:00:00Z"/>
        <d v="2020-03-09T00:00:00Z"/>
        <d v="2021-10-11T00:00:00Z"/>
        <d v="2021-10-18T00:00:00Z"/>
        <d v="2021-10-25T00:00:00Z"/>
        <d v="2021-11-01T00:00:00Z"/>
      </sharedItems>
    </cacheField>
    <cacheField name="Fecha fin" numFmtId="165">
      <sharedItems containsSemiMixedTypes="0" containsDate="1" containsString="0">
        <d v="2020-03-22T00:00:00Z"/>
        <d v="2020-03-29T00:00:00Z"/>
        <d v="2020-04-05T00:00:00Z"/>
        <d v="2020-04-12T00:00:00Z"/>
        <d v="2020-04-19T00:00:00Z"/>
        <d v="2020-04-26T00:00:00Z"/>
        <d v="2020-05-03T00:00:00Z"/>
        <d v="2020-05-10T00:00:00Z"/>
        <d v="2020-05-17T00:00:00Z"/>
        <d v="2020-05-24T00:00:00Z"/>
        <d v="2020-05-31T00:00:00Z"/>
        <d v="2020-06-07T00:00:00Z"/>
        <d v="2020-06-14T00:00:00Z"/>
        <d v="2020-06-21T00:00:00Z"/>
        <d v="2020-06-28T00:00:00Z"/>
        <d v="2020-07-05T00:00:00Z"/>
        <d v="2020-07-12T00:00:00Z"/>
        <d v="2020-07-19T00:00:00Z"/>
        <d v="2020-07-26T00:00:00Z"/>
        <d v="2020-08-02T00:00:00Z"/>
        <d v="2020-08-09T00:00:00Z"/>
        <d v="2020-08-16T00:00:00Z"/>
        <d v="2020-08-23T00:00:00Z"/>
        <d v="2020-08-30T00:00:00Z"/>
        <d v="2020-09-06T00:00:00Z"/>
        <d v="2020-09-13T00:00:00Z"/>
        <d v="2020-09-20T00:00:00Z"/>
        <d v="2020-09-27T00:00:00Z"/>
        <d v="2020-10-04T00:00:00Z"/>
        <d v="2020-10-11T00:00:00Z"/>
        <d v="2020-10-18T00:00:00Z"/>
        <d v="2020-10-25T00:00:00Z"/>
        <d v="2020-11-01T00:00:00Z"/>
        <d v="2020-11-08T00:00:00Z"/>
        <d v="2020-11-15T00:00:00Z"/>
        <d v="2020-11-22T00:00:00Z"/>
        <d v="2020-11-29T00:00:00Z"/>
        <d v="2020-12-06T00:00:00Z"/>
        <d v="2020-12-13T00:00:00Z"/>
        <d v="2020-12-20T00:00:00Z"/>
        <d v="2020-12-27T00:00:00Z"/>
        <d v="2021-01-03T00:00:00Z"/>
        <d v="2021-01-10T00:00:00Z"/>
        <d v="2021-01-17T00:00:00Z"/>
        <d v="2021-01-24T00:00:00Z"/>
        <d v="2021-01-31T00:00:00Z"/>
        <d v="2021-02-07T00:00:00Z"/>
        <d v="2021-02-14T00:00:00Z"/>
        <d v="2021-02-21T00:00:00Z"/>
        <d v="2021-02-28T00:00:00Z"/>
        <d v="2021-03-07T00:00:00Z"/>
        <d v="2021-03-14T00:00:00Z"/>
        <d v="2021-03-21T00:00:00Z"/>
        <d v="2021-03-28T00:00:00Z"/>
        <d v="2021-04-04T00:00:00Z"/>
        <d v="2021-04-11T00:00:00Z"/>
        <d v="2021-04-18T00:00:00Z"/>
        <d v="2021-04-25T00:00:00Z"/>
        <d v="2021-05-02T00:00:00Z"/>
        <d v="2021-05-09T00:00:00Z"/>
        <d v="2021-05-16T00:00:00Z"/>
        <d v="2021-05-23T00:00:00Z"/>
        <d v="2021-05-30T00:00:00Z"/>
        <d v="2021-06-06T00:00:00Z"/>
        <d v="2021-06-13T00:00:00Z"/>
        <d v="2021-06-20T00:00:00Z"/>
        <d v="2021-06-27T00:00:00Z"/>
        <d v="2021-07-04T00:00:00Z"/>
        <d v="2021-07-11T00:00:00Z"/>
        <d v="2021-07-18T00:00:00Z"/>
        <d v="2021-07-25T00:00:00Z"/>
        <d v="2021-08-01T00:00:00Z"/>
        <d v="2021-08-08T00:00:00Z"/>
        <d v="2021-08-15T00:00:00Z"/>
        <d v="2021-08-22T00:00:00Z"/>
        <d v="2021-08-29T00:00:00Z"/>
        <d v="2021-09-05T00:00:00Z"/>
        <d v="2021-09-12T00:00:00Z"/>
        <d v="2021-09-19T00:00:00Z"/>
        <d v="2021-09-26T00:00:00Z"/>
        <d v="2021-10-03T00:00:00Z"/>
        <d v="2021-10-10T00:00:00Z"/>
        <d v="2020-03-08T00:00:00Z"/>
        <d v="2020-03-15T00:00:00Z"/>
        <d v="2021-10-17T00:00:00Z"/>
        <d v="2021-10-24T00:00:00Z"/>
        <d v="2021-10-31T00:00:00Z"/>
        <d v="2021-11-07T00:00:00Z"/>
      </sharedItems>
    </cacheField>
    <cacheField name="Semana" numFmtId="0">
      <sharedItems containsSemiMixedTypes="0" containsString="0" containsNumber="1" containsInteger="1"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1.0"/>
        <n v="2.0"/>
        <n v="3.0"/>
        <n v="4.0"/>
        <n v="5.0"/>
        <n v="6.0"/>
        <n v="7.0"/>
        <n v="8.0"/>
        <n v="9.0"/>
        <n v="10.0"/>
        <n v="11.0"/>
      </sharedItems>
    </cacheField>
    <cacheField name="Total muertes reportadas" numFmtId="0">
      <sharedItems containsSemiMixedTypes="0" containsString="0" containsNumber="1" containsInteger="1">
        <n v="13187.0"/>
        <n v="13698.0"/>
        <n v="13533.0"/>
        <n v="14030.0"/>
        <n v="14993.0"/>
        <n v="17068.0"/>
        <n v="18811.0"/>
        <n v="20622.0"/>
        <n v="22313.0"/>
        <n v="23231.0"/>
        <n v="23167.0"/>
        <n v="24121.0"/>
        <n v="24719.0"/>
        <n v="24945.0"/>
        <n v="24718.0"/>
        <n v="25495.0"/>
        <n v="26446.0"/>
        <n v="25733.0"/>
        <n v="24795.0"/>
        <n v="23817.0"/>
        <n v="22666.0"/>
        <n v="21725.0"/>
        <n v="20837.0"/>
        <n v="20156.0"/>
        <n v="19490.0"/>
        <n v="18805.0"/>
        <n v="18933.0"/>
        <n v="18484.0"/>
        <n v="18834.0"/>
        <n v="18815.0"/>
        <n v="19567.0"/>
        <n v="20224.0"/>
        <n v="21326.0"/>
        <n v="21619.0"/>
        <n v="22294.0"/>
        <n v="22534.0"/>
        <n v="23495.0"/>
        <n v="25342.0"/>
        <n v="26560.0"/>
        <n v="29609.0"/>
        <n v="32637.0"/>
        <n v="36287.0"/>
        <n v="43427.0"/>
        <n v="44667.0"/>
        <n v="36617.0"/>
        <n v="31825.0"/>
        <n v="26858.0"/>
        <n v="25330.0"/>
        <n v="24010.0"/>
        <n v="20488.0"/>
        <n v="19752.0"/>
        <n v="18508.0"/>
        <n v="17801.0"/>
        <n v="16992.0"/>
        <n v="17364.0"/>
        <n v="16927.0"/>
        <n v="16037.0"/>
        <n v="15511.0"/>
        <n v="15125.0"/>
        <n v="14734.0"/>
        <n v="14264.0"/>
        <n v="14358.0"/>
        <n v="13943.0"/>
        <n v="14140.0"/>
        <n v="14261.0"/>
        <n v="14323.0"/>
        <n v="14582.0"/>
        <n v="15444.0"/>
        <n v="16410.0"/>
        <n v="18342.0"/>
        <n v="20721.0"/>
        <n v="23457.0"/>
        <n v="25423.0"/>
        <n v="26786.0"/>
        <n v="25778.0"/>
        <n v="25052.0"/>
        <n v="23022.0"/>
        <n v="21506.0"/>
        <n v="19587.0"/>
        <n v="17718.0"/>
        <n v="15572.0"/>
        <n v="2409.0"/>
        <n v="2469.0"/>
        <n v="2185.0"/>
        <n v="2150.0"/>
        <n v="2390.0"/>
        <n v="2514.0"/>
        <n v="3096.0"/>
        <n v="3881.0"/>
        <n v="4752.0"/>
        <n v="5451.0"/>
        <n v="5967.0"/>
        <n v="6347.0"/>
        <n v="6554.0"/>
        <n v="6647.0"/>
        <n v="6725.0"/>
        <n v="6593.0"/>
        <n v="6159.0"/>
        <n v="6237.0"/>
        <n v="6493.0"/>
        <n v="6763.0"/>
        <n v="6778.0"/>
        <n v="6918.0"/>
        <n v="7120.0"/>
        <n v="6717.0"/>
        <n v="6128.0"/>
        <n v="5578.0"/>
        <n v="4730.0"/>
        <n v="4275.0"/>
        <n v="3885.0"/>
        <n v="3483.0"/>
        <n v="3235.0"/>
        <n v="3147.0"/>
        <n v="3001.0"/>
        <n v="2961.0"/>
        <n v="2794.0"/>
        <n v="2861.0"/>
        <n v="2850.0"/>
        <n v="2755.0"/>
        <n v="2635.0"/>
        <n v="2800.0"/>
        <n v="2964.0"/>
        <n v="3151.0"/>
        <n v="3253.0"/>
        <n v="3502.0"/>
        <n v="3985.0"/>
        <n v="4638.0"/>
        <n v="5704.0"/>
        <n v="6707.0"/>
        <n v="7021.0"/>
        <n v="7687.0"/>
        <n v="7711.0"/>
        <n v="7393.0"/>
        <n v="7500.0"/>
        <n v="7379.0"/>
        <n v="7427.0"/>
        <n v="7570.0"/>
        <n v="7900.0"/>
        <n v="8468.0"/>
        <n v="8426.0"/>
        <n v="8246.0"/>
        <n v="7695.0"/>
        <n v="7171.0"/>
        <n v="6533.0"/>
        <n v="6053.0"/>
        <n v="5629.0"/>
        <n v="5291.0"/>
        <n v="4726.0"/>
        <n v="4333.0"/>
        <n v="4024.0"/>
        <n v="3816.0"/>
        <n v="3599.0"/>
        <n v="3333.0"/>
        <n v="3250.0"/>
        <n v="3164.0"/>
        <n v="3062.0"/>
        <n v="3112.0"/>
        <n v="2936.0"/>
        <n v="3107.0"/>
        <n v="2983.0"/>
        <n v="2887.0"/>
        <n v="2890.0"/>
        <n v="2945.0"/>
        <n v="2875.0"/>
        <n v="2951.0"/>
        <n v="2855.0"/>
        <n v="2831.0"/>
        <n v="2754.0"/>
        <n v="2834.0"/>
        <n v="2008.0"/>
        <n v="2006.0"/>
        <n v="2081.0"/>
        <n v="2010.0"/>
        <n v="2087.0"/>
        <n v="2095.0"/>
        <n v="2083.0"/>
        <n v="2342.0"/>
        <n v="2438.0"/>
        <n v="2933.0"/>
        <n v="3394.0"/>
        <n v="3899.0"/>
        <n v="3983.0"/>
        <n v="3732.0"/>
        <n v="3519.0"/>
        <n v="3070.0"/>
        <n v="2967.0"/>
        <n v="2814.0"/>
        <n v="2698.0"/>
        <n v="2653.0"/>
        <n v="2516.0"/>
        <n v="2431.0"/>
        <n v="2596.0"/>
        <n v="2479.0"/>
        <n v="2395.0"/>
        <n v="2405.0"/>
        <n v="2401.0"/>
        <n v="2364.0"/>
        <n v="2340.0"/>
        <n v="2396.0"/>
        <n v="2307.0"/>
        <n v="2304.0"/>
        <n v="2268.0"/>
        <n v="2239.0"/>
        <n v="2121.0"/>
        <n v="2184.0"/>
        <n v="2203.0"/>
        <n v="2174.0"/>
        <n v="2187.0"/>
        <n v="2155.0"/>
        <n v="2291.0"/>
        <n v="2236.0"/>
        <n v="2445.0"/>
        <n v="2701.0"/>
        <n v="2557.0"/>
        <n v="2633.0"/>
        <n v="2506.0"/>
        <n v="2502.0"/>
        <n v="2606.0"/>
        <n v="2661.0"/>
        <n v="2656.0"/>
        <n v="2550.0"/>
        <n v="2741.0"/>
        <n v="2833.0"/>
        <n v="2849.0"/>
        <n v="2897.0"/>
        <n v="2664.0"/>
        <n v="2786.0"/>
        <n v="2731.0"/>
        <n v="2766.0"/>
        <n v="3081.0"/>
        <n v="3014.0"/>
        <n v="3132.0"/>
        <n v="3180.0"/>
        <n v="3194.0"/>
        <n v="3326.0"/>
        <n v="3119.0"/>
        <n v="3042.0"/>
        <n v="2866.0"/>
        <n v="2745.0"/>
        <n v="2639.0"/>
        <n v="2625.0"/>
        <n v="2608.0"/>
        <n v="2357.0"/>
        <n v="2332.0"/>
        <n v="2394.0"/>
        <n v="2383.0"/>
        <n v="2354.0"/>
        <n v="2244.0"/>
        <n v="2316.0"/>
        <n v="2325.0"/>
        <n v="2112.0"/>
        <n v="4499.0"/>
        <n v="4337.0"/>
        <n v="4190.0"/>
        <n v="4255.0"/>
        <n v="4355.0"/>
        <n v="4328.0"/>
        <n v="4263.0"/>
        <n v="4469.0"/>
        <n v="4579.0"/>
        <n v="4701.0"/>
        <n v="4738.0"/>
        <n v="5153.0"/>
        <n v="5338.0"/>
        <n v="5778.0"/>
        <n v="6233.0"/>
        <n v="6739.0"/>
        <n v="7313.0"/>
        <n v="7702.0"/>
        <n v="8070.0"/>
        <n v="7888.0"/>
        <n v="7648.0"/>
        <n v="7152.0"/>
        <n v="6798.0"/>
        <n v="6570.0"/>
        <n v="6383.0"/>
        <n v="6240.0"/>
        <n v="6161.0"/>
        <n v="6019.0"/>
        <n v="6173.0"/>
        <n v="6190.0"/>
        <n v="6303.0"/>
        <n v="6080.0"/>
        <n v="6252.0"/>
        <n v="6119.0"/>
        <n v="6242.0"/>
        <n v="6266.0"/>
        <n v="6206.0"/>
        <n v="6640.0"/>
        <n v="6687.0"/>
        <n v="7203.0"/>
        <n v="7814.0"/>
        <n v="7964.0"/>
        <n v="8440.0"/>
        <n v="8479.0"/>
        <n v="7676.0"/>
        <n v="7029.0"/>
        <n v="6341.0"/>
        <n v="5915.0"/>
        <n v="5564.0"/>
        <n v="5562.0"/>
        <n v="5315.0"/>
        <n v="5569.0"/>
        <n v="5958.0"/>
        <n v="6473.0"/>
        <n v="7210.0"/>
        <n v="8775.0"/>
        <n v="8789.0"/>
        <n v="8882.0"/>
        <n v="8988.0"/>
        <n v="9058.0"/>
        <n v="9296.0"/>
        <n v="9767.0"/>
        <n v="10081.0"/>
        <n v="10451.0"/>
        <n v="10456.0"/>
        <n v="10240.0"/>
        <n v="9485.0"/>
      </sharedItems>
    </cacheField>
    <cacheField name="Total muertes reportadas por covid" numFmtId="0">
      <sharedItems containsSemiMixedTypes="0" containsString="0" containsNumber="1" containsInteger="1">
        <n v="3.0"/>
        <n v="17.0"/>
        <n v="74.0"/>
        <n v="202.0"/>
        <n v="390.0"/>
        <n v="665.0"/>
        <n v="803.0"/>
        <n v="1311.0"/>
        <n v="1712.0"/>
        <n v="2217.0"/>
        <n v="2536.0"/>
        <n v="3769.0"/>
        <n v="3442.0"/>
        <n v="4684.0"/>
        <n v="4823.0"/>
        <n v="3991.0"/>
        <n v="4367.0"/>
        <n v="4178.0"/>
        <n v="4496.0"/>
        <n v="4066.0"/>
        <n v="4552.0"/>
        <n v="4459.0"/>
        <n v="3723.0"/>
        <n v="3678.0"/>
        <n v="3400.0"/>
        <n v="3263.0"/>
        <n v="2672.0"/>
        <n v="2937.0"/>
        <n v="2658.0"/>
        <n v="4693.0"/>
        <n v="2386.0"/>
        <n v="2757.0"/>
        <n v="2971.0"/>
        <n v="3132.0"/>
        <n v="3515.0"/>
        <n v="3134.0"/>
        <n v="3979.0"/>
        <n v="4062.0"/>
        <n v="4236.0"/>
        <n v="4249.0"/>
        <n v="4224.0"/>
        <n v="4787.0"/>
        <n v="6493.0"/>
        <n v="6998.0"/>
        <n v="8910.0"/>
        <n v="8922.0"/>
        <n v="7664.0"/>
        <n v="8007.0"/>
        <n v="5900.0"/>
        <n v="5608.0"/>
        <n v="4889.0"/>
        <n v="4106.0"/>
        <n v="3326.0"/>
        <n v="3587.0"/>
        <n v="2524.0"/>
        <n v="5191.0"/>
        <n v="3001.0"/>
        <n v="2608.0"/>
        <n v="2286.0"/>
        <n v="1752.0"/>
        <n v="1452.0"/>
        <n v="1210.0"/>
        <n v="1860.0"/>
        <n v="1025.0"/>
        <n v="1346.0"/>
        <n v="1037.0"/>
        <n v="1377.0"/>
        <n v="1058.0"/>
        <n v="1347.0"/>
        <n v="1362.0"/>
        <n v="2093.0"/>
        <n v="2610.0"/>
        <n v="3386.0"/>
        <n v="3747.0"/>
        <n v="4988.0"/>
        <n v="5010.0"/>
        <n v="4975.0"/>
        <n v="4608.0"/>
        <n v="3755.0"/>
        <n v="3947.0"/>
        <n v="3142.0"/>
        <n v="3494.0"/>
        <n v="2.0"/>
        <n v="29.0"/>
        <n v="61.0"/>
        <n v="222.0"/>
        <n v="529.0"/>
        <n v="940.0"/>
        <n v="1702.0"/>
        <n v="2516.0"/>
        <n v="3254.0"/>
        <n v="3577.0"/>
        <n v="3809.0"/>
        <n v="4124.0"/>
        <n v="4176.0"/>
        <n v="4330.0"/>
        <n v="3530.0"/>
        <n v="3903.0"/>
        <n v="4901.0"/>
        <n v="3480.0"/>
        <n v="4376.0"/>
        <n v="4433.0"/>
        <n v="4322.0"/>
        <n v="3786.0"/>
        <n v="3401.0"/>
        <n v="2674.0"/>
        <n v="2214.0"/>
        <n v="1889.0"/>
        <n v="1591.0"/>
        <n v="1213.0"/>
        <n v="1170.0"/>
        <n v="978.0"/>
        <n v="860.0"/>
        <n v="772.0"/>
        <n v="739.0"/>
        <n v="730.0"/>
        <n v="646.0"/>
        <n v="661.0"/>
        <n v="686.0"/>
        <n v="747.0"/>
        <n v="816.0"/>
        <n v="880.0"/>
        <n v="1082.0"/>
        <n v="1401.0"/>
        <n v="2027.0"/>
        <n v="2907.0"/>
        <n v="3900.0"/>
        <n v="4052.0"/>
        <n v="4761.0"/>
        <n v="5122.0"/>
        <n v="4757.0"/>
        <n v="4737.0"/>
        <n v="4296.0"/>
        <n v="4741.0"/>
        <n v="4994.0"/>
        <n v="5157.0"/>
        <n v="5460.0"/>
        <n v="5356.0"/>
        <n v="5963.0"/>
        <n v="4914.0"/>
        <n v="4983.0"/>
        <n v="4093.0"/>
        <n v="3409.0"/>
        <n v="2786.0"/>
        <n v="2682.0"/>
        <n v="2635.0"/>
        <n v="1494.0"/>
        <n v="1382.0"/>
        <n v="1646.0"/>
        <n v="1157.0"/>
        <n v="759.0"/>
        <n v="744.0"/>
        <n v="548.0"/>
        <n v="512.0"/>
        <n v="443.0"/>
        <n v="486.0"/>
        <n v="236.0"/>
        <n v="373.0"/>
        <n v="276.0"/>
        <n v="302.0"/>
        <n v="226.0"/>
        <n v="193.0"/>
        <n v="190.0"/>
        <n v="168.0"/>
        <n v="209.0"/>
        <n v="194.0"/>
        <n v="184.0"/>
        <n v="1.0"/>
        <n v="6.0"/>
        <n v="27.0"/>
        <n v="46.0"/>
        <n v="53.0"/>
        <n v="56.0"/>
        <n v="71.0"/>
        <n v="52.0"/>
        <n v="138.0"/>
        <n v="268.0"/>
        <n v="336.0"/>
        <n v="583.0"/>
        <n v="1686.0"/>
        <n v="1156.0"/>
        <n v="1030.0"/>
        <n v="799.0"/>
        <n v="671.0"/>
        <n v="1524.0"/>
        <n v="609.0"/>
        <n v="496.0"/>
        <n v="469.0"/>
        <n v="375.0"/>
        <n v="400.0"/>
        <n v="392.0"/>
        <n v="348.0"/>
        <n v="357.0"/>
        <n v="337.0"/>
        <n v="355.0"/>
        <n v="338.0"/>
        <n v="339.0"/>
        <n v="317.0"/>
        <n v="309.0"/>
        <n v="303.0"/>
        <n v="296.0"/>
        <n v="250.0"/>
        <n v="287.0"/>
        <n v="272.0"/>
        <n v="258.0"/>
        <n v="289.0"/>
        <n v="324.0"/>
        <n v="329.0"/>
        <n v="381.0"/>
        <n v="456.0"/>
        <n v="519.0"/>
        <n v="522.0"/>
        <n v="567.0"/>
        <n v="501.0"/>
        <n v="530.0"/>
        <n v="505.0"/>
        <n v="597.0"/>
        <n v="605.0"/>
        <n v="475.0"/>
        <n v="890.0"/>
        <n v="702.0"/>
        <n v="831.0"/>
        <n v="679.0"/>
        <n v="705.0"/>
        <n v="657.0"/>
        <n v="614.0"/>
        <n v="650.0"/>
        <n v="769.0"/>
        <n v="770.0"/>
        <n v="806.0"/>
        <n v="785.0"/>
        <n v="805.0"/>
        <n v="774.0"/>
        <n v="637.0"/>
        <n v="502.0"/>
        <n v="488.0"/>
        <n v="364.0"/>
        <n v="270.0"/>
        <n v="235.0"/>
        <n v="205.0"/>
        <n v="142.0"/>
        <n v="127.0"/>
        <n v="81.0"/>
        <n v="54.0"/>
        <n v="70.0"/>
        <n v="45.0"/>
        <n v="60.0"/>
        <n v="8.0"/>
        <n v="25.0"/>
        <n v="65.0"/>
        <n v="96.0"/>
        <n v="123.0"/>
        <n v="111.0"/>
        <n v="153.0"/>
        <n v="212.0"/>
        <n v="320.0"/>
        <n v="408.0"/>
        <n v="570.0"/>
        <n v="941.0"/>
        <n v="886.0"/>
        <n v="1243.0"/>
        <n v="1429.0"/>
        <n v="1789.0"/>
        <n v="2125.0"/>
        <n v="2192.0"/>
        <n v="2255.0"/>
        <n v="2219.0"/>
        <n v="2047.0"/>
        <n v="2049.0"/>
        <n v="1512.0"/>
        <n v="1284.0"/>
        <n v="1280.0"/>
        <n v="1224.0"/>
        <n v="1122.0"/>
        <n v="1136.0"/>
        <n v="1184.0"/>
        <n v="1361.0"/>
        <n v="1276.0"/>
        <n v="1240.0"/>
        <n v="1256.0"/>
        <n v="1297.0"/>
        <n v="1245.0"/>
        <n v="1422.0"/>
        <n v="1696.0"/>
        <n v="1794.0"/>
        <n v="2149.0"/>
        <n v="2517.0"/>
        <n v="2743.0"/>
        <n v="2609.0"/>
        <n v="2010.0"/>
        <n v="1612.0"/>
        <n v="1229.0"/>
        <n v="932.0"/>
        <n v="737.0"/>
        <n v="640.0"/>
        <n v="885.0"/>
        <n v="927.0"/>
        <n v="1139.0"/>
        <n v="1795.0"/>
        <n v="2439.0"/>
        <n v="3023.0"/>
        <n v="3126.0"/>
        <n v="3377.0"/>
        <n v="3446.0"/>
        <n v="3424.0"/>
        <n v="3558.0"/>
        <n v="3679.0"/>
        <n v="3817.0"/>
        <n v="4156.0"/>
        <n v="4744.0"/>
        <n v="4218.0"/>
        <n v="3930.0"/>
      </sharedItems>
    </cacheField>
    <cacheField name="semana2" numFmtId="1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m/>
      </sharedItems>
    </cacheField>
    <cacheField name="Promedio CON COVID" numFmtId="1">
      <sharedItems containsString="0" containsBlank="1" containsNumber="1">
        <n v="36287.0"/>
        <n v="43427.0"/>
        <n v="44667.0"/>
        <n v="36617.0"/>
        <n v="31825.0"/>
        <n v="26858.0"/>
        <n v="25330.0"/>
        <n v="24010.0"/>
        <n v="20488.0"/>
        <n v="19752.0"/>
        <n v="18508.0"/>
        <n v="15494.0"/>
        <n v="15345.0"/>
        <n v="15448.5"/>
        <n v="15478.5"/>
        <n v="15515.0"/>
        <n v="16289.5"/>
        <n v="16968.0"/>
        <n v="17678.0"/>
        <n v="18288.5"/>
        <n v="18794.5"/>
        <n v="18555.0"/>
        <n v="19130.5"/>
        <n v="19490.0"/>
        <n v="19634.0"/>
        <n v="19650.0"/>
        <n v="20469.5"/>
        <n v="21428.0"/>
        <n v="22394.0"/>
        <n v="23227.0"/>
        <n v="24126.0"/>
        <n v="24620.0"/>
        <n v="24726.0"/>
        <n v="23751.5"/>
        <n v="22944.5"/>
        <n v="21589.0"/>
        <n v="20498.0"/>
        <n v="19196.0"/>
        <n v="18325.5"/>
        <n v="17028.0"/>
        <n v="18834.0"/>
        <n v="18815.0"/>
        <n v="19567.0"/>
        <n v="20224.0"/>
        <n v="21326.0"/>
        <n v="21619.0"/>
        <n v="22294.0"/>
        <n v="22534.0"/>
        <n v="23495.0"/>
        <n v="25342.0"/>
        <n v="26560.0"/>
        <n v="29609.0"/>
        <n v="32637.0"/>
        <m/>
        <n v="3985.0"/>
        <n v="4638.0"/>
        <n v="5704.0"/>
        <n v="6707.0"/>
        <n v="7021.0"/>
        <n v="7687.0"/>
        <n v="7711.0"/>
        <n v="7393.0"/>
        <n v="7500.0"/>
        <n v="4894.0"/>
        <n v="4948.0"/>
        <n v="4877.5"/>
        <n v="5025.0"/>
        <n v="5429.0"/>
        <n v="5470.0"/>
        <n v="5671.0"/>
        <n v="5788.0"/>
        <n v="5961.5"/>
        <n v="5992.0"/>
        <n v="6010.0"/>
        <n v="5988.0"/>
        <n v="5922.5"/>
        <n v="5686.5"/>
        <n v="5529.0"/>
        <n v="5308.5"/>
        <n v="4987.5"/>
        <n v="4918.0"/>
        <n v="4913.0"/>
        <n v="5006.5"/>
        <n v="4971.0"/>
        <n v="4990.0"/>
        <n v="5116.0"/>
        <n v="4826.5"/>
        <n v="4617.5"/>
        <n v="4280.5"/>
        <n v="3808.5"/>
        <n v="3582.5"/>
        <n v="3415.0"/>
        <n v="3483.0"/>
        <n v="3235.0"/>
        <n v="3147.0"/>
        <n v="3001.0"/>
        <n v="2961.0"/>
        <n v="2794.0"/>
        <n v="2861.0"/>
        <n v="2850.0"/>
        <n v="2755.0"/>
        <n v="2635.0"/>
        <n v="2800.0"/>
        <n v="2964.0"/>
        <n v="3151.0"/>
        <n v="3253.0"/>
        <n v="3502.0"/>
        <n v="2445.0"/>
        <n v="2438.0"/>
        <n v="2701.0"/>
        <n v="2557.0"/>
        <n v="2633.0"/>
        <n v="2506.0"/>
        <n v="2502.0"/>
        <n v="2606.0"/>
        <n v="2661.0"/>
        <n v="2656.0"/>
        <n v="2550.0"/>
        <n v="2374.5"/>
        <n v="2419.5"/>
        <n v="2465.0"/>
        <n v="2453.5"/>
        <n v="2375.5"/>
        <n v="2440.5"/>
        <n v="2407.0"/>
        <n v="2554.0"/>
        <n v="2687.0"/>
        <n v="3007.0"/>
        <n v="3204.0"/>
        <n v="3515.5"/>
        <n v="3581.5"/>
        <n v="3463.0"/>
        <n v="3422.5"/>
        <n v="3094.5"/>
        <n v="3004.5"/>
        <n v="2840.0"/>
        <n v="2721.5"/>
        <n v="2646.0"/>
        <n v="2570.5"/>
        <n v="2519.5"/>
        <n v="2476.5"/>
        <n v="2405.5"/>
        <n v="2394.5"/>
        <n v="2394.0"/>
        <n v="2377.5"/>
        <n v="2304.0"/>
        <n v="2328.0"/>
        <n v="2396.0"/>
        <n v="2307.0"/>
        <n v="2268.0"/>
        <n v="2239.0"/>
        <n v="2121.0"/>
        <n v="2184.0"/>
        <n v="2203.0"/>
        <n v="2174.0"/>
        <n v="2187.0"/>
        <n v="2155.0"/>
        <n v="2291.0"/>
        <n v="2236.0"/>
        <n v="7964.0"/>
        <n v="8440.0"/>
        <n v="8479.0"/>
        <n v="7676.0"/>
        <n v="7029.0"/>
        <n v="6341.0"/>
        <n v="5915.0"/>
        <n v="5564.0"/>
        <n v="5562.0"/>
        <n v="5315.0"/>
        <n v="5569.0"/>
        <n v="5228.5"/>
        <n v="5405.0"/>
        <n v="5700.0"/>
        <n v="6347.5"/>
        <n v="6565.0"/>
        <n v="6558.5"/>
        <n v="6572.5"/>
        <n v="6728.5"/>
        <n v="6818.5"/>
        <n v="6998.5"/>
        <n v="7252.5"/>
        <n v="7617.0"/>
        <n v="7894.5"/>
        <n v="8117.0"/>
        <n v="8184.0"/>
        <n v="7859.0"/>
        <n v="6739.0"/>
        <n v="7313.0"/>
        <n v="7702.0"/>
        <n v="8070.0"/>
        <n v="7888.0"/>
        <n v="7648.0"/>
        <n v="7152.0"/>
        <n v="6798.0"/>
        <n v="6570.0"/>
        <n v="6383.0"/>
        <n v="6240.0"/>
        <n v="6161.0"/>
        <n v="6019.0"/>
        <n v="6173.0"/>
        <n v="6190.0"/>
        <n v="6303.0"/>
        <n v="6080.0"/>
        <n v="6252.0"/>
        <n v="6119.0"/>
        <n v="6242.0"/>
        <n v="6266.0"/>
        <n v="6206.0"/>
        <n v="6640.0"/>
        <n v="6687.0"/>
        <n v="7203.0"/>
        <n v="7814.0"/>
      </sharedItems>
    </cacheField>
    <cacheField name="Promedio SIN COVID" numFmtId="1">
      <sharedItems containsString="0" containsBlank="1" containsNumber="1">
        <n v="15779.0"/>
        <n v="15680.0"/>
        <n v="15454.166666666666"/>
        <n v="15116.333333333334"/>
        <n v="15013.5"/>
        <n v="15106.833333333334"/>
        <n v="14724.666666666666"/>
        <n v="14427.666666666666"/>
        <n v="14143.833333333334"/>
        <n v="13855.666666666666"/>
        <n v="13595.666666666666"/>
        <n v="13468.6"/>
        <n v="13175.6"/>
        <n v="13256.6"/>
        <n v="12888.0"/>
        <n v="12754.0"/>
        <n v="12924.4"/>
        <n v="12848.0"/>
        <n v="12796.2"/>
        <n v="12867.6"/>
        <n v="13065.0"/>
        <n v="12669.0"/>
        <n v="12609.4"/>
        <n v="12455.2"/>
        <n v="12655.0"/>
        <n v="12446.2"/>
        <n v="12573.0"/>
        <n v="12572.2"/>
        <n v="12688.2"/>
        <n v="12744.4"/>
        <n v="12819.8"/>
        <n v="12543.6"/>
        <n v="12603.0"/>
        <n v="12428.6"/>
        <n v="12364.6"/>
        <n v="12485.6"/>
        <n v="12672.2"/>
        <n v="12831.2"/>
        <n v="12558.4"/>
        <n v="12874.8"/>
        <n v="12859.8"/>
        <n v="12933.8"/>
        <n v="12997.8"/>
        <n v="13231.4"/>
        <n v="13242.2"/>
        <n v="13420.2"/>
        <n v="13959.8"/>
        <n v="13789.6"/>
        <n v="13884.6"/>
        <n v="14539.8"/>
        <n v="14573.6"/>
        <n v="15430.0"/>
        <n v="14170.0"/>
        <m/>
        <n v="2054.5"/>
        <n v="2051.5"/>
        <n v="2030.75"/>
        <n v="2049.25"/>
        <n v="2092.25"/>
        <n v="2058.25"/>
        <n v="2086.0"/>
        <n v="2136.0"/>
        <n v="2197.0"/>
        <n v="2008.3333333333333"/>
        <n v="2051.6666666666665"/>
        <n v="1996.0"/>
        <n v="1960.0"/>
        <n v="1968.0"/>
        <n v="1896.3333333333333"/>
        <n v="1976.0"/>
        <n v="1899.6666666666667"/>
        <n v="1983.6666666666667"/>
        <n v="1911.0"/>
        <n v="1984.0"/>
        <n v="2034.0"/>
        <n v="2050.0"/>
        <n v="2135.0"/>
        <n v="2150.0"/>
        <n v="2223.3333333333335"/>
        <n v="2200.3333333333335"/>
        <n v="2240.0"/>
        <n v="2141.6666666666665"/>
        <n v="2199.6666666666665"/>
        <n v="2215.3333333333335"/>
        <n v="2182.6666666666665"/>
        <n v="2230.3333333333335"/>
        <n v="2123.0"/>
        <n v="2193.3333333333335"/>
        <n v="2168.0"/>
        <n v="2175.0"/>
        <n v="2213.3333333333335"/>
        <n v="2217.3333333333335"/>
        <n v="2151.6666666666665"/>
        <n v="2191.6666666666665"/>
        <n v="2233.0"/>
        <n v="2185.6666666666665"/>
        <n v="2205.0"/>
        <n v="2057.6666666666665"/>
        <n v="2082.6666666666665"/>
        <n v="2059.0"/>
        <n v="2088.6666666666665"/>
        <n v="2114.6666666666665"/>
        <n v="2100.6666666666665"/>
        <n v="2159.0"/>
        <n v="0.0"/>
        <n v="1967.2"/>
        <n v="1885.6"/>
        <n v="1926.0"/>
        <n v="1920.8"/>
        <n v="1925.8"/>
        <n v="1868.0"/>
        <n v="1848.4"/>
        <n v="1884.2"/>
        <n v="1802.8"/>
        <n v="1808.4"/>
        <n v="1821.8"/>
        <n v="1806.0"/>
        <n v="1841.5"/>
        <n v="1886.5"/>
        <n v="1951.5"/>
        <n v="1909.0"/>
        <n v="1984.5"/>
        <n v="1979.25"/>
        <n v="1955.5"/>
        <n v="2037.25"/>
        <n v="2176.5"/>
        <n v="2208.0"/>
        <n v="2310.75"/>
        <n v="2415.25"/>
        <n v="2425.5"/>
        <n v="2440.75"/>
        <n v="2390.0"/>
        <n v="2360.75"/>
        <n v="2424.75"/>
        <n v="2369.75"/>
        <n v="2344.0"/>
        <n v="2277.75"/>
        <n v="2245.0"/>
        <n v="2223.0"/>
        <n v="2155.0"/>
        <n v="2213.25"/>
        <n v="2154.25"/>
        <n v="2213.75"/>
        <n v="2122.5"/>
        <n v="2069.25"/>
        <n v="2005.5"/>
        <n v="1981.25"/>
        <n v="1958.0"/>
        <n v="1942.0"/>
        <n v="1946.5"/>
        <n v="1898.0"/>
        <n v="1942.25"/>
        <n v="1895.75"/>
        <n v="1850.25"/>
        <n v="1890.0"/>
        <n v="1883.75"/>
        <n v="1811.5"/>
        <n v="4853.333333333333"/>
        <n v="4660.666666666667"/>
        <n v="4653.166666666667"/>
        <n v="4519.5"/>
        <n v="4406.333333333333"/>
        <n v="4375.166666666667"/>
        <n v="4324.5"/>
        <n v="4307.333333333333"/>
        <n v="4312.0"/>
        <n v="4341.666666666667"/>
        <n v="4366.0"/>
        <n v="4296.8"/>
        <n v="4316.4"/>
        <n v="4278.0"/>
        <n v="4255.0"/>
        <n v="4262.8"/>
        <n v="4263.0"/>
        <n v="4331.2"/>
        <n v="4368.2"/>
        <n v="4518.8"/>
        <n v="4478.2"/>
        <n v="4485.0"/>
        <n v="4542.6"/>
        <n v="4514.8"/>
        <n v="4554.6"/>
        <n v="4592.0"/>
        <n v="4567.0"/>
        <n v="4543.6"/>
        <n v="4444.8"/>
        <n v="4322.2"/>
        <n v="4363.8"/>
        <n v="4442.8"/>
        <n v="4399.2"/>
        <n v="4336.0"/>
        <n v="4352.6"/>
        <n v="4348.4"/>
        <n v="4310.6"/>
        <n v="4372.2"/>
        <n v="4257.6"/>
        <n v="4307.2"/>
        <n v="4335.0"/>
        <n v="4321.4"/>
        <n v="4239.4"/>
        <n v="4357.2"/>
        <n v="4379.8"/>
        <n v="4391.4"/>
        <n v="4422.0"/>
        <n v="4471.6"/>
        <n v="4591.4"/>
        <n v="4597.2"/>
        <n v="4619.6"/>
        <n v="4794.2"/>
        <n v="4609.0"/>
      </sharedItems>
    </cacheField>
    <cacheField name="Exceso de mortalidad" numFmtId="1">
      <sharedItems containsSemiMixedTypes="0" containsString="0" containsNumber="1">
        <n v="-281.60000000000036"/>
        <n v="522.3999999999996"/>
        <n v="276.39999999999964"/>
        <n v="1142.0"/>
        <n v="2239.0"/>
        <n v="4143.6"/>
        <n v="5963.0"/>
        <n v="7825.799999999999"/>
        <n v="9445.4"/>
        <n v="10166.0"/>
        <n v="10498.0"/>
        <n v="11511.6"/>
        <n v="12263.8"/>
        <n v="12290.0"/>
        <n v="12271.8"/>
        <n v="12922.0"/>
        <n v="13873.8"/>
        <n v="13757.8"/>
        <n v="12988.6"/>
        <n v="11975.2"/>
        <n v="11273.4"/>
        <n v="10063.0"/>
        <n v="9296.4"/>
        <n v="8472.4"/>
        <n v="7670.4"/>
        <n v="6817.799999999999"/>
        <n v="5973.799999999999"/>
        <n v="6374.6"/>
        <n v="5609.200000000001"/>
        <n v="5974.200000000001"/>
        <n v="5881.200000000001"/>
        <n v="6569.200000000001"/>
        <n v="6992.6"/>
        <n v="8083.799999999999"/>
        <n v="8198.8"/>
        <n v="8334.2"/>
        <n v="8744.4"/>
        <n v="9610.4"/>
        <n v="10802.2"/>
        <n v="11986.4"/>
        <n v="14179.0"/>
        <n v="18467.0"/>
        <n v="20508.0"/>
        <n v="27747.0"/>
        <n v="29212.833333333336"/>
        <n v="21500.666666666664"/>
        <n v="16811.5"/>
        <n v="11751.166666666666"/>
        <n v="10605.333333333334"/>
        <n v="9582.333333333334"/>
        <n v="6344.166666666666"/>
        <n v="5896.333333333334"/>
        <n v="4912.333333333334"/>
        <n v="4332.4"/>
        <n v="3816.3999999999996"/>
        <n v="4107.4"/>
        <n v="4039.0"/>
        <n v="3283.0"/>
        <n v="2586.6000000000004"/>
        <n v="2277.0"/>
        <n v="1937.7999999999993"/>
        <n v="1396.3999999999996"/>
        <n v="1293.0"/>
        <n v="1274.0"/>
        <n v="1530.6000000000004"/>
        <n v="1805.7999999999993"/>
        <n v="1668.0"/>
        <n v="2135.7999999999993"/>
        <n v="2871.0"/>
        <n v="3837.7999999999993"/>
        <n v="5653.799999999999"/>
        <n v="7976.6"/>
        <n v="10637.2"/>
        <n v="12879.4"/>
        <n v="14183.0"/>
        <n v="13349.4"/>
        <n v="12687.4"/>
        <n v="10536.4"/>
        <n v="8833.8"/>
        <n v="6755.799999999999"/>
        <n v="5159.6"/>
        <n v="2697.2000000000007"/>
        <n v="400.66666666666674"/>
        <n v="417.3333333333335"/>
        <n v="189.0"/>
        <n v="190.0"/>
        <n v="422.0"/>
        <n v="617.6666666666667"/>
        <n v="1120.0"/>
        <n v="1981.3333333333333"/>
        <n v="2768.333333333333"/>
        <n v="3540.0"/>
        <n v="3983.0"/>
        <n v="4313.0"/>
        <n v="4504.0"/>
        <n v="4512.0"/>
        <n v="4575.0"/>
        <n v="4369.666666666666"/>
        <n v="3958.6666666666665"/>
        <n v="3997.0"/>
        <n v="4351.333333333334"/>
        <n v="4563.333333333334"/>
        <n v="4562.666666666666"/>
        <n v="4735.333333333334"/>
        <n v="4889.666666666666"/>
        <n v="4582.0"/>
        <n v="4005.0"/>
        <n v="3384.6666666666665"/>
        <n v="2562.0"/>
        <n v="2100.0"/>
        <n v="1671.6666666666665"/>
        <n v="1265.6666666666665"/>
        <n v="1083.3333333333335"/>
        <n v="955.3333333333335"/>
        <n v="768.0"/>
        <n v="775.3333333333335"/>
        <n v="589.0"/>
        <n v="693.0"/>
        <n v="792.3333333333335"/>
        <n v="672.3333333333335"/>
        <n v="576.0"/>
        <n v="711.3333333333335"/>
        <n v="849.3333333333335"/>
        <n v="1050.3333333333335"/>
        <n v="1094.0"/>
        <n v="3502.0"/>
        <n v="1930.5"/>
        <n v="2586.5"/>
        <n v="3673.25"/>
        <n v="4657.75"/>
        <n v="4928.75"/>
        <n v="5628.75"/>
        <n v="5625.0"/>
        <n v="5257.0"/>
        <n v="5303.0"/>
        <n v="5370.666666666667"/>
        <n v="5375.333333333334"/>
        <n v="5574.0"/>
        <n v="5940.0"/>
        <n v="6500.0"/>
        <n v="6529.666666666667"/>
        <n v="6270.0"/>
        <n v="5795.333333333333"/>
        <n v="5187.333333333333"/>
        <n v="4622.0"/>
        <n v="4069.0"/>
        <n v="3595.0"/>
        <n v="3241.0"/>
        <n v="2591.0"/>
        <n v="2183.0"/>
        <n v="1800.6666666666665"/>
        <n v="1615.6666666666665"/>
        <n v="1359.0"/>
        <n v="1191.3333333333335"/>
        <n v="948.6666666666665"/>
        <n v="879.3333333333335"/>
        <n v="881.6666666666665"/>
        <n v="801.0"/>
        <n v="984.0"/>
        <n v="789.6666666666665"/>
        <n v="719.0"/>
        <n v="715.0"/>
        <n v="731.6666666666665"/>
        <n v="657.6666666666665"/>
        <n v="799.3333333333335"/>
        <n v="663.3333333333335"/>
        <n v="598.0"/>
        <n v="568.3333333333335"/>
        <n v="629.0"/>
        <n v="202.0"/>
        <n v="164.5"/>
        <n v="194.5"/>
        <n v="58.5"/>
        <n v="178.0"/>
        <n v="110.5"/>
        <n v="103.75"/>
        <n v="386.5"/>
        <n v="400.75"/>
        <n v="756.5"/>
        <n v="1186.0"/>
        <n v="1588.25"/>
        <n v="1567.75"/>
        <n v="1306.5"/>
        <n v="1078.25"/>
        <n v="680.0"/>
        <n v="606.25"/>
        <n v="389.25"/>
        <n v="328.25"/>
        <n v="309.0"/>
        <n v="238.25"/>
        <n v="186.0"/>
        <n v="373.0"/>
        <n v="324.0"/>
        <n v="181.75"/>
        <n v="250.75"/>
        <n v="187.25"/>
        <n v="241.5"/>
        <n v="270.75"/>
        <n v="390.5"/>
        <n v="325.75"/>
        <n v="346.0"/>
        <n v="326.0"/>
        <n v="292.5"/>
        <n v="223.0"/>
        <n v="241.75"/>
        <n v="307.25"/>
        <n v="323.75"/>
        <n v="297.0"/>
        <n v="271.25"/>
        <n v="479.5"/>
        <n v="2236.0"/>
        <n v="477.79999999999995"/>
        <n v="552.4000000000001"/>
        <n v="775.0"/>
        <n v="636.2"/>
        <n v="707.2"/>
        <n v="638.0"/>
        <n v="653.5999999999999"/>
        <n v="721.8"/>
        <n v="858.2"/>
        <n v="847.5999999999999"/>
        <n v="728.2"/>
        <n v="935.0"/>
        <n v="991.5"/>
        <n v="962.5"/>
        <n v="945.5"/>
        <n v="755.0"/>
        <n v="801.5"/>
        <n v="751.75"/>
        <n v="810.5"/>
        <n v="898.75"/>
        <n v="904.5"/>
        <n v="806.0"/>
        <n v="821.25"/>
        <n v="764.75"/>
        <n v="768.5"/>
        <n v="885.25"/>
        <n v="729.0"/>
        <n v="681.25"/>
        <n v="441.25"/>
        <n v="375.25"/>
        <n v="295.0"/>
        <n v="347.25"/>
        <n v="363.0"/>
        <n v="134.0"/>
        <n v="177.0"/>
        <n v="180.75"/>
        <n v="228.75"/>
        <n v="140.25"/>
        <n v="121.5"/>
        <n v="246.75"/>
        <n v="319.5"/>
        <n v="130.75"/>
        <n v="202.19999999999982"/>
        <n v="20.600000000000364"/>
        <n v="-88.0"/>
        <n v="0.0"/>
        <n v="92.19999999999982"/>
        <n v="65.0"/>
        <n v="-68.19999999999982"/>
        <n v="100.80000000000018"/>
        <n v="60.19999999999982"/>
        <n v="222.80000000000018"/>
        <n v="253.0"/>
        <n v="610.3999999999996"/>
        <n v="823.1999999999998"/>
        <n v="1223.3999999999996"/>
        <n v="1536.0"/>
        <n v="1666.0"/>
        <n v="2195.3999999999996"/>
        <n v="2868.2"/>
        <n v="3379.8"/>
        <n v="3706.2"/>
        <n v="3445.2"/>
        <n v="3248.8"/>
        <n v="2816.0"/>
        <n v="2445.3999999999996"/>
        <n v="2221.6000000000004"/>
        <n v="2072.3999999999996"/>
        <n v="1867.8000000000002"/>
        <n v="1903.3999999999996"/>
        <n v="1711.8000000000002"/>
        <n v="1838.0"/>
        <n v="1868.6000000000004"/>
        <n v="2063.6000000000004"/>
        <n v="1722.8000000000002"/>
        <n v="1872.1999999999998"/>
        <n v="1727.6000000000004"/>
        <n v="1820.0"/>
        <n v="1794.3999999999996"/>
        <n v="1614.6000000000004"/>
        <n v="2042.8000000000002"/>
        <n v="2067.3999999999996"/>
        <n v="2408.8"/>
        <n v="3205.0"/>
        <n v="3110.666666666667"/>
        <n v="3779.333333333333"/>
        <n v="3825.833333333333"/>
        <n v="3156.5"/>
        <n v="2622.666666666667"/>
        <n v="1965.833333333333"/>
        <n v="1590.5"/>
        <n v="1256.666666666667"/>
        <n v="1250.0"/>
        <n v="973.333333333333"/>
        <n v="1203.0"/>
        <n v="1661.1999999999998"/>
        <n v="2156.6000000000004"/>
        <n v="2932.0"/>
        <n v="4185.0"/>
        <n v="4512.2"/>
        <n v="4526.0"/>
        <n v="4550.8"/>
        <n v="4619.8"/>
        <n v="4539.2"/>
        <n v="4817.8"/>
        <n v="5282.0"/>
        <n v="5538.4"/>
        <n v="5936.2"/>
        <n v="5901.4"/>
        <n v="5648.0"/>
        <n v="4918.0"/>
      </sharedItems>
    </cacheField>
    <cacheField name="Normalizar (TMxCovid)" numFmtId="167">
      <sharedItems containsSemiMixedTypes="0" containsString="0" containsNumber="1">
        <n v="0.002303046884967875"/>
        <n v="0.013050599014817959"/>
        <n v="0.056808489829207574"/>
        <n v="0.1550718235878369"/>
        <n v="0.2993960950458237"/>
        <n v="0.5105087261678789"/>
        <n v="0.6164488828764012"/>
        <n v="1.0064314887309613"/>
        <n v="1.3142720890216673"/>
        <n v="1.7019516479912593"/>
        <n v="1.9468423000928434"/>
        <n v="2.8933945698146397"/>
        <n v="2.6423624593531416"/>
        <n v="3.595823869729842"/>
        <n v="3.7025317087333534"/>
        <n v="3.063820039302263"/>
        <n v="3.3524685822182363"/>
        <n v="3.2073766284652603"/>
        <n v="3.451499598271855"/>
        <n v="3.1213962114264593"/>
        <n v="3.4944898067912553"/>
        <n v="3.423095353357251"/>
        <n v="2.8580811842451324"/>
        <n v="2.8235354809706146"/>
        <n v="2.6101198029635917"/>
        <n v="2.5049473285500583"/>
        <n v="2.051247092211387"/>
        <n v="2.2546829003835493"/>
        <n v="2.0404995400815373"/>
        <n v="3.6027330103847452"/>
        <n v="1.8316899558444497"/>
        <n v="2.116500087285477"/>
        <n v="2.2807840984131853"/>
        <n v="2.404380947906461"/>
        <n v="2.69840326688736"/>
        <n v="2.40591631249644"/>
        <n v="3.054607851762391"/>
        <n v="3.1183254822465023"/>
        <n v="3.2519022015746395"/>
        <n v="3.2618820714094996"/>
        <n v="3.242690014034768"/>
        <n v="3.674895146113739"/>
        <n v="4.984561141365471"/>
        <n v="5.3722407003350625"/>
        <n v="6.840049248354588"/>
        <n v="6.8492614358944595"/>
        <n v="5.883517108797931"/>
        <n v="6.146832135979258"/>
        <n v="4.52932554043682"/>
        <n v="4.305162310299948"/>
        <n v="3.7531987402026465"/>
        <n v="3.1521035032260314"/>
        <n v="2.553311313134384"/>
        <n v="2.753676392126589"/>
        <n v="1.937630112552972"/>
        <n v="3.9850387932894127"/>
        <n v="2.3038145672628643"/>
        <n v="2.0021154253320725"/>
        <n v="1.7549217263455206"/>
        <n v="1.344979380821239"/>
        <n v="1.1146746923244513"/>
        <n v="0.9288955769370428"/>
        <n v="1.4278890686800823"/>
        <n v="0.7868743523640239"/>
        <n v="1.0333003690555864"/>
        <n v="0.7960865399038954"/>
        <n v="1.0570985202002545"/>
        <n v="0.8122078680986705"/>
        <n v="1.0340680513505758"/>
        <n v="1.0455832857754153"/>
        <n v="1.6067590434125874"/>
        <n v="2.003650789922051"/>
        <n v="2.599372250833741"/>
        <n v="2.8765055593248756"/>
        <n v="3.8291992874065865"/>
        <n v="3.8460882978963506"/>
        <n v="3.8192194175717256"/>
        <n v="3.537480015310656"/>
        <n v="2.88264701768479"/>
        <n v="3.030042018322734"/>
        <n v="2.412057770856354"/>
        <n v="2.6822819386925847"/>
        <n v="0.005995308970496035"/>
        <n v="0.008992963455744053"/>
        <n v="0.08693198007219251"/>
        <n v="0.1828569236001291"/>
        <n v="0.6654792957250599"/>
        <n v="1.5857592226962014"/>
        <n v="2.8177952161331365"/>
        <n v="5.102007933892126"/>
        <n v="7.542098684884012"/>
        <n v="9.75436769499705"/>
        <n v="10.72261009373216"/>
        <n v="11.418065934309698"/>
        <n v="12.18846313701844"/>
        <n v="12.362327097162826"/>
        <n v="12.518205130395723"/>
        <n v="12.979843921123916"/>
        <n v="10.581720332925503"/>
        <n v="11.256192592106308"/>
        <n v="11.699845455923013"/>
        <n v="14.691504632200536"/>
        <n v="10.431837608663102"/>
        <n v="13.117736027445327"/>
        <n v="13.288602333104462"/>
        <n v="12.955862685241934"/>
        <n v="11.349119881148996"/>
        <n v="10.195022904328509"/>
        <n v="8.0157280935532"/>
        <n v="6.636807030339111"/>
        <n v="5.662569322633505"/>
        <n v="4.769268286029596"/>
        <n v="3.636154890605846"/>
        <n v="3.5072557477401807"/>
        <n v="2.9317060865725613"/>
        <n v="2.577982857313295"/>
        <n v="2.3141892626114697"/>
        <n v="2.215266664598285"/>
        <n v="2.188287774231053"/>
        <n v="1.9364847974702195"/>
        <n v="1.9814496147489395"/>
        <n v="2.05639097688014"/>
        <n v="2.2392479004802692"/>
        <n v="2.4460860599623824"/>
        <n v="2.6379359470182555"/>
        <n v="3.243462153038355"/>
        <n v="4.199713933832473"/>
        <n v="6.0762456415977315"/>
        <n v="8.714181588615988"/>
        <n v="11.690852492467268"/>
        <n v="12.146495974224967"/>
        <n v="14.271833004265812"/>
        <n v="15.353986273440345"/>
        <n v="14.25984238632482"/>
        <n v="14.19988929661986"/>
        <n v="12.877923668625483"/>
        <n v="14.211879914560852"/>
        <n v="14.9702864993286"/>
        <n v="15.458904180424028"/>
        <n v="16.367193489454177"/>
        <n v="16.055437422988383"/>
        <n v="17.87501369553393"/>
        <n v="14.73047414050876"/>
        <n v="14.937312299990872"/>
        <n v="12.269399808120138"/>
        <n v="10.219004140210492"/>
        <n v="8.351465395900977"/>
        <n v="8.039709329435183"/>
        <n v="7.898819568628526"/>
        <n v="4.4784958009605385"/>
        <n v="4.14275849861276"/>
        <n v="4.934139282718237"/>
        <n v="3.468286239431956"/>
        <n v="2.2752197543032455"/>
        <n v="2.2302549370245255"/>
        <n v="1.6427146579159138"/>
        <n v="1.5347990964469849"/>
        <n v="1.327960936964872"/>
        <n v="1.4568600798305367"/>
        <n v="0.7074464585185322"/>
        <n v="1.1181251229975104"/>
        <n v="0.8273526379284529"/>
        <n v="0.9052916545449015"/>
        <n v="0.6774699136660519"/>
        <n v="0.5785473156528674"/>
        <n v="0.5695543521971234"/>
        <n v="0.5036059535216669"/>
        <n v="0.6265097874168357"/>
        <n v="0.5815449701381155"/>
        <n v="0.5515684252856352"/>
        <n v="0.005204982083931169"/>
        <n v="0.03122989250358701"/>
        <n v="0.14053451626614158"/>
        <n v="0.2394291758608338"/>
        <n v="0.27586405044835194"/>
        <n v="0.29147899670014543"/>
        <n v="0.36955372795911295"/>
        <n v="0.2706590683644208"/>
        <n v="0.7182875275825014"/>
        <n v="1.3949351984935532"/>
        <n v="1.7488739802008728"/>
        <n v="3.034504554931871"/>
        <n v="8.77559979350795"/>
        <n v="6.016959289024431"/>
        <n v="5.361131546449104"/>
        <n v="4.158780685061004"/>
        <n v="3.4925429783178146"/>
        <n v="7.932392695911102"/>
        <n v="3.1698340891140817"/>
        <n v="2.58167111362986"/>
        <n v="2.4411365973637182"/>
        <n v="1.9518682814741883"/>
        <n v="2.0819928335724676"/>
        <n v="2.0403529769010182"/>
        <n v="1.8113337652080468"/>
        <n v="1.8581786039634272"/>
        <n v="1.7540789622848039"/>
        <n v="1.847768639795565"/>
        <n v="1.7592839443687351"/>
        <n v="1.7644889264526662"/>
        <n v="1.6499793206061806"/>
        <n v="1.6083394639347313"/>
        <n v="1.577109571431144"/>
        <n v="1.540674696843626"/>
        <n v="1.4365750551650027"/>
        <n v="1.3012455209827922"/>
        <n v="1.4938298580882454"/>
        <n v="1.4157551268292778"/>
        <n v="1.3428853776542415"/>
        <n v="1.5042398222561078"/>
        <n v="1.6864141951936986"/>
        <n v="1.7124391056133546"/>
        <n v="1.9830981739777755"/>
        <n v="2.373471830272613"/>
        <n v="2.7013857015602767"/>
        <n v="2.7170006478120703"/>
        <n v="2.9512248415889726"/>
        <n v="2.6076960240495155"/>
        <n v="2.7586405044835196"/>
        <n v="2.62851595238524"/>
        <n v="3.107374304106908"/>
        <n v="3.149014160778357"/>
        <n v="2.4723664898673055"/>
        <n v="4.632434054698741"/>
        <n v="3.653897422919681"/>
        <n v="4.325340111746801"/>
        <n v="3.534182834989264"/>
        <n v="3.6695123691714744"/>
        <n v="3.419673229142778"/>
        <n v="3.195858999533738"/>
        <n v="3.570617709576782"/>
        <n v="3.3832383545552593"/>
        <n v="4.002631222543069"/>
        <n v="4.007836204627"/>
        <n v="4.195215559648522"/>
        <n v="4.085910935885968"/>
        <n v="4.190010577564591"/>
        <n v="4.028656132962725"/>
        <n v="3.3155735874641548"/>
        <n v="2.6649508269727584"/>
        <n v="2.6129010061334466"/>
        <n v="2.5400312569584105"/>
        <n v="1.8946134785509456"/>
        <n v="1.4053451626614155"/>
        <n v="1.2231707897238246"/>
        <n v="1.0670213272058895"/>
        <n v="0.7391074559182259"/>
        <n v="0.6610327246592584"/>
        <n v="0.42160354879842465"/>
        <n v="0.28106903253228316"/>
        <n v="0.36434874587518185"/>
        <n v="0.2342241937769026"/>
        <n v="0.31229892503587015"/>
        <n v="0.003901233181759371"/>
        <n v="0.015604932727037484"/>
        <n v="0.04876541477199214"/>
        <n v="0.1443456277250967"/>
        <n v="0.13654316136157796"/>
        <n v="0.12679007840717954"/>
        <n v="0.1872591927244498"/>
        <n v="0.2399258406782013"/>
        <n v="0.21651844158764508"/>
        <n v="0.29844433840459184"/>
        <n v="0.4135307172664933"/>
        <n v="0.6241973090814993"/>
        <n v="0.7958515690789115"/>
        <n v="1.1118514568014206"/>
        <n v="1.835530212017784"/>
        <n v="1.728246299519401"/>
        <n v="2.424616422463449"/>
        <n v="2.78743110836707"/>
        <n v="3.489653081083757"/>
        <n v="4.145060255619331"/>
        <n v="4.27575156720827"/>
        <n v="4.39864041243369"/>
        <n v="4.328418215162022"/>
        <n v="3.9929121615307155"/>
        <n v="3.9968133947124755"/>
        <n v="2.949332285410084"/>
        <n v="2.504591702689516"/>
        <n v="2.496789236325997"/>
        <n v="2.3875547072367347"/>
        <n v="2.188591814967007"/>
        <n v="2.2159004472393224"/>
        <n v="2.3095300436015473"/>
        <n v="2.654789180187252"/>
        <n v="2.488986769962479"/>
        <n v="2.41876457269081"/>
        <n v="2.449974438144885"/>
        <n v="2.529949718370952"/>
        <n v="2.4285176556452086"/>
        <n v="2.7737767922309127"/>
        <n v="3.3082457381319466"/>
        <n v="3.499406164038156"/>
        <n v="4.191875053800444"/>
        <n v="4.909701959244169"/>
        <n v="5.350541308782977"/>
        <n v="5.089158685605099"/>
        <n v="3.920739347668168"/>
        <n v="3.144393944498053"/>
        <n v="2.3973077901911335"/>
        <n v="1.8179746626998667"/>
        <n v="1.4376044274783282"/>
        <n v="1.2483946181629986"/>
        <n v="1.7262956829285214"/>
        <n v="1.8082215797454684"/>
        <n v="2.2217522970119616"/>
        <n v="3.5013567806290355"/>
        <n v="4.757553865155552"/>
        <n v="5.896713954229289"/>
        <n v="6.097627463089896"/>
        <n v="6.587232227400697"/>
        <n v="6.721824772171396"/>
        <n v="6.6789112071720425"/>
        <n v="6.94029383034992"/>
        <n v="7.176318437846363"/>
        <n v="7.445503527387759"/>
        <n v="8.106762551695972"/>
        <n v="9.253725107133228"/>
        <n v="8.227700780330514"/>
        <n v="7.665923202157163"/>
      </sharedItems>
    </cacheField>
    <cacheField name="Normalizar (ExcM)" numFmtId="167">
      <sharedItems containsSemiMixedTypes="0" containsString="0" containsNumber="1">
        <n v="-0.21617933426898478"/>
        <n v="0.4010372309024057"/>
        <n v="0.2121873863350399"/>
        <n v="0.8766931808777709"/>
        <n v="1.7188406584810239"/>
        <n v="3.180968357517629"/>
        <n v="4.577689525021146"/>
        <n v="6.007728104127198"/>
        <n v="7.251066349091855"/>
        <n v="7.804258210861139"/>
        <n v="8.059128732797582"/>
        <n v="8.83725150699873"/>
        <n v="9.414702129289672"/>
        <n v="9.434815405418393"/>
        <n v="9.420843587649589"/>
        <n v="9.919990615851626"/>
        <n v="10.650670624222434"/>
        <n v="10.561619478003676"/>
        <n v="9.971118256697913"/>
        <n v="9.193149018955765"/>
        <n v="8.65438958433228"/>
        <n v="7.72518693447724"/>
        <n v="7.13668168713845"/>
        <n v="6.5041114760672745"/>
        <n v="5.888430275485862"/>
        <n v="5.233904350777992"/>
        <n v="4.585980493807029"/>
        <n v="4.8936675576387385"/>
        <n v="4.306083529053935"/>
        <n v="4.5862875667250265"/>
        <n v="4.514893113291023"/>
        <n v="5.043058532243656"/>
        <n v="5.3680952159421205"/>
        <n v="6.205790136234435"/>
        <n v="6.294073600158203"/>
        <n v="6.398017782899755"/>
        <n v="6.712921060304362"/>
        <n v="7.377733927765088"/>
        <n v="8.292657686933326"/>
        <n v="9.201747060659644"/>
        <n v="10.884967260653166"/>
        <n v="14.17678894156725"/>
        <n v="15.743628505640391"/>
        <n v="21.300880639067874"/>
        <n v="22.42617493647301"/>
        <n v="16.505681130466428"/>
        <n v="12.905890902212475"/>
        <n v="9.021162595468331"/>
        <n v="8.141526632459767"/>
        <n v="7.356187644685723"/>
        <n v="4.870304426461231"/>
        <n v="4.526510705355194"/>
        <n v="3.7711113270857304"/>
        <n v="3.3259067748116067"/>
        <n v="2.929782710597132"/>
        <n v="3.153178258439016"/>
        <n v="3.100668789461749"/>
        <n v="2.5203009744498446"/>
        <n v="1.9856870242193019"/>
        <n v="1.748012585690617"/>
        <n v="1.4876147512302487"/>
        <n v="1.0719915567230465"/>
        <n v="0.992613207421154"/>
        <n v="0.9780272438163574"/>
        <n v="1.17501452071061"/>
        <n v="1.3862806882916623"/>
        <n v="1.2804940680421384"/>
        <n v="1.6396158456381282"/>
        <n v="2.204015868914256"/>
        <n v="2.946211111709903"/>
        <n v="4.340322159410456"/>
        <n v="6.123494594211583"/>
        <n v="8.165990108260093"/>
        <n v="9.887287350085082"/>
        <n v="10.888037989833123"/>
        <n v="10.24809802873005"/>
        <n v="9.739892349447139"/>
        <n v="8.088607732925173"/>
        <n v="6.781551857476404"/>
        <n v="5.186308048488656"/>
        <n v="3.9609335692267496"/>
        <n v="2.0705926860451176"/>
        <n v="1.201060230422706"/>
        <n v="1.251021138510173"/>
        <n v="0.5665566977118753"/>
        <n v="0.5695543521971234"/>
        <n v="1.2650101927746635"/>
        <n v="1.8515512537215257"/>
        <n v="3.3573730234777797"/>
        <n v="5.939352753438072"/>
        <n v="8.298506833328261"/>
        <n v="10.611696877777982"/>
        <n v="11.939657814742853"/>
        <n v="12.9288837948747"/>
        <n v="13.501435801557072"/>
        <n v="13.525417037439055"/>
        <n v="13.71426927000968"/>
        <n v="13.098750882372087"/>
        <n v="11.866714888935153"/>
        <n v="11.981624977536327"/>
        <n v="13.043793883475875"/>
        <n v="13.679296634348455"/>
        <n v="13.677298198024953"/>
        <n v="14.194893205811114"/>
        <n v="14.657531214701056"/>
        <n v="13.735252851406416"/>
        <n v="12.00560621341831"/>
        <n v="10.14606121440279"/>
        <n v="7.67999079120542"/>
        <n v="6.295074419020837"/>
        <n v="5.011079081172936"/>
        <n v="3.7940313601622404"/>
        <n v="3.2474590256853526"/>
        <n v="2.863759251573607"/>
        <n v="2.3021986446704776"/>
        <n v="2.3241814442289632"/>
        <n v="1.7656184918110824"/>
        <n v="2.077374558276876"/>
        <n v="2.37514157047818"/>
        <n v="2.0154230322484175"/>
        <n v="1.726648983502858"/>
        <n v="2.13233155717309"/>
        <n v="2.546007876137317"/>
        <n v="3.1485364276721683"/>
        <n v="3.2794340068613317"/>
        <n v="10.497786007338558"/>
        <n v="5.786971983771298"/>
        <n v="7.753433326093998"/>
        <n v="11.01113433793728"/>
        <n v="13.962325178663955"/>
        <n v="14.774689544166167"/>
        <n v="16.87304768383978"/>
        <n v="16.861806479520098"/>
        <n v="15.758669628948828"/>
        <n v="15.896561735270238"/>
        <n v="16.099403022105356"/>
        <n v="16.113392076369845"/>
        <n v="16.70892610077245"/>
        <n v="17.806067642373225"/>
        <n v="19.484754154112114"/>
        <n v="19.573684570507808"/>
        <n v="18.79529362250507"/>
        <n v="17.37240696017401"/>
        <n v="15.549833033143216"/>
        <n v="13.855159030816338"/>
        <n v="12.197456100474184"/>
        <n v="10.776567874466624"/>
        <n v="9.715398186688827"/>
        <n v="7.766922771277614"/>
        <n v="6.543879741296423"/>
        <n v="5.397776509769931"/>
        <n v="4.843210429999046"/>
        <n v="4.073812445452056"/>
        <n v="3.571205710092139"/>
        <n v="2.843774888338619"/>
        <n v="2.6359375106947573"/>
        <n v="2.642932037827002"/>
        <n v="2.401121242683662"/>
        <n v="2.949692013484049"/>
        <n v="2.367147825184184"/>
        <n v="2.155313574893325"/>
        <n v="2.143322956952333"/>
        <n v="2.193283865039799"/>
        <n v="1.9714574331314458"/>
        <n v="2.396125151874916"/>
        <n v="1.9884441418811853"/>
        <n v="1.7925973821783145"/>
        <n v="1.7036669657826238"/>
        <n v="1.885524671221003"/>
        <n v="1.051406380954096"/>
        <n v="0.8562195528066773"/>
        <n v="1.0123690153246123"/>
        <n v="0.3044914519099734"/>
        <n v="0.926486810939748"/>
        <n v="0.5751505202743942"/>
        <n v="0.5400168912078588"/>
        <n v="2.011725575439397"/>
        <n v="2.0858965701354157"/>
        <n v="3.937568946493929"/>
        <n v="6.173108751542367"/>
        <n v="8.266812794803679"/>
        <n v="8.16011066208309"/>
        <n v="6.800309092656072"/>
        <n v="5.612271931998783"/>
        <n v="3.5393878170731945"/>
        <n v="3.1555203883832714"/>
        <n v="2.0260392761702075"/>
        <n v="1.7085353690504064"/>
        <n v="1.6083394639347313"/>
        <n v="1.240086981496601"/>
        <n v="0.9681266676111975"/>
        <n v="1.941458317306326"/>
        <n v="1.6864141951936986"/>
        <n v="0.94600549375449"/>
        <n v="1.3051492575457406"/>
        <n v="0.9746328952161113"/>
        <n v="1.2570031732693774"/>
        <n v="1.4092488992243641"/>
        <n v="2.0325455037751214"/>
        <n v="1.6955229138405783"/>
        <n v="1.8009238010401842"/>
        <n v="1.6968241593615612"/>
        <n v="1.5224572595498669"/>
        <n v="1.1607110047166507"/>
        <n v="1.25830441879036"/>
        <n v="1.5992307452878516"/>
        <n v="1.685112949672716"/>
        <n v="1.545879678927557"/>
        <n v="1.4118513902663297"/>
        <n v="2.4957889092449954"/>
        <n v="11.638339939670093"/>
        <n v="2.4869404397023125"/>
        <n v="2.875232103163578"/>
        <n v="4.033861115046656"/>
        <n v="3.31140960179701"/>
        <n v="3.680963329756123"/>
        <n v="3.320778569548086"/>
        <n v="3.4019762900574113"/>
        <n v="3.7569560681815175"/>
        <n v="4.4669156244297294"/>
        <n v="4.411742814340059"/>
        <n v="3.790267953518677"/>
        <n v="4.866658248475643"/>
        <n v="5.160739736217754"/>
        <n v="5.00979525578375"/>
        <n v="4.92131056035692"/>
        <n v="3.929761473368033"/>
        <n v="4.1717931402708315"/>
        <n v="3.9128452815952564"/>
        <n v="4.218637979026212"/>
        <n v="4.6779776479331385"/>
        <n v="4.707906294915742"/>
        <n v="4.195215559648522"/>
        <n v="4.274591536428473"/>
        <n v="3.980510048686361"/>
        <n v="4.000028731501104"/>
        <n v="4.607710389800068"/>
        <n v="3.794431939185822"/>
        <n v="3.545894044678109"/>
        <n v="2.2966983445346285"/>
        <n v="1.9531695269951712"/>
        <n v="1.5354697147596947"/>
        <n v="1.8074300286450986"/>
        <n v="1.8894084964670141"/>
        <n v="0.6974675992467766"/>
        <n v="0.9212818288558169"/>
        <n v="0.9408005116705588"/>
        <n v="1.1906396516992548"/>
        <n v="0.7299987372713465"/>
        <n v="0.632405323197637"/>
        <n v="1.284329329210016"/>
        <n v="1.6629917758160084"/>
        <n v="0.6805514074740003"/>
        <n v="0.39441467467587205"/>
        <n v="0.04018270177212223"/>
        <n v="-0.1716542599974123"/>
        <n v="0.0"/>
        <n v="0.17984684967910664"/>
        <n v="0.12679007840717954"/>
        <n v="-0.13303205149799419"/>
        <n v="0.19662215236067265"/>
        <n v="0.1174271187709567"/>
        <n v="0.4345973764479943"/>
        <n v="0.4935059974925604"/>
        <n v="1.1906563670729593"/>
        <n v="1.6057475776121566"/>
        <n v="2.3863843372822062"/>
        <n v="2.9961470835911967"/>
        <n v="3.249727240405556"/>
        <n v="4.282383663617261"/>
        <n v="5.594758505961114"/>
        <n v="6.592693953855161"/>
        <n v="7.229375209118289"/>
        <n v="6.720264278898691"/>
        <n v="6.337163180449922"/>
        <n v="5.492936319917193"/>
        <n v="4.770037811337182"/>
        <n v="4.333489818298309"/>
        <n v="4.04245782293906"/>
        <n v="3.6433616684450767"/>
        <n v="3.7128036190803924"/>
        <n v="3.339065480267846"/>
        <n v="3.5852332940368616"/>
        <n v="3.6449221617177803"/>
        <n v="4.02529239693932"/>
        <n v="3.360522262767522"/>
        <n v="3.6519443814449466"/>
        <n v="3.3698852224037448"/>
        <n v="3.550122195401028"/>
        <n v="3.5001864106745066"/>
        <n v="3.149465547634341"/>
        <n v="3.9847195718490216"/>
        <n v="4.032704739984661"/>
        <n v="4.6986452441109865"/>
        <n v="6.251726173769392"/>
        <n v="6.067718008696409"/>
        <n v="7.372030302464624"/>
        <n v="7.462733973940528"/>
        <n v="6.157121269111727"/>
        <n v="5.1158171123471226"/>
        <n v="3.834587114904314"/>
        <n v="3.10245568779414"/>
        <n v="2.451274849205472"/>
        <n v="2.4382707385996065"/>
        <n v="1.8986001484562263"/>
        <n v="2.3465917588282617"/>
        <n v="3.240364280769333"/>
        <n v="4.20669973989113"/>
        <n v="5.719207844459238"/>
        <n v="8.163330432831483"/>
        <n v="8.801572181367316"/>
        <n v="8.828490690321457"/>
        <n v="8.876865981775273"/>
        <n v="9.01145852654597"/>
        <n v="8.854238829321067"/>
        <n v="9.39768061154015"/>
        <n v="10.303156833026499"/>
        <n v="10.803294926928048"/>
        <n v="11.579250206779989"/>
        <n v="11.511368749417374"/>
        <n v="11.017082505288462"/>
        <n v="9.593132393946293"/>
      </sharedItems>
    </cacheField>
    <cacheField name="Acumulado (TMxCovid)" numFmtId="167">
      <sharedItems containsSemiMixedTypes="0" containsString="0" containsNumber="1">
        <n v="0.002303046884967875"/>
        <n v="0.015353645899785833"/>
        <n v="0.07216213572899341"/>
        <n v="0.2272339593168303"/>
        <n v="0.526630054362654"/>
        <n v="1.0371387805305328"/>
        <n v="1.653587663406934"/>
        <n v="2.6600191521378953"/>
        <n v="3.9742912411595626"/>
        <n v="5.676242889150822"/>
        <n v="7.623085189243665"/>
        <n v="10.516479759058305"/>
        <n v="13.158842218411447"/>
        <n v="16.75466608814129"/>
        <n v="20.45719779687464"/>
        <n v="23.521017836176906"/>
        <n v="26.873486418395142"/>
        <n v="30.0808630468604"/>
        <n v="33.53236264513225"/>
        <n v="36.65375885655871"/>
        <n v="40.14824866334997"/>
        <n v="43.571344016707215"/>
        <n v="46.429425200952345"/>
        <n v="49.25296068192296"/>
        <n v="51.86308048488655"/>
        <n v="54.36802781343661"/>
        <n v="56.419274905647995"/>
        <n v="58.673957806031545"/>
        <n v="60.71445734611308"/>
        <n v="64.31719035649782"/>
        <n v="66.14888031234227"/>
        <n v="68.26538039962774"/>
        <n v="70.54616449804092"/>
        <n v="72.95054544594738"/>
        <n v="75.64894871283474"/>
        <n v="78.05486502533118"/>
        <n v="81.10947287709357"/>
        <n v="84.22779835934007"/>
        <n v="87.47970056091471"/>
        <n v="90.74158263232421"/>
        <n v="93.98427264635897"/>
        <n v="97.65916779247272"/>
        <n v="102.64372893383819"/>
        <n v="108.01596963417325"/>
        <n v="114.85601888252783"/>
        <n v="121.7052803184223"/>
        <n v="127.58879742722023"/>
        <n v="133.7356295631995"/>
        <n v="138.2649551036363"/>
        <n v="142.57011741393626"/>
        <n v="146.3233161541389"/>
        <n v="149.47541965736494"/>
        <n v="152.0287309704993"/>
        <n v="154.7824073626259"/>
        <n v="156.72003747517886"/>
        <n v="160.70507626846828"/>
        <n v="163.00889083573114"/>
        <n v="165.01100626106322"/>
        <n v="166.76592798740873"/>
        <n v="168.11090736822996"/>
        <n v="169.22558206055442"/>
        <n v="170.15447763749145"/>
        <n v="171.58236670617154"/>
        <n v="172.36924105853558"/>
        <n v="173.40254142759116"/>
        <n v="174.19862796749504"/>
        <n v="175.25572648769528"/>
        <n v="176.06793435579397"/>
        <n v="177.10200240714454"/>
        <n v="178.14758569291996"/>
        <n v="179.75434473633254"/>
        <n v="181.7579955262546"/>
        <n v="184.35736777708834"/>
        <n v="187.2338733364132"/>
        <n v="191.0630726238198"/>
        <n v="194.90916092171616"/>
        <n v="198.7283803392879"/>
        <n v="202.26586035459854"/>
        <n v="205.14850737228335"/>
        <n v="208.1785493906061"/>
        <n v="210.59060716146246"/>
        <n v="213.27288910015506"/>
        <n v="0.005995308970496035"/>
        <n v="0.014988272426240089"/>
        <n v="0.10192025249843259"/>
        <n v="0.2847771760985617"/>
        <n v="0.9502564718236216"/>
        <n v="2.536015694519823"/>
        <n v="5.353810910652959"/>
        <n v="10.455818844545085"/>
        <n v="17.997917529429095"/>
        <n v="27.752285224426146"/>
        <n v="38.4748953181583"/>
        <n v="49.892961252468"/>
        <n v="62.081424389486436"/>
        <n v="74.44375148664926"/>
        <n v="86.96195661704499"/>
        <n v="99.9418005381689"/>
        <n v="110.5235208710944"/>
        <n v="121.77971346320071"/>
        <n v="133.47955891912372"/>
        <n v="148.17106355132427"/>
        <n v="158.60290115998737"/>
        <n v="171.7206371874327"/>
        <n v="185.00923952053714"/>
        <n v="197.96510220577906"/>
        <n v="209.31422208692805"/>
        <n v="219.50924499125657"/>
        <n v="227.52497308480977"/>
        <n v="234.16178011514887"/>
        <n v="239.8243494377824"/>
        <n v="244.59361772381197"/>
        <n v="248.2297726144178"/>
        <n v="251.737028362158"/>
        <n v="254.66873444873056"/>
        <n v="257.2467173060439"/>
        <n v="259.56090656865535"/>
        <n v="261.77617323325364"/>
        <n v="263.9644610074847"/>
        <n v="265.9009458049549"/>
        <n v="267.88239541970387"/>
        <n v="269.938786396584"/>
        <n v="272.1780342970643"/>
        <n v="274.6241203570267"/>
        <n v="277.26205630404496"/>
        <n v="280.5055184570833"/>
        <n v="284.7052323909158"/>
        <n v="290.7814780325135"/>
        <n v="299.4956596211295"/>
        <n v="311.1865121135968"/>
        <n v="323.3330080878218"/>
        <n v="337.6048410920876"/>
        <n v="352.95882736552795"/>
        <n v="367.21866975185276"/>
        <n v="381.4185590484726"/>
        <n v="394.2964827170981"/>
        <n v="408.50836263165894"/>
        <n v="423.47864913098755"/>
        <n v="438.9375533114116"/>
        <n v="455.30474680086576"/>
        <n v="471.36018422385416"/>
        <n v="489.2351979193881"/>
        <n v="503.96567205989686"/>
        <n v="518.9029843598877"/>
        <n v="531.1723841680079"/>
        <n v="541.3913883082183"/>
        <n v="549.7428537041193"/>
        <n v="557.7825630335544"/>
        <n v="565.6813826021829"/>
        <n v="570.1598784031435"/>
        <n v="574.3026369017563"/>
        <n v="579.2367761844745"/>
        <n v="582.7050624239064"/>
        <n v="584.9802821782097"/>
        <n v="587.2105371152342"/>
        <n v="588.8532517731501"/>
        <n v="590.388050869597"/>
        <n v="591.7160118065619"/>
        <n v="593.1728718863925"/>
        <n v="593.8803183449111"/>
        <n v="594.9984434679086"/>
        <n v="595.8257961058371"/>
        <n v="596.731087760382"/>
        <n v="597.4085576740481"/>
        <n v="597.9871049897009"/>
        <n v="598.556659341898"/>
        <n v="599.0602652954196"/>
        <n v="599.6867750828364"/>
        <n v="600.2683200529746"/>
        <n v="600.8198884782602"/>
        <n v="0.005204982083931169"/>
        <n v="0.03643487458751818"/>
        <n v="0.17696939085365976"/>
        <n v="0.41639856671449355"/>
        <n v="0.6922626171628454"/>
        <n v="0.9837416138629909"/>
        <n v="1.3532953418221039"/>
        <n v="1.6239544101865246"/>
        <n v="2.342241937769026"/>
        <n v="3.737177136262579"/>
        <n v="5.486051116463452"/>
        <n v="8.520555671395323"/>
        <n v="17.296155464903272"/>
        <n v="23.313114753927703"/>
        <n v="28.674246300376808"/>
        <n v="32.83302698543781"/>
        <n v="36.325569963755626"/>
        <n v="44.25796265966673"/>
        <n v="47.427796748780814"/>
        <n v="50.00946786241067"/>
        <n v="52.45060445977439"/>
        <n v="54.40247274124858"/>
        <n v="56.484465574821044"/>
        <n v="58.52481855172206"/>
        <n v="60.33615231693011"/>
        <n v="62.194330920893535"/>
        <n v="63.948409883178336"/>
        <n v="65.7961785229739"/>
        <n v="67.55546246734264"/>
        <n v="69.31995139379531"/>
        <n v="70.96993071440149"/>
        <n v="72.57827017833621"/>
        <n v="74.15537974976735"/>
        <n v="75.69605444661097"/>
        <n v="77.13262950177598"/>
        <n v="78.43387502275877"/>
        <n v="79.92770488084702"/>
        <n v="81.3434600076763"/>
        <n v="82.68634538533054"/>
        <n v="84.0812805838241"/>
        <n v="85.5855204060802"/>
        <n v="87.2719346012739"/>
        <n v="88.98437370688725"/>
        <n v="90.96747188086503"/>
        <n v="93.34094371113764"/>
        <n v="96.04232941269791"/>
        <n v="98.75933006050998"/>
        <n v="101.71055490209895"/>
        <n v="104.31825092614847"/>
        <n v="107.07689143063199"/>
        <n v="109.70540738301723"/>
        <n v="112.81278168712414"/>
        <n v="115.9617958479025"/>
        <n v="118.4341623377698"/>
        <n v="123.06659639246854"/>
        <n v="126.72049381538822"/>
        <n v="131.04583392713502"/>
        <n v="134.58001676212427"/>
        <n v="138.24952913129576"/>
        <n v="141.66920236043853"/>
        <n v="144.86506135997226"/>
        <n v="148.43567906954905"/>
        <n v="151.8189174241043"/>
        <n v="155.8215486466474"/>
        <n v="159.8293848512744"/>
        <n v="164.02460041092291"/>
        <n v="168.1105113468089"/>
        <n v="172.30052192437347"/>
        <n v="176.3291780573362"/>
        <n v="179.64475164480035"/>
        <n v="182.3097024717731"/>
        <n v="184.92260347790656"/>
        <n v="187.46263473486496"/>
        <n v="189.35724821341591"/>
        <n v="190.76259337607732"/>
        <n v="191.98576416580116"/>
        <n v="193.05278549300704"/>
        <n v="193.79189294892527"/>
        <n v="194.45292567358453"/>
        <n v="194.87452922238296"/>
        <n v="195.15559825491525"/>
        <n v="195.51994700079044"/>
        <n v="195.75417119456733"/>
        <n v="196.0664701196032"/>
        <n v="0.003901233181759371"/>
        <n v="0.019506165908796856"/>
        <n v="0.06827158068078899"/>
        <n v="0.21261720840588572"/>
        <n v="0.3491603697674637"/>
        <n v="0.4759504481746432"/>
        <n v="0.6632096408990931"/>
        <n v="0.9031354815772944"/>
        <n v="1.1196539231649394"/>
        <n v="1.4180982615695312"/>
        <n v="1.8316289788360245"/>
        <n v="2.4558262879175237"/>
        <n v="3.251677856996435"/>
        <n v="4.363529313797856"/>
        <n v="6.19905952581564"/>
        <n v="7.927305825335041"/>
        <n v="10.35192224779849"/>
        <n v="13.139353356165559"/>
        <n v="16.629006437249316"/>
        <n v="20.774066692868647"/>
        <n v="25.04981826007692"/>
        <n v="29.448458672510608"/>
        <n v="33.77687688767263"/>
        <n v="37.76978904920335"/>
        <n v="41.76660244391582"/>
        <n v="44.71593472932591"/>
        <n v="47.220526432015426"/>
        <n v="49.71731566834142"/>
        <n v="52.10487037557816"/>
        <n v="54.29346219054516"/>
        <n v="56.509362637784484"/>
        <n v="58.81889268138603"/>
        <n v="61.47368186157328"/>
        <n v="63.96266863153576"/>
        <n v="66.38143320422657"/>
        <n v="68.83140764237146"/>
        <n v="71.36135736074242"/>
        <n v="73.74891206797915"/>
        <n v="76.17742972362436"/>
        <n v="78.95120651585528"/>
        <n v="82.25945225398722"/>
        <n v="85.75885841802537"/>
        <n v="89.95073347182581"/>
        <n v="94.86043543106999"/>
        <n v="100.21097673985297"/>
        <n v="105.30013542545807"/>
        <n v="109.22087477312624"/>
        <n v="112.36526871762429"/>
        <n v="114.76257650781542"/>
        <n v="116.58055117051529"/>
        <n v="118.01815559799363"/>
        <n v="119.26655021615663"/>
        <n v="120.99284589908515"/>
        <n v="122.80106747883062"/>
        <n v="125.02281977584258"/>
        <n v="128.52417655647162"/>
        <n v="133.28173042162717"/>
        <n v="139.17844437585646"/>
        <n v="145.27607183894636"/>
        <n v="151.86330406634707"/>
        <n v="158.58512883851847"/>
        <n v="165.2640400456905"/>
        <n v="172.20433387604044"/>
        <n v="179.3806523138868"/>
        <n v="186.82615584127456"/>
        <n v="194.93291839297052"/>
        <n v="204.18664350010374"/>
        <n v="212.41434428043425"/>
        <n v="220.0802674825914"/>
      </sharedItems>
    </cacheField>
    <cacheField name="Acumulado (ExcM)" numFmtId="167">
      <sharedItems containsSemiMixedTypes="0" containsString="0" containsNumber="1">
        <n v="-0.21617933426898478"/>
        <n v="0.1848578966334209"/>
        <n v="0.39704528296846076"/>
        <n v="1.2737384638462317"/>
        <n v="2.9925791223272555"/>
        <n v="6.173547479844885"/>
        <n v="10.75123700486603"/>
        <n v="16.75896510899323"/>
        <n v="24.010031458085084"/>
        <n v="31.814289668946223"/>
        <n v="39.873418401743805"/>
        <n v="48.71066990874253"/>
        <n v="58.125372038032204"/>
        <n v="67.5601874434506"/>
        <n v="76.98103103110019"/>
        <n v="86.90102164695182"/>
        <n v="97.55169227117425"/>
        <n v="108.11331174917792"/>
        <n v="118.08443000587584"/>
        <n v="127.27757902483161"/>
        <n v="135.9319686091639"/>
        <n v="143.65715554364115"/>
        <n v="150.79383723077962"/>
        <n v="157.29794870684688"/>
        <n v="163.18637898233274"/>
        <n v="168.42028333311075"/>
        <n v="173.00626382691777"/>
        <n v="177.8999313845565"/>
        <n v="182.20601491361043"/>
        <n v="186.79230248033545"/>
        <n v="191.30719559362646"/>
        <n v="196.35025412587012"/>
        <n v="201.71834934181226"/>
        <n v="207.9241394780467"/>
        <n v="214.2182130782049"/>
        <n v="220.61623086110467"/>
        <n v="227.32915192140902"/>
        <n v="234.7068858491741"/>
        <n v="242.99954353610744"/>
        <n v="252.20129059676708"/>
        <n v="263.08625785742026"/>
        <n v="277.2630467989875"/>
        <n v="293.0066753046279"/>
        <n v="314.3075559436958"/>
        <n v="336.73373088016876"/>
        <n v="353.2394120106352"/>
        <n v="366.1453029128477"/>
        <n v="375.16646550831604"/>
        <n v="383.3079921407758"/>
        <n v="390.66417978546156"/>
        <n v="395.5344842119228"/>
        <n v="400.060994917278"/>
        <n v="403.83210624436373"/>
        <n v="407.1580130191753"/>
        <n v="410.08779572977244"/>
        <n v="413.24097398821146"/>
        <n v="416.3416427776732"/>
        <n v="418.86194375212307"/>
        <n v="420.8476307763424"/>
        <n v="422.595643362033"/>
        <n v="424.08325811326324"/>
        <n v="425.1552496699863"/>
        <n v="426.1478628774074"/>
        <n v="427.1258901212238"/>
        <n v="428.3009046419344"/>
        <n v="429.68718533022604"/>
        <n v="430.96767939826816"/>
        <n v="432.60729524390626"/>
        <n v="434.81131111282053"/>
        <n v="437.7575222245304"/>
        <n v="442.09784438394087"/>
        <n v="448.22133897815246"/>
        <n v="456.38732908641254"/>
        <n v="466.27461643649764"/>
        <n v="477.16265442633073"/>
        <n v="487.4107524550608"/>
        <n v="497.1506448045079"/>
        <n v="505.2392525374331"/>
        <n v="512.0208043949095"/>
        <n v="517.2071124433982"/>
        <n v="521.1680460126249"/>
        <n v="523.23863869867"/>
        <n v="1.201060230422706"/>
        <n v="2.452081368932879"/>
        <n v="3.0186380666447543"/>
        <n v="3.588192418841878"/>
        <n v="4.853202611616542"/>
        <n v="6.704753865338068"/>
        <n v="10.062126888815847"/>
        <n v="16.00147964225392"/>
        <n v="24.29998647558218"/>
        <n v="34.91168335336016"/>
        <n v="46.85134116810301"/>
        <n v="59.78022496297771"/>
        <n v="73.28166076453479"/>
        <n v="86.80707780197385"/>
        <n v="100.52134707198353"/>
        <n v="113.62009795435561"/>
        <n v="125.48681284329076"/>
        <n v="137.4684378208271"/>
        <n v="150.51223170430296"/>
        <n v="164.1915283386514"/>
        <n v="177.86882653667635"/>
        <n v="192.06371974248748"/>
        <n v="206.72125095718854"/>
        <n v="220.45650380859496"/>
        <n v="232.46211002201326"/>
        <n v="242.60817123641604"/>
        <n v="250.28816202762147"/>
        <n v="256.58323644664233"/>
        <n v="261.59431552781524"/>
        <n v="265.3883468879775"/>
        <n v="268.63580591366286"/>
        <n v="271.49956516523645"/>
        <n v="273.8017638099069"/>
        <n v="276.12594525413584"/>
        <n v="277.89156374594694"/>
        <n v="279.9689383042238"/>
        <n v="282.344079874702"/>
        <n v="284.3595029069504"/>
        <n v="286.08615189045327"/>
        <n v="288.21848344762634"/>
        <n v="290.76449132376365"/>
        <n v="293.91302775143583"/>
        <n v="297.19246175829716"/>
        <n v="307.6902477656357"/>
        <n v="313.477219749407"/>
        <n v="321.23065307550104"/>
        <n v="332.2417874134383"/>
        <n v="346.20411259210226"/>
        <n v="360.9788021362684"/>
        <n v="377.8518498201082"/>
        <n v="394.7136562996283"/>
        <n v="410.47232592857716"/>
        <n v="426.3688876638474"/>
        <n v="442.46829068595275"/>
        <n v="458.5816827623226"/>
        <n v="475.29060886309503"/>
        <n v="493.0966765054683"/>
        <n v="512.5814306595804"/>
        <n v="532.1551152300882"/>
        <n v="550.9504088525932"/>
        <n v="568.3228158127672"/>
        <n v="583.8726488459104"/>
        <n v="597.7278078767267"/>
        <n v="609.9252639772009"/>
        <n v="620.7018318516675"/>
        <n v="630.4172300383564"/>
        <n v="638.1841528096339"/>
        <n v="644.7280325509304"/>
        <n v="650.1258090607004"/>
        <n v="654.9690194906995"/>
        <n v="659.0428319361515"/>
        <n v="662.6140376462437"/>
        <n v="665.7625740739159"/>
        <n v="668.6063489622545"/>
        <n v="671.2422864729492"/>
        <n v="673.8852185107762"/>
        <n v="676.2863397534599"/>
        <n v="679.2360317669439"/>
        <n v="681.6031795921281"/>
        <n v="683.7584931670214"/>
        <n v="685.9018161239737"/>
        <n v="688.0950999890135"/>
        <n v="690.066557422145"/>
        <n v="692.4626825740199"/>
        <n v="694.4511267159011"/>
        <n v="696.2437240980794"/>
        <n v="697.947391063862"/>
        <n v="699.832915735083"/>
        <n v="1.051406380954096"/>
        <n v="1.9076259337607735"/>
        <n v="2.919994949085386"/>
        <n v="3.2244864009953593"/>
        <n v="4.150973211935107"/>
        <n v="4.726123732209501"/>
        <n v="5.2661406234173604"/>
        <n v="7.277866198856757"/>
        <n v="9.363762768992173"/>
        <n v="13.301331715486102"/>
        <n v="19.47444046702847"/>
        <n v="27.74125326183215"/>
        <n v="35.90136392391524"/>
        <n v="42.70167301657131"/>
        <n v="48.3139449485701"/>
        <n v="51.85333276564329"/>
        <n v="55.00885315402656"/>
        <n v="57.03489243019677"/>
        <n v="58.74342779924718"/>
        <n v="60.35176726318191"/>
        <n v="61.591854244678515"/>
        <n v="62.55998091228971"/>
        <n v="64.50143922959603"/>
        <n v="66.18785342478972"/>
        <n v="67.1338589185442"/>
        <n v="68.43900817608994"/>
        <n v="69.41364107130606"/>
        <n v="70.67064424457544"/>
        <n v="72.07989314379981"/>
        <n v="74.11243864757493"/>
        <n v="75.80796156141551"/>
        <n v="77.6088853624557"/>
        <n v="79.30570952181725"/>
        <n v="80.82816678136712"/>
        <n v="81.98887778608376"/>
        <n v="83.24718220487412"/>
        <n v="84.84641295016198"/>
        <n v="86.53152589983469"/>
        <n v="88.07740557876225"/>
        <n v="89.48925696902859"/>
        <n v="91.98504587827358"/>
        <n v="103.62338581794367"/>
        <n v="106.11032625764598"/>
        <n v="108.98555836080956"/>
        <n v="113.01941947585622"/>
        <n v="116.33082907765323"/>
        <n v="120.01179240740936"/>
        <n v="123.33257097695744"/>
        <n v="126.73454726701485"/>
        <n v="130.49150333519637"/>
        <n v="134.9584189596261"/>
        <n v="139.37016177396617"/>
        <n v="143.16042972748485"/>
        <n v="148.02708797596048"/>
        <n v="153.18782771217823"/>
        <n v="158.197622967962"/>
        <n v="163.1189335283189"/>
        <n v="167.04869500168695"/>
        <n v="171.2204881419578"/>
        <n v="175.13333342355304"/>
        <n v="179.35197140257924"/>
        <n v="184.02994905051239"/>
        <n v="188.73785534542813"/>
        <n v="192.93307090507665"/>
        <n v="197.2076624415051"/>
        <n v="201.18817249019148"/>
        <n v="205.18820122169257"/>
        <n v="209.79591161149264"/>
        <n v="213.59034355067845"/>
        <n v="217.13623759535656"/>
        <n v="219.4329359398912"/>
        <n v="221.38610546688636"/>
        <n v="222.92157518164606"/>
        <n v="224.72900521029115"/>
        <n v="226.61841370675816"/>
        <n v="227.31588130600494"/>
        <n v="228.23716313486077"/>
        <n v="229.1779636465313"/>
        <n v="230.36860329823057"/>
        <n v="231.09860203550193"/>
        <n v="231.73100735869957"/>
        <n v="233.01533668790958"/>
        <n v="234.6783284637256"/>
        <n v="235.3588798711996"/>
        <n v="0.39441467467587205"/>
        <n v="0.4345973764479943"/>
        <n v="0.262943116450582"/>
        <n v="0.44278996612968863"/>
        <n v="0.5695800445368682"/>
        <n v="0.436547993038874"/>
        <n v="0.6331701453995466"/>
        <n v="0.7505972641705033"/>
        <n v="1.1851946406184977"/>
        <n v="1.678700638111058"/>
        <n v="2.8693570051840176"/>
        <n v="4.475104582796174"/>
        <n v="6.86148892007838"/>
        <n v="9.857636003669576"/>
        <n v="13.107363244075131"/>
        <n v="17.38974690769239"/>
        <n v="22.984505413653505"/>
        <n v="29.577199367508666"/>
        <n v="36.80657457662696"/>
        <n v="43.52683885552565"/>
        <n v="49.86400203597557"/>
        <n v="55.35693835589276"/>
        <n v="60.12697616722994"/>
        <n v="64.46046598552824"/>
        <n v="68.5029238084673"/>
        <n v="72.14628547691238"/>
        <n v="75.85908909599277"/>
        <n v="79.19815457626062"/>
        <n v="82.78338787029749"/>
        <n v="86.42831003201528"/>
        <n v="90.4536024289546"/>
        <n v="93.81412469172211"/>
        <n v="97.46606907316706"/>
        <n v="100.8359542955708"/>
        <n v="104.38607649097183"/>
        <n v="107.88626290164633"/>
        <n v="111.03572844928067"/>
        <n v="115.0204480211297"/>
        <n v="119.05315276111436"/>
        <n v="123.75179800522535"/>
        <n v="130.00352417899475"/>
        <n v="136.07124218769115"/>
        <n v="143.44327249015578"/>
        <n v="150.9060064640963"/>
        <n v="157.06312773320803"/>
        <n v="162.17894484555515"/>
        <n v="166.01353196045946"/>
        <n v="169.1159876482536"/>
        <n v="171.56726249745907"/>
        <n v="174.00553323605868"/>
        <n v="175.90413338451492"/>
        <n v="178.25072514334317"/>
        <n v="181.49108942411252"/>
        <n v="185.69778916400364"/>
        <n v="191.41699700846289"/>
        <n v="199.58032744129437"/>
        <n v="208.38189962266168"/>
        <n v="217.21039031298312"/>
        <n v="226.0872562947584"/>
        <n v="235.09871482130436"/>
        <n v="243.95295365062543"/>
        <n v="253.35063426216558"/>
        <n v="263.6537910951921"/>
        <n v="274.45708602212017"/>
        <n v="286.03633622890015"/>
        <n v="297.54770497831754"/>
        <n v="308.564787483606"/>
        <n v="318.1579198775523"/>
      </sharedItems>
    </cacheField>
    <cacheField name="Diferencia (ExcM) - (TMxCovid)" numFmtId="167">
      <sharedItems containsSemiMixedTypes="0" containsString="0" containsNumber="1">
        <n v="-0.21848238115395266"/>
        <n v="0.3879866318875877"/>
        <n v="0.1553788965058323"/>
        <n v="0.721621357289934"/>
        <n v="1.4194445634352002"/>
        <n v="2.67045963134975"/>
        <n v="3.9612406421447446"/>
        <n v="5.001296615396236"/>
        <n v="5.9367942600701875"/>
        <n v="6.10230656286988"/>
        <n v="6.112286432704739"/>
        <n v="5.94385693718409"/>
        <n v="6.772339669936531"/>
        <n v="5.8389915356885504"/>
        <n v="5.718311878916236"/>
        <n v="6.8561705765493635"/>
        <n v="7.298202042004197"/>
        <n v="7.354242849538416"/>
        <n v="6.519618658426058"/>
        <n v="6.071752807529306"/>
        <n v="5.159899777541025"/>
        <n v="4.302091581119989"/>
        <n v="4.278600502893318"/>
        <n v="3.68057599509666"/>
        <n v="3.2783104725222705"/>
        <n v="2.728957022227934"/>
        <n v="2.534733401595642"/>
        <n v="2.638984657255189"/>
        <n v="2.2655839889723977"/>
        <n v="0.9835545563402812"/>
        <n v="2.683203157446573"/>
        <n v="2.9265584449581787"/>
        <n v="3.087311117528935"/>
        <n v="3.8014091883279737"/>
        <n v="3.595670333270843"/>
        <n v="3.9921014704033153"/>
        <n v="3.658313208541971"/>
        <n v="4.259408445518586"/>
        <n v="5.040755485358687"/>
        <n v="5.939864989250144"/>
        <n v="7.642277246618399"/>
        <n v="10.50189379545351"/>
        <n v="10.75906736427492"/>
        <n v="15.928639938732811"/>
        <n v="15.586125688118422"/>
        <n v="9.65641969457197"/>
        <n v="7.022373793414544"/>
        <n v="2.874330459489073"/>
        <n v="3.6122010920229473"/>
        <n v="3.051025334385775"/>
        <n v="1.1171056862585842"/>
        <n v="1.3744072021291625"/>
        <n v="1.2178000139513463"/>
        <n v="0.5722303826850177"/>
        <n v="0.9921525980441601"/>
        <n v="-0.8318605348503967"/>
        <n v="0.7968542221988848"/>
        <n v="0.518185549117772"/>
        <n v="0.2307652978737813"/>
        <n v="0.4030332048693781"/>
        <n v="0.3729400589057974"/>
        <n v="0.14309597978600364"/>
        <n v="-0.43527586125892825"/>
        <n v="0.1911528914523335"/>
        <n v="0.14171415165502355"/>
        <n v="0.5901941483877668"/>
        <n v="0.22339554784188387"/>
        <n v="0.8274079775394577"/>
        <n v="1.1699478175636804"/>
        <n v="1.9006278259344878"/>
        <n v="2.7335631159978684"/>
        <n v="4.119843804289532"/>
        <n v="5.566617857426352"/>
        <n v="7.0107817907602055"/>
        <n v="7.058838702426536"/>
        <n v="6.402009730833699"/>
        <n v="5.920672931875414"/>
        <n v="4.551127717614516"/>
        <n v="3.898904839791614"/>
        <n v="2.156266030165922"/>
        <n v="1.5488757983703954"/>
        <n v="-0.6116892526474671"/>
        <n v="1.19506492145221"/>
        <n v="1.242028175054429"/>
        <n v="0.47962471763968284"/>
        <n v="0.3866974285969943"/>
        <n v="0.5995308970496036"/>
        <n v="0.26579203102532434"/>
        <n v="0.5395778073446431"/>
        <n v="0.8373448195459465"/>
        <n v="0.7564081484442493"/>
        <n v="0.8573291827809317"/>
        <n v="1.2170477210106938"/>
        <n v="1.5108178605650018"/>
        <n v="1.3129726645386324"/>
        <n v="1.1630899402762296"/>
        <n v="1.1960641396139575"/>
        <n v="0.11890696124817168"/>
        <n v="1.28499455600965"/>
        <n v="0.72543238543002"/>
        <n v="1.3439484275528617"/>
        <n v="-1.0122079978520802"/>
        <n v="3.2454605893618513"/>
        <n v="1.0771571783657876"/>
        <n v="1.3689288815965934"/>
        <n v="0.7793901661644824"/>
        <n v="0.6564863322693153"/>
        <n v="-0.04896168992571859"/>
        <n v="-0.33573730234777965"/>
        <n v="-0.3417326113182737"/>
        <n v="-0.6514902414605688"/>
        <n v="-0.9752369258673554"/>
        <n v="-0.38869586492049324"/>
        <n v="-0.6434964961665739"/>
        <n v="-0.6295074419020836"/>
        <n v="-0.2538014130843318"/>
        <n v="-0.5485707708003873"/>
        <n v="-0.1378921063214089"/>
        <n v="0.18685379624712706"/>
        <n v="0.07893823477819795"/>
        <n v="-0.25480063124608154"/>
        <n v="0.07594058029295025"/>
        <n v="0.3067599756570476"/>
        <n v="0.702450367709786"/>
        <n v="0.6414980598430762"/>
        <n v="7.254323854300203"/>
        <n v="1.587258049938825"/>
        <n v="1.6771876844962668"/>
        <n v="2.2969527493212922"/>
        <n v="2.2714726861966863"/>
        <n v="2.6281935699411996"/>
        <n v="2.6012146795739675"/>
        <n v="1.507820206079753"/>
        <n v="1.4988272426240083"/>
        <n v="1.6966724386503778"/>
        <n v="3.2214793534798734"/>
        <n v="1.9015121618089932"/>
        <n v="1.738639601443852"/>
        <n v="2.3471634619491972"/>
        <n v="3.117560664657937"/>
        <n v="3.518247147519425"/>
        <n v="0.9202799269711406"/>
        <n v="2.641932819665252"/>
        <n v="0.6125207331523441"/>
        <n v="1.5857592226962005"/>
        <n v="1.9784519602636923"/>
        <n v="2.4251024785656465"/>
        <n v="1.6756888572536432"/>
        <n v="-0.13189679735091175"/>
        <n v="2.0653839403358845"/>
        <n v="1.255018011157171"/>
        <n v="-0.09092885271919116"/>
        <n v="0.6055262060200999"/>
        <n v="1.2959859557888933"/>
        <n v="0.9182814906476429"/>
        <n v="1.2010602304227052"/>
        <n v="1.1011384142477725"/>
        <n v="1.31497110086213"/>
        <n v="0.9442611628531252"/>
        <n v="2.242245554965517"/>
        <n v="1.2490227021866738"/>
        <n v="1.327960936964872"/>
        <n v="1.2380313024074314"/>
        <n v="1.515813951373747"/>
        <n v="1.3929101174785785"/>
        <n v="1.8265707996777925"/>
        <n v="1.4848381883595185"/>
        <n v="1.1660875947614788"/>
        <n v="1.1221219956445083"/>
        <n v="1.3339562459353678"/>
        <n v="1.0462013988701648"/>
        <n v="0.8249896603030903"/>
        <n v="0.8718344990584708"/>
        <n v="0.06506227604913961"/>
        <n v="0.6506227604913961"/>
        <n v="0.28367152357424874"/>
        <n v="0.17046316324874583"/>
        <n v="1.741066507074976"/>
        <n v="1.3676090425529144"/>
        <n v="2.542633748000376"/>
        <n v="4.424234771341494"/>
        <n v="5.2323082398718075"/>
        <n v="-0.6154891314248605"/>
        <n v="0.7833498036316406"/>
        <n v="0.25114038554967877"/>
        <n v="-0.6193928679878091"/>
        <n v="-0.33702258993454315"/>
        <n v="-5.906353419740895"/>
        <n v="-1.4612987200636753"/>
        <n v="-0.9733316496951285"/>
        <n v="-1.2010496158671173"/>
        <n v="-0.9837416138629909"/>
        <n v="-0.14053451626614155"/>
        <n v="-0.3539387817073196"/>
        <n v="-0.8653282714535568"/>
        <n v="-0.5530293464176865"/>
        <n v="-0.7794460670686926"/>
        <n v="-0.5907654665261877"/>
        <n v="-0.350035045144371"/>
        <n v="0.26805657732245525"/>
        <n v="0.04554359323439772"/>
        <n v="0.19258433710545297"/>
        <n v="0.11971458793041712"/>
        <n v="-0.01821743729375913"/>
        <n v="-0.27586405044835205"/>
        <n v="-0.04294110219243219"/>
        <n v="0.10540088719960616"/>
        <n v="0.2693578228434381"/>
        <n v="0.20299430127331552"/>
        <n v="0.01691619177277648"/>
        <n v="0.9915490869888877"/>
        <n v="9.951925744476394"/>
        <n v="0.7745013340889579"/>
        <n v="0.8921339291858026"/>
        <n v="1.6603892847740425"/>
        <n v="0.6100239002367331"/>
        <n v="0.9639626819440528"/>
        <n v="0.36955372795911323"/>
        <n v="0.7942802660078958"/>
        <n v="0.9983155636979979"/>
        <n v="1.8383996720444893"/>
        <n v="1.3043685102331506"/>
        <n v="0.6412537927403199"/>
        <n v="2.3942917586083374"/>
        <n v="0.5283056815190132"/>
        <n v="1.3558978328640694"/>
        <n v="0.5959704486101192"/>
        <n v="0.39557863837876894"/>
        <n v="0.5022807710993571"/>
        <n v="0.4931720524524783"/>
        <n v="1.0227789794924744"/>
        <n v="1.1073599383563564"/>
        <n v="1.3246679403604826"/>
        <n v="0.26675533180147326"/>
        <n v="-0.2147055109621614"/>
        <n v="-0.08588220438486438"/>
        <n v="0.4176998122354769"/>
        <n v="-0.23422419377690318"/>
        <n v="0.2303204572139541"/>
        <n v="-0.3682524824381299"/>
        <n v="-0.6597314791382753"/>
        <n v="-1.0045615421987157"/>
        <n v="-0.08718344990584703"/>
        <n v="0.48406333380559863"/>
        <n v="-0.525703190477048"/>
        <n v="-0.1457394983500726"/>
        <n v="0.20169305575233287"/>
        <n v="0.5296069270399963"/>
        <n v="0.3083951884729218"/>
        <n v="0.3513362906653538"/>
        <n v="0.9199805833348341"/>
        <n v="1.428767582039106"/>
        <n v="0.3682524824381302"/>
        <n v="0.39051344149411266"/>
        <n v="0.024577769045084744"/>
        <n v="-0.22041967476940444"/>
        <n v="-0.1443456277250967"/>
        <n v="0.04330368831752868"/>
        <n v="0.0"/>
        <n v="-0.320291244222444"/>
        <n v="-0.04330368831752865"/>
        <n v="-0.09909132281668838"/>
        <n v="0.13615303804340245"/>
        <n v="0.07997528022606709"/>
        <n v="0.56645905799146"/>
        <n v="0.8098960085332451"/>
        <n v="1.2745328804807856"/>
        <n v="1.1606168715734126"/>
        <n v="1.521480940886155"/>
        <n v="1.857767241153812"/>
        <n v="2.8073273975940434"/>
        <n v="3.1030408727714036"/>
        <n v="3.084314953498958"/>
        <n v="2.444512711690421"/>
        <n v="1.9385227680162318"/>
        <n v="1.1645181047551718"/>
        <n v="0.7771256498064663"/>
        <n v="0.3366764235858337"/>
        <n v="1.0931255375289757"/>
        <n v="1.1387699657555608"/>
        <n v="1.2160143827543952"/>
        <n v="0.9515107730311114"/>
        <n v="1.3966414790698547"/>
        <n v="1.4290217144784578"/>
        <n v="1.7157623533377726"/>
        <n v="0.7057330825802701"/>
        <n v="1.1629576114824678"/>
        <n v="0.951120649712935"/>
        <n v="1.1001477572561429"/>
        <n v="0.9702366923035548"/>
        <n v="0.7619108403976065"/>
        <n v="1.556201916203813"/>
        <n v="1.2589279477537483"/>
        <n v="1.39039950597904"/>
        <n v="2.7523200097312364"/>
        <n v="1.8758429548959654"/>
        <n v="2.462328343220455"/>
        <n v="2.1121926651575516"/>
        <n v="1.0679625835066275"/>
        <n v="1.1950777646789548"/>
        <n v="0.6901931704062609"/>
        <n v="0.7051478976030063"/>
        <n v="0.6333001865056052"/>
        <n v="1.0006663111212784"/>
        <n v="0.6502055302932277"/>
        <n v="0.6202960758997402"/>
        <n v="1.4321427010238648"/>
        <n v="1.9849474428791685"/>
        <n v="2.217851063830202"/>
        <n v="3.4057765676759306"/>
        <n v="2.9048582271380274"/>
        <n v="2.730863227231561"/>
        <n v="2.2896337543745764"/>
        <n v="2.2896337543745746"/>
        <n v="2.175327622149025"/>
        <n v="2.4573867811902295"/>
        <n v="3.126838395180136"/>
        <n v="3.3577913995402895"/>
        <n v="3.4724876550840165"/>
        <n v="2.2576436422841457"/>
        <n v="2.7893817249579484"/>
        <n v="1.9272091917891299"/>
      </sharedItems>
    </cacheField>
    <cacheField name="país2" numFmtId="0">
      <sharedItems containsBlank="1">
        <s v="Mexico"/>
        <m/>
        <s v="Peru"/>
        <s v="Chile"/>
        <s v="Colombia"/>
      </sharedItems>
    </cacheField>
    <cacheField name="Poblacion" numFmtId="0">
      <sharedItems containsString="0" containsBlank="1" containsNumber="1" containsInteger="1">
        <n v="1.3026222E8"/>
        <m/>
        <n v="3.3359415E7"/>
        <n v="1.9212362E7"/>
        <n v="5.1265841E7"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 4" cacheId="0" dataCaption="" compact="0" compactData="0">
  <location ref="A1:E6" firstHeaderRow="0" firstDataRow="2" firstDataCol="0"/>
  <pivotFields>
    <pivotField name="País" axis="axisRow" compact="0" outline="0" multipleItemSelectionAllowed="1" showAll="0" sortType="descending">
      <items>
        <item x="1"/>
        <item x="0"/>
        <item x="3"/>
        <item x="2"/>
        <item t="default"/>
      </items>
    </pivotField>
    <pivotField name="Fecha inicio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Fecha fin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Seman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Total muertes reportada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t="default"/>
      </items>
    </pivotField>
    <pivotField name="Total muertes reportadas por cov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t="default"/>
      </items>
    </pivotField>
    <pivotField name="semana2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Promedio CON COVID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name="Promedio SIN COVID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name="Exceso de mortalidad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name="Normalizar (TMxCovid)" dataField="1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t="default"/>
      </items>
    </pivotField>
    <pivotField name="Normalizar (ExcM)" dataField="1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name="Acumulado (TMxCovid)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t="default"/>
      </items>
    </pivotField>
    <pivotField name="Acumulado (ExcM)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name="Diferencia (ExcM) - (TMxCovid)" dataField="1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name="país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oblacion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0"/>
  </rowFields>
  <colFields>
    <field x="-2"/>
  </colFields>
  <dataFields>
    <dataField name="Total de Poblacion" fld="16" baseField="0"/>
    <dataField name="Total de Exceso de Mortalidad (Normalizado)" fld="11" baseField="0"/>
    <dataField name="Total de Muertes-Covid (Normalizaado)" fld="10" baseField="0"/>
    <dataField name="Diferencia (ExcM) - (TMxCovid)" fld="14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1A1A1A"/>
      </a:dk1>
      <a:lt1>
        <a:srgbClr val="EEF1F1"/>
      </a:lt1>
      <a:dk2>
        <a:srgbClr val="1A1A1A"/>
      </a:dk2>
      <a:lt2>
        <a:srgbClr val="EEF1F1"/>
      </a:lt2>
      <a:accent1>
        <a:srgbClr val="47E78A"/>
      </a:accent1>
      <a:accent2>
        <a:srgbClr val="2D729D"/>
      </a:accent2>
      <a:accent3>
        <a:srgbClr val="1F3E78"/>
      </a:accent3>
      <a:accent4>
        <a:srgbClr val="EB5600"/>
      </a:accent4>
      <a:accent5>
        <a:srgbClr val="FF99AC"/>
      </a:accent5>
      <a:accent6>
        <a:srgbClr val="FFD4B8"/>
      </a:accent6>
      <a:hlink>
        <a:srgbClr val="1F3E78"/>
      </a:hlink>
      <a:folHlink>
        <a:srgbClr val="1F3E78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 ht="17.25" customHeight="1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3" t="s">
        <v>2</v>
      </c>
      <c r="B2" s="4">
        <v>1.3026222E8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5" t="s">
        <v>3</v>
      </c>
      <c r="B3" s="4">
        <v>3.3359415E7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6" t="s">
        <v>4</v>
      </c>
      <c r="B4" s="4">
        <v>1.9212362E7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7.25" customHeight="1">
      <c r="A5" s="7" t="s">
        <v>5</v>
      </c>
      <c r="B5" s="4">
        <v>5.1265841E7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cols>
    <col customWidth="1" min="6" max="7" width="16.11"/>
  </cols>
  <sheetData>
    <row r="1">
      <c r="A1" s="8" t="s">
        <v>0</v>
      </c>
      <c r="B1" s="8" t="s">
        <v>6</v>
      </c>
      <c r="C1" s="8" t="s">
        <v>7</v>
      </c>
      <c r="D1" s="8" t="s">
        <v>8</v>
      </c>
      <c r="E1" s="8" t="s">
        <v>9</v>
      </c>
      <c r="F1" s="8" t="s">
        <v>10</v>
      </c>
      <c r="G1" s="8"/>
    </row>
    <row r="2">
      <c r="A2" s="4" t="s">
        <v>2</v>
      </c>
      <c r="B2" s="9">
        <v>42002.0</v>
      </c>
      <c r="C2" s="10">
        <v>42008.0</v>
      </c>
      <c r="D2" s="4">
        <v>1.0</v>
      </c>
      <c r="E2" s="4">
        <v>15101.0</v>
      </c>
      <c r="F2" s="4">
        <v>0.0</v>
      </c>
      <c r="G2" s="4"/>
    </row>
    <row r="3">
      <c r="A3" s="4" t="s">
        <v>2</v>
      </c>
      <c r="B3" s="10">
        <v>42009.0</v>
      </c>
      <c r="C3" s="10">
        <v>42015.0</v>
      </c>
      <c r="D3" s="4">
        <v>2.0</v>
      </c>
      <c r="E3" s="4">
        <v>15449.0</v>
      </c>
      <c r="F3" s="4">
        <v>0.0</v>
      </c>
      <c r="G3" s="4"/>
    </row>
    <row r="4">
      <c r="A4" s="4" t="s">
        <v>2</v>
      </c>
      <c r="B4" s="10">
        <v>42016.0</v>
      </c>
      <c r="C4" s="10">
        <v>42022.0</v>
      </c>
      <c r="D4" s="4">
        <v>3.0</v>
      </c>
      <c r="E4" s="4">
        <v>14820.0</v>
      </c>
      <c r="F4" s="4">
        <v>0.0</v>
      </c>
      <c r="G4" s="4"/>
    </row>
    <row r="5">
      <c r="A5" s="4" t="s">
        <v>2</v>
      </c>
      <c r="B5" s="10">
        <v>42023.0</v>
      </c>
      <c r="C5" s="10">
        <v>42029.0</v>
      </c>
      <c r="D5" s="4">
        <v>4.0</v>
      </c>
      <c r="E5" s="4">
        <v>14172.0</v>
      </c>
      <c r="F5" s="4">
        <v>0.0</v>
      </c>
      <c r="G5" s="4"/>
    </row>
    <row r="6">
      <c r="A6" s="4" t="s">
        <v>2</v>
      </c>
      <c r="B6" s="10">
        <v>42030.0</v>
      </c>
      <c r="C6" s="10">
        <v>42036.0</v>
      </c>
      <c r="D6" s="4">
        <v>5.0</v>
      </c>
      <c r="E6" s="4">
        <v>13628.0</v>
      </c>
      <c r="F6" s="4">
        <v>0.0</v>
      </c>
      <c r="G6" s="4"/>
    </row>
    <row r="7">
      <c r="A7" s="4" t="s">
        <v>2</v>
      </c>
      <c r="B7" s="11">
        <v>42037.0</v>
      </c>
      <c r="C7" s="11">
        <v>42043.0</v>
      </c>
      <c r="D7" s="4">
        <v>6.0</v>
      </c>
      <c r="E7" s="4">
        <v>13914.0</v>
      </c>
      <c r="F7" s="4">
        <v>0.0</v>
      </c>
      <c r="G7" s="4"/>
    </row>
    <row r="8">
      <c r="A8" s="4" t="s">
        <v>2</v>
      </c>
      <c r="B8" s="11">
        <v>42044.0</v>
      </c>
      <c r="C8" s="11">
        <v>42050.0</v>
      </c>
      <c r="D8" s="4">
        <v>7.0</v>
      </c>
      <c r="E8" s="4">
        <v>13550.0</v>
      </c>
      <c r="F8" s="4">
        <v>0.0</v>
      </c>
      <c r="G8" s="4"/>
    </row>
    <row r="9">
      <c r="A9" s="4" t="s">
        <v>2</v>
      </c>
      <c r="B9" s="11">
        <v>42051.0</v>
      </c>
      <c r="C9" s="11">
        <v>42057.0</v>
      </c>
      <c r="D9" s="4">
        <v>8.0</v>
      </c>
      <c r="E9" s="4">
        <v>13799.0</v>
      </c>
      <c r="F9" s="4">
        <v>0.0</v>
      </c>
      <c r="G9" s="4"/>
    </row>
    <row r="10">
      <c r="A10" s="4" t="s">
        <v>2</v>
      </c>
      <c r="B10" s="11">
        <v>42058.0</v>
      </c>
      <c r="C10" s="11">
        <v>42064.0</v>
      </c>
      <c r="D10" s="4">
        <v>9.0</v>
      </c>
      <c r="E10" s="4">
        <v>13054.0</v>
      </c>
      <c r="F10" s="4">
        <v>0.0</v>
      </c>
      <c r="G10" s="4"/>
    </row>
    <row r="11">
      <c r="A11" s="4" t="s">
        <v>2</v>
      </c>
      <c r="B11" s="11">
        <v>42065.0</v>
      </c>
      <c r="C11" s="11">
        <v>42071.0</v>
      </c>
      <c r="D11" s="4">
        <v>10.0</v>
      </c>
      <c r="E11" s="4">
        <v>12979.0</v>
      </c>
      <c r="F11" s="4">
        <v>0.0</v>
      </c>
      <c r="G11" s="4"/>
    </row>
    <row r="12">
      <c r="A12" s="4" t="s">
        <v>2</v>
      </c>
      <c r="B12" s="11">
        <v>42072.0</v>
      </c>
      <c r="C12" s="11">
        <v>42078.0</v>
      </c>
      <c r="D12" s="4">
        <v>11.0</v>
      </c>
      <c r="E12" s="4">
        <v>12498.0</v>
      </c>
      <c r="F12" s="4">
        <v>0.0</v>
      </c>
      <c r="G12" s="4"/>
    </row>
    <row r="13">
      <c r="A13" s="4" t="s">
        <v>2</v>
      </c>
      <c r="B13" s="11">
        <v>42079.0</v>
      </c>
      <c r="C13" s="11">
        <v>42085.0</v>
      </c>
      <c r="D13" s="4">
        <v>12.0</v>
      </c>
      <c r="E13" s="4">
        <v>13133.0</v>
      </c>
      <c r="F13" s="4">
        <v>0.0</v>
      </c>
      <c r="G13" s="4"/>
    </row>
    <row r="14">
      <c r="A14" s="4" t="s">
        <v>2</v>
      </c>
      <c r="B14" s="11">
        <v>42086.0</v>
      </c>
      <c r="C14" s="11">
        <v>42092.0</v>
      </c>
      <c r="D14" s="4">
        <v>13.0</v>
      </c>
      <c r="E14" s="4">
        <v>12066.0</v>
      </c>
      <c r="F14" s="4">
        <v>0.0</v>
      </c>
      <c r="G14" s="4"/>
    </row>
    <row r="15">
      <c r="A15" s="4" t="s">
        <v>2</v>
      </c>
      <c r="B15" s="11">
        <v>42093.0</v>
      </c>
      <c r="C15" s="11">
        <v>42099.0</v>
      </c>
      <c r="D15" s="4">
        <v>14.0</v>
      </c>
      <c r="E15" s="4">
        <v>12477.0</v>
      </c>
      <c r="F15" s="4">
        <v>0.0</v>
      </c>
      <c r="G15" s="4"/>
    </row>
    <row r="16">
      <c r="A16" s="4" t="s">
        <v>2</v>
      </c>
      <c r="B16" s="11">
        <v>42100.0</v>
      </c>
      <c r="C16" s="11">
        <v>42106.0</v>
      </c>
      <c r="D16" s="4">
        <v>15.0</v>
      </c>
      <c r="E16" s="4">
        <v>12202.0</v>
      </c>
      <c r="F16" s="4">
        <v>0.0</v>
      </c>
      <c r="G16" s="4"/>
    </row>
    <row r="17">
      <c r="A17" s="4" t="s">
        <v>2</v>
      </c>
      <c r="B17" s="11">
        <v>42107.0</v>
      </c>
      <c r="C17" s="11">
        <v>42113.0</v>
      </c>
      <c r="D17" s="4">
        <v>16.0</v>
      </c>
      <c r="E17" s="4">
        <v>11796.0</v>
      </c>
      <c r="F17" s="4">
        <v>0.0</v>
      </c>
      <c r="G17" s="4"/>
    </row>
    <row r="18">
      <c r="A18" s="4" t="s">
        <v>2</v>
      </c>
      <c r="B18" s="11">
        <v>42114.0</v>
      </c>
      <c r="C18" s="11">
        <v>42120.0</v>
      </c>
      <c r="D18" s="4">
        <v>17.0</v>
      </c>
      <c r="E18" s="4">
        <v>12403.0</v>
      </c>
      <c r="F18" s="4">
        <v>0.0</v>
      </c>
      <c r="G18" s="4"/>
    </row>
    <row r="19">
      <c r="A19" s="4" t="s">
        <v>2</v>
      </c>
      <c r="B19" s="11">
        <v>42121.0</v>
      </c>
      <c r="C19" s="11">
        <v>42127.0</v>
      </c>
      <c r="D19" s="4">
        <v>18.0</v>
      </c>
      <c r="E19" s="4">
        <v>11763.0</v>
      </c>
      <c r="F19" s="4">
        <v>0.0</v>
      </c>
      <c r="G19" s="4"/>
    </row>
    <row r="20">
      <c r="A20" s="4" t="s">
        <v>2</v>
      </c>
      <c r="B20" s="11">
        <v>42128.0</v>
      </c>
      <c r="C20" s="11">
        <v>42134.0</v>
      </c>
      <c r="D20" s="4">
        <v>19.0</v>
      </c>
      <c r="E20" s="4">
        <v>12059.0</v>
      </c>
      <c r="F20" s="4">
        <v>0.0</v>
      </c>
      <c r="G20" s="4"/>
    </row>
    <row r="21">
      <c r="A21" s="4" t="s">
        <v>2</v>
      </c>
      <c r="B21" s="11">
        <v>42135.0</v>
      </c>
      <c r="C21" s="11">
        <v>42141.0</v>
      </c>
      <c r="D21" s="4">
        <v>20.0</v>
      </c>
      <c r="E21" s="4">
        <v>11732.0</v>
      </c>
      <c r="F21" s="4">
        <v>0.0</v>
      </c>
      <c r="G21" s="4"/>
    </row>
    <row r="22">
      <c r="A22" s="4" t="s">
        <v>2</v>
      </c>
      <c r="B22" s="11">
        <v>42142.0</v>
      </c>
      <c r="C22" s="11">
        <v>42148.0</v>
      </c>
      <c r="D22" s="4">
        <v>21.0</v>
      </c>
      <c r="E22" s="4">
        <v>11856.0</v>
      </c>
      <c r="F22" s="4">
        <v>0.0</v>
      </c>
      <c r="G22" s="4"/>
    </row>
    <row r="23">
      <c r="A23" s="4" t="s">
        <v>2</v>
      </c>
      <c r="B23" s="11">
        <v>42149.0</v>
      </c>
      <c r="C23" s="11">
        <v>42155.0</v>
      </c>
      <c r="D23" s="4">
        <v>22.0</v>
      </c>
      <c r="E23" s="4">
        <v>11608.0</v>
      </c>
      <c r="F23" s="4">
        <v>0.0</v>
      </c>
      <c r="G23" s="4"/>
    </row>
    <row r="24">
      <c r="A24" s="4" t="s">
        <v>2</v>
      </c>
      <c r="B24" s="11">
        <v>42156.0</v>
      </c>
      <c r="C24" s="11">
        <v>42162.0</v>
      </c>
      <c r="D24" s="4">
        <v>23.0</v>
      </c>
      <c r="E24" s="4">
        <v>11876.0</v>
      </c>
      <c r="F24" s="4">
        <v>0.0</v>
      </c>
      <c r="G24" s="4"/>
    </row>
    <row r="25">
      <c r="A25" s="4" t="s">
        <v>2</v>
      </c>
      <c r="B25" s="11">
        <v>42163.0</v>
      </c>
      <c r="C25" s="11">
        <v>42169.0</v>
      </c>
      <c r="D25" s="4">
        <v>24.0</v>
      </c>
      <c r="E25" s="4">
        <v>11709.0</v>
      </c>
      <c r="F25" s="4">
        <v>0.0</v>
      </c>
      <c r="G25" s="4"/>
    </row>
    <row r="26">
      <c r="A26" s="4" t="s">
        <v>2</v>
      </c>
      <c r="B26" s="11">
        <v>42170.0</v>
      </c>
      <c r="C26" s="11">
        <v>42176.0</v>
      </c>
      <c r="D26" s="4">
        <v>25.0</v>
      </c>
      <c r="E26" s="4">
        <v>11510.0</v>
      </c>
      <c r="F26" s="4">
        <v>0.0</v>
      </c>
      <c r="G26" s="4"/>
    </row>
    <row r="27">
      <c r="A27" s="4" t="s">
        <v>2</v>
      </c>
      <c r="B27" s="11">
        <v>42177.0</v>
      </c>
      <c r="C27" s="11">
        <v>42183.0</v>
      </c>
      <c r="D27" s="4">
        <v>26.0</v>
      </c>
      <c r="E27" s="4">
        <v>11571.0</v>
      </c>
      <c r="F27" s="4">
        <v>0.0</v>
      </c>
      <c r="G27" s="4"/>
    </row>
    <row r="28">
      <c r="A28" s="4" t="s">
        <v>2</v>
      </c>
      <c r="B28" s="11">
        <v>42184.0</v>
      </c>
      <c r="C28" s="11">
        <v>42190.0</v>
      </c>
      <c r="D28" s="4">
        <v>27.0</v>
      </c>
      <c r="E28" s="4">
        <v>11583.0</v>
      </c>
      <c r="F28" s="4">
        <v>0.0</v>
      </c>
      <c r="G28" s="4"/>
    </row>
    <row r="29">
      <c r="A29" s="4" t="s">
        <v>2</v>
      </c>
      <c r="B29" s="11">
        <v>42191.0</v>
      </c>
      <c r="C29" s="11">
        <v>42197.0</v>
      </c>
      <c r="D29" s="4">
        <v>28.0</v>
      </c>
      <c r="E29" s="4">
        <v>11538.0</v>
      </c>
      <c r="F29" s="4">
        <v>0.0</v>
      </c>
      <c r="G29" s="4"/>
    </row>
    <row r="30">
      <c r="A30" s="4" t="s">
        <v>2</v>
      </c>
      <c r="B30" s="11">
        <v>42198.0</v>
      </c>
      <c r="C30" s="11">
        <v>42204.0</v>
      </c>
      <c r="D30" s="4">
        <v>29.0</v>
      </c>
      <c r="E30" s="4">
        <v>12003.0</v>
      </c>
      <c r="F30" s="4">
        <v>0.0</v>
      </c>
      <c r="G30" s="4"/>
    </row>
    <row r="31">
      <c r="A31" s="4" t="s">
        <v>2</v>
      </c>
      <c r="B31" s="11">
        <v>42205.0</v>
      </c>
      <c r="C31" s="11">
        <v>42211.0</v>
      </c>
      <c r="D31" s="4">
        <v>30.0</v>
      </c>
      <c r="E31" s="4">
        <v>11947.0</v>
      </c>
      <c r="F31" s="4">
        <v>0.0</v>
      </c>
      <c r="G31" s="4"/>
    </row>
    <row r="32">
      <c r="A32" s="4" t="s">
        <v>2</v>
      </c>
      <c r="B32" s="11">
        <v>42212.0</v>
      </c>
      <c r="C32" s="11">
        <v>42218.0</v>
      </c>
      <c r="D32" s="4">
        <v>31.0</v>
      </c>
      <c r="E32" s="4">
        <v>12083.0</v>
      </c>
      <c r="F32" s="4">
        <v>0.0</v>
      </c>
      <c r="G32" s="4"/>
    </row>
    <row r="33">
      <c r="A33" s="4" t="s">
        <v>2</v>
      </c>
      <c r="B33" s="11">
        <v>42219.0</v>
      </c>
      <c r="C33" s="11">
        <v>42225.0</v>
      </c>
      <c r="D33" s="4">
        <v>32.0</v>
      </c>
      <c r="E33" s="4">
        <v>12237.0</v>
      </c>
      <c r="F33" s="4">
        <v>0.0</v>
      </c>
      <c r="G33" s="4"/>
    </row>
    <row r="34">
      <c r="A34" s="4" t="s">
        <v>2</v>
      </c>
      <c r="B34" s="11">
        <v>42226.0</v>
      </c>
      <c r="C34" s="11">
        <v>42232.0</v>
      </c>
      <c r="D34" s="4">
        <v>33.0</v>
      </c>
      <c r="E34" s="4">
        <v>11739.0</v>
      </c>
      <c r="F34" s="4">
        <v>0.0</v>
      </c>
      <c r="G34" s="4"/>
    </row>
    <row r="35">
      <c r="A35" s="4" t="s">
        <v>2</v>
      </c>
      <c r="B35" s="11">
        <v>42233.0</v>
      </c>
      <c r="C35" s="11">
        <v>42239.0</v>
      </c>
      <c r="D35" s="4">
        <v>34.0</v>
      </c>
      <c r="E35" s="4">
        <v>11670.0</v>
      </c>
      <c r="F35" s="4">
        <v>0.0</v>
      </c>
      <c r="G35" s="4"/>
    </row>
    <row r="36">
      <c r="A36" s="4" t="s">
        <v>2</v>
      </c>
      <c r="B36" s="11">
        <v>42240.0</v>
      </c>
      <c r="C36" s="11">
        <v>42246.0</v>
      </c>
      <c r="D36" s="4">
        <v>35.0</v>
      </c>
      <c r="E36" s="4">
        <v>11680.0</v>
      </c>
      <c r="F36" s="4">
        <v>0.0</v>
      </c>
      <c r="G36" s="4"/>
    </row>
    <row r="37">
      <c r="A37" s="4" t="s">
        <v>2</v>
      </c>
      <c r="B37" s="11">
        <v>42247.0</v>
      </c>
      <c r="C37" s="11">
        <v>42253.0</v>
      </c>
      <c r="D37" s="4">
        <v>36.0</v>
      </c>
      <c r="E37" s="4">
        <v>11668.0</v>
      </c>
      <c r="F37" s="4">
        <v>0.0</v>
      </c>
      <c r="G37" s="4"/>
    </row>
    <row r="38">
      <c r="A38" s="4" t="s">
        <v>2</v>
      </c>
      <c r="B38" s="11">
        <v>42254.0</v>
      </c>
      <c r="C38" s="11">
        <v>42260.0</v>
      </c>
      <c r="D38" s="4">
        <v>37.0</v>
      </c>
      <c r="E38" s="4">
        <v>11814.0</v>
      </c>
      <c r="F38" s="4">
        <v>0.0</v>
      </c>
      <c r="G38" s="4"/>
    </row>
    <row r="39">
      <c r="A39" s="4" t="s">
        <v>2</v>
      </c>
      <c r="B39" s="11">
        <v>42261.0</v>
      </c>
      <c r="C39" s="11">
        <v>42267.0</v>
      </c>
      <c r="D39" s="4">
        <v>38.0</v>
      </c>
      <c r="E39" s="4">
        <v>11957.0</v>
      </c>
      <c r="F39" s="4">
        <v>0.0</v>
      </c>
      <c r="G39" s="4"/>
    </row>
    <row r="40">
      <c r="A40" s="4" t="s">
        <v>2</v>
      </c>
      <c r="B40" s="11">
        <v>42268.0</v>
      </c>
      <c r="C40" s="11">
        <v>42274.0</v>
      </c>
      <c r="D40" s="4">
        <v>39.0</v>
      </c>
      <c r="E40" s="4">
        <v>11560.0</v>
      </c>
      <c r="F40" s="4">
        <v>0.0</v>
      </c>
      <c r="G40" s="4"/>
    </row>
    <row r="41">
      <c r="A41" s="4" t="s">
        <v>2</v>
      </c>
      <c r="B41" s="11">
        <v>42275.0</v>
      </c>
      <c r="C41" s="12">
        <v>42281.0</v>
      </c>
      <c r="D41" s="4">
        <v>40.0</v>
      </c>
      <c r="E41" s="4">
        <v>12484.0</v>
      </c>
      <c r="F41" s="4">
        <v>0.0</v>
      </c>
      <c r="G41" s="4"/>
    </row>
    <row r="42">
      <c r="A42" s="4" t="s">
        <v>2</v>
      </c>
      <c r="B42" s="12">
        <v>42282.0</v>
      </c>
      <c r="C42" s="12">
        <v>42288.0</v>
      </c>
      <c r="D42" s="4">
        <v>41.0</v>
      </c>
      <c r="E42" s="4">
        <v>12397.0</v>
      </c>
      <c r="F42" s="4">
        <v>0.0</v>
      </c>
      <c r="G42" s="4"/>
    </row>
    <row r="43">
      <c r="A43" s="4" t="s">
        <v>2</v>
      </c>
      <c r="B43" s="12">
        <v>42289.0</v>
      </c>
      <c r="C43" s="12">
        <v>42295.0</v>
      </c>
      <c r="D43" s="4">
        <v>42.0</v>
      </c>
      <c r="E43" s="4">
        <v>12063.0</v>
      </c>
      <c r="F43" s="4">
        <v>0.0</v>
      </c>
      <c r="G43" s="4"/>
    </row>
    <row r="44">
      <c r="A44" s="4" t="s">
        <v>2</v>
      </c>
      <c r="B44" s="12">
        <v>42296.0</v>
      </c>
      <c r="C44" s="12">
        <v>42302.0</v>
      </c>
      <c r="D44" s="4">
        <v>43.0</v>
      </c>
      <c r="E44" s="4">
        <v>12221.0</v>
      </c>
      <c r="F44" s="4">
        <v>0.0</v>
      </c>
      <c r="G44" s="4"/>
    </row>
    <row r="45">
      <c r="A45" s="4" t="s">
        <v>2</v>
      </c>
      <c r="B45" s="12">
        <v>42303.0</v>
      </c>
      <c r="C45" s="12">
        <v>42309.0</v>
      </c>
      <c r="D45" s="4">
        <v>44.0</v>
      </c>
      <c r="E45" s="4">
        <v>12153.0</v>
      </c>
      <c r="F45" s="4">
        <v>0.0</v>
      </c>
      <c r="G45" s="4"/>
    </row>
    <row r="46">
      <c r="A46" s="4" t="s">
        <v>2</v>
      </c>
      <c r="B46" s="12">
        <v>42310.0</v>
      </c>
      <c r="C46" s="12">
        <v>42316.0</v>
      </c>
      <c r="D46" s="4">
        <v>45.0</v>
      </c>
      <c r="E46" s="4">
        <v>12543.0</v>
      </c>
      <c r="F46" s="4">
        <v>0.0</v>
      </c>
      <c r="G46" s="4"/>
    </row>
    <row r="47">
      <c r="A47" s="4" t="s">
        <v>2</v>
      </c>
      <c r="B47" s="12">
        <v>42317.0</v>
      </c>
      <c r="C47" s="12">
        <v>42323.0</v>
      </c>
      <c r="D47" s="4">
        <v>46.0</v>
      </c>
      <c r="E47" s="4">
        <v>12217.0</v>
      </c>
      <c r="F47" s="4">
        <v>0.0</v>
      </c>
      <c r="G47" s="4"/>
    </row>
    <row r="48">
      <c r="A48" s="4" t="s">
        <v>2</v>
      </c>
      <c r="B48" s="12">
        <v>42324.0</v>
      </c>
      <c r="C48" s="12">
        <v>42330.0</v>
      </c>
      <c r="D48" s="4">
        <v>47.0</v>
      </c>
      <c r="E48" s="4">
        <v>12542.0</v>
      </c>
      <c r="F48" s="4">
        <v>0.0</v>
      </c>
      <c r="G48" s="4"/>
    </row>
    <row r="49">
      <c r="A49" s="4" t="s">
        <v>2</v>
      </c>
      <c r="B49" s="12">
        <v>42331.0</v>
      </c>
      <c r="C49" s="12">
        <v>42337.0</v>
      </c>
      <c r="D49" s="4">
        <v>48.0</v>
      </c>
      <c r="E49" s="4">
        <v>12597.0</v>
      </c>
      <c r="F49" s="4">
        <v>0.0</v>
      </c>
      <c r="G49" s="4"/>
    </row>
    <row r="50">
      <c r="A50" s="4" t="s">
        <v>2</v>
      </c>
      <c r="B50" s="12">
        <v>42338.0</v>
      </c>
      <c r="C50" s="12">
        <v>42344.0</v>
      </c>
      <c r="D50" s="4">
        <v>49.0</v>
      </c>
      <c r="E50" s="4">
        <v>12830.0</v>
      </c>
      <c r="F50" s="4">
        <v>0.0</v>
      </c>
      <c r="G50" s="4"/>
    </row>
    <row r="51">
      <c r="A51" s="4" t="s">
        <v>2</v>
      </c>
      <c r="B51" s="12">
        <v>42345.0</v>
      </c>
      <c r="C51" s="12">
        <v>42351.0</v>
      </c>
      <c r="D51" s="4">
        <v>50.0</v>
      </c>
      <c r="E51" s="4">
        <v>13526.0</v>
      </c>
      <c r="F51" s="4">
        <v>0.0</v>
      </c>
      <c r="G51" s="4"/>
    </row>
    <row r="52">
      <c r="A52" s="4" t="s">
        <v>2</v>
      </c>
      <c r="B52" s="12">
        <v>42352.0</v>
      </c>
      <c r="C52" s="12">
        <v>42358.0</v>
      </c>
      <c r="D52" s="4">
        <v>51.0</v>
      </c>
      <c r="E52" s="4">
        <v>13542.0</v>
      </c>
      <c r="F52" s="4">
        <v>0.0</v>
      </c>
      <c r="G52" s="4"/>
    </row>
    <row r="53">
      <c r="A53" s="4" t="s">
        <v>2</v>
      </c>
      <c r="B53" s="12">
        <v>42359.0</v>
      </c>
      <c r="C53" s="12">
        <v>42365.0</v>
      </c>
      <c r="D53" s="4">
        <v>52.0</v>
      </c>
      <c r="E53" s="4">
        <v>14351.0</v>
      </c>
      <c r="F53" s="4">
        <v>0.0</v>
      </c>
      <c r="G53" s="4"/>
    </row>
    <row r="54">
      <c r="A54" s="4" t="s">
        <v>2</v>
      </c>
      <c r="B54" s="12">
        <v>42366.0</v>
      </c>
      <c r="C54" s="11">
        <v>42372.0</v>
      </c>
      <c r="D54" s="4">
        <v>53.0</v>
      </c>
      <c r="E54" s="4">
        <v>14170.0</v>
      </c>
      <c r="F54" s="4">
        <v>0.0</v>
      </c>
      <c r="G54" s="4"/>
    </row>
    <row r="55">
      <c r="A55" s="4" t="s">
        <v>2</v>
      </c>
      <c r="B55" s="11">
        <v>42373.0</v>
      </c>
      <c r="C55" s="11">
        <v>42379.0</v>
      </c>
      <c r="D55" s="4">
        <v>1.0</v>
      </c>
      <c r="E55" s="4">
        <v>14299.0</v>
      </c>
      <c r="F55" s="4">
        <v>0.0</v>
      </c>
      <c r="G55" s="4"/>
    </row>
    <row r="56">
      <c r="A56" s="4" t="s">
        <v>2</v>
      </c>
      <c r="B56" s="11">
        <v>42380.0</v>
      </c>
      <c r="C56" s="11">
        <v>42386.0</v>
      </c>
      <c r="D56" s="4">
        <v>2.0</v>
      </c>
      <c r="E56" s="4">
        <v>14540.0</v>
      </c>
      <c r="F56" s="4">
        <v>0.0</v>
      </c>
      <c r="G56" s="4"/>
    </row>
    <row r="57">
      <c r="A57" s="4" t="s">
        <v>2</v>
      </c>
      <c r="B57" s="11">
        <v>42387.0</v>
      </c>
      <c r="C57" s="11">
        <v>42393.0</v>
      </c>
      <c r="D57" s="4">
        <v>3.0</v>
      </c>
      <c r="E57" s="4">
        <v>14557.0</v>
      </c>
      <c r="F57" s="4">
        <v>0.0</v>
      </c>
      <c r="G57" s="4"/>
    </row>
    <row r="58">
      <c r="A58" s="4" t="s">
        <v>2</v>
      </c>
      <c r="B58" s="11">
        <v>42394.0</v>
      </c>
      <c r="C58" s="11">
        <v>42400.0</v>
      </c>
      <c r="D58" s="4">
        <v>4.0</v>
      </c>
      <c r="E58" s="4">
        <v>14902.0</v>
      </c>
      <c r="F58" s="4">
        <v>0.0</v>
      </c>
      <c r="G58" s="4"/>
    </row>
    <row r="59">
      <c r="A59" s="4" t="s">
        <v>2</v>
      </c>
      <c r="B59" s="11">
        <v>42401.0</v>
      </c>
      <c r="C59" s="11">
        <v>42407.0</v>
      </c>
      <c r="D59" s="4">
        <v>5.0</v>
      </c>
      <c r="E59" s="4">
        <v>15160.0</v>
      </c>
      <c r="F59" s="4">
        <v>0.0</v>
      </c>
      <c r="G59" s="4"/>
    </row>
    <row r="60">
      <c r="A60" s="4" t="s">
        <v>2</v>
      </c>
      <c r="B60" s="11">
        <v>42408.0</v>
      </c>
      <c r="C60" s="11">
        <v>42414.0</v>
      </c>
      <c r="D60" s="4">
        <v>6.0</v>
      </c>
      <c r="E60" s="4">
        <v>15691.0</v>
      </c>
      <c r="F60" s="4">
        <v>0.0</v>
      </c>
      <c r="G60" s="4"/>
    </row>
    <row r="61">
      <c r="A61" s="4" t="s">
        <v>2</v>
      </c>
      <c r="B61" s="11">
        <v>42415.0</v>
      </c>
      <c r="C61" s="11">
        <v>42421.0</v>
      </c>
      <c r="D61" s="4">
        <v>7.0</v>
      </c>
      <c r="E61" s="4">
        <v>15725.0</v>
      </c>
      <c r="F61" s="4">
        <v>0.0</v>
      </c>
      <c r="G61" s="4"/>
    </row>
    <row r="62">
      <c r="A62" s="4" t="s">
        <v>2</v>
      </c>
      <c r="B62" s="11">
        <v>42422.0</v>
      </c>
      <c r="C62" s="11">
        <v>42428.0</v>
      </c>
      <c r="D62" s="4">
        <v>8.0</v>
      </c>
      <c r="E62" s="4">
        <v>15034.0</v>
      </c>
      <c r="F62" s="4">
        <v>0.0</v>
      </c>
      <c r="G62" s="4"/>
    </row>
    <row r="63">
      <c r="A63" s="4" t="s">
        <v>2</v>
      </c>
      <c r="B63" s="11">
        <v>42429.0</v>
      </c>
      <c r="C63" s="11">
        <v>42435.0</v>
      </c>
      <c r="D63" s="4">
        <v>9.0</v>
      </c>
      <c r="E63" s="4">
        <v>14797.0</v>
      </c>
      <c r="F63" s="4">
        <v>0.0</v>
      </c>
      <c r="G63" s="4"/>
    </row>
    <row r="64">
      <c r="A64" s="4" t="s">
        <v>2</v>
      </c>
      <c r="B64" s="11">
        <v>42436.0</v>
      </c>
      <c r="C64" s="11">
        <v>42442.0</v>
      </c>
      <c r="D64" s="4">
        <v>10.0</v>
      </c>
      <c r="E64" s="4">
        <v>14351.0</v>
      </c>
      <c r="F64" s="4">
        <v>0.0</v>
      </c>
      <c r="G64" s="4"/>
    </row>
    <row r="65">
      <c r="A65" s="4" t="s">
        <v>2</v>
      </c>
      <c r="B65" s="11">
        <v>42443.0</v>
      </c>
      <c r="C65" s="11">
        <v>42449.0</v>
      </c>
      <c r="D65" s="4">
        <v>11.0</v>
      </c>
      <c r="E65" s="4">
        <v>14025.0</v>
      </c>
      <c r="F65" s="4">
        <v>0.0</v>
      </c>
      <c r="G65" s="4"/>
    </row>
    <row r="66">
      <c r="A66" s="4" t="s">
        <v>2</v>
      </c>
      <c r="B66" s="11">
        <v>42450.0</v>
      </c>
      <c r="C66" s="11">
        <v>42456.0</v>
      </c>
      <c r="D66" s="4">
        <v>12.0</v>
      </c>
      <c r="E66" s="4">
        <v>13418.0</v>
      </c>
      <c r="F66" s="4">
        <v>0.0</v>
      </c>
      <c r="G66" s="4"/>
    </row>
    <row r="67">
      <c r="A67" s="4" t="s">
        <v>2</v>
      </c>
      <c r="B67" s="11">
        <v>42457.0</v>
      </c>
      <c r="C67" s="11">
        <v>42463.0</v>
      </c>
      <c r="D67" s="4">
        <v>13.0</v>
      </c>
      <c r="E67" s="4">
        <v>13411.0</v>
      </c>
      <c r="F67" s="4">
        <v>0.0</v>
      </c>
      <c r="G67" s="4"/>
    </row>
    <row r="68">
      <c r="A68" s="4" t="s">
        <v>2</v>
      </c>
      <c r="B68" s="11">
        <v>42464.0</v>
      </c>
      <c r="C68" s="11">
        <v>42470.0</v>
      </c>
      <c r="D68" s="4">
        <v>14.0</v>
      </c>
      <c r="E68" s="4">
        <v>12710.0</v>
      </c>
      <c r="F68" s="4">
        <v>0.0</v>
      </c>
      <c r="G68" s="4"/>
    </row>
    <row r="69">
      <c r="A69" s="4" t="s">
        <v>2</v>
      </c>
      <c r="B69" s="11">
        <v>42471.0</v>
      </c>
      <c r="C69" s="11">
        <v>42477.0</v>
      </c>
      <c r="D69" s="4">
        <v>15.0</v>
      </c>
      <c r="E69" s="4">
        <v>12422.0</v>
      </c>
      <c r="F69" s="4">
        <v>0.0</v>
      </c>
      <c r="G69" s="4"/>
    </row>
    <row r="70">
      <c r="A70" s="4" t="s">
        <v>2</v>
      </c>
      <c r="B70" s="11">
        <v>42478.0</v>
      </c>
      <c r="C70" s="11">
        <v>42484.0</v>
      </c>
      <c r="D70" s="4">
        <v>16.0</v>
      </c>
      <c r="E70" s="4">
        <v>11939.0</v>
      </c>
      <c r="F70" s="4">
        <v>0.0</v>
      </c>
      <c r="G70" s="4"/>
    </row>
    <row r="71">
      <c r="A71" s="4" t="s">
        <v>2</v>
      </c>
      <c r="B71" s="11">
        <v>42485.0</v>
      </c>
      <c r="C71" s="11">
        <v>42491.0</v>
      </c>
      <c r="D71" s="4">
        <v>17.0</v>
      </c>
      <c r="E71" s="4">
        <v>12481.0</v>
      </c>
      <c r="F71" s="4">
        <v>0.0</v>
      </c>
      <c r="G71" s="4"/>
    </row>
    <row r="72">
      <c r="A72" s="4" t="s">
        <v>2</v>
      </c>
      <c r="B72" s="11">
        <v>42492.0</v>
      </c>
      <c r="C72" s="11">
        <v>42498.0</v>
      </c>
      <c r="D72" s="4">
        <v>18.0</v>
      </c>
      <c r="E72" s="4">
        <v>12723.0</v>
      </c>
      <c r="F72" s="4">
        <v>0.0</v>
      </c>
      <c r="G72" s="4"/>
    </row>
    <row r="73">
      <c r="A73" s="4" t="s">
        <v>2</v>
      </c>
      <c r="B73" s="11">
        <v>42499.0</v>
      </c>
      <c r="C73" s="11">
        <v>42505.0</v>
      </c>
      <c r="D73" s="4">
        <v>19.0</v>
      </c>
      <c r="E73" s="4">
        <v>12478.0</v>
      </c>
      <c r="F73" s="4">
        <v>0.0</v>
      </c>
      <c r="G73" s="4"/>
    </row>
    <row r="74">
      <c r="A74" s="4" t="s">
        <v>2</v>
      </c>
      <c r="B74" s="11">
        <v>42506.0</v>
      </c>
      <c r="C74" s="11">
        <v>42512.0</v>
      </c>
      <c r="D74" s="4">
        <v>20.0</v>
      </c>
      <c r="E74" s="4">
        <v>12483.0</v>
      </c>
      <c r="F74" s="4">
        <v>0.0</v>
      </c>
      <c r="G74" s="4"/>
    </row>
    <row r="75">
      <c r="A75" s="4" t="s">
        <v>2</v>
      </c>
      <c r="B75" s="11">
        <v>42513.0</v>
      </c>
      <c r="C75" s="11">
        <v>42519.0</v>
      </c>
      <c r="D75" s="4">
        <v>21.0</v>
      </c>
      <c r="E75" s="4">
        <v>13019.0</v>
      </c>
      <c r="F75" s="4">
        <v>0.0</v>
      </c>
      <c r="G75" s="4"/>
    </row>
    <row r="76">
      <c r="A76" s="4" t="s">
        <v>2</v>
      </c>
      <c r="B76" s="11">
        <v>42520.0</v>
      </c>
      <c r="C76" s="11">
        <v>42526.0</v>
      </c>
      <c r="D76" s="4">
        <v>22.0</v>
      </c>
      <c r="E76" s="4">
        <v>12222.0</v>
      </c>
      <c r="F76" s="4">
        <v>0.0</v>
      </c>
      <c r="G76" s="4"/>
    </row>
    <row r="77">
      <c r="A77" s="4" t="s">
        <v>2</v>
      </c>
      <c r="B77" s="11">
        <v>42527.0</v>
      </c>
      <c r="C77" s="11">
        <v>42533.0</v>
      </c>
      <c r="D77" s="4">
        <v>23.0</v>
      </c>
      <c r="E77" s="4">
        <v>12011.0</v>
      </c>
      <c r="F77" s="4">
        <v>0.0</v>
      </c>
      <c r="G77" s="4"/>
    </row>
    <row r="78">
      <c r="A78" s="4" t="s">
        <v>2</v>
      </c>
      <c r="B78" s="11">
        <v>42534.0</v>
      </c>
      <c r="C78" s="11">
        <v>42540.0</v>
      </c>
      <c r="D78" s="4">
        <v>24.0</v>
      </c>
      <c r="E78" s="4">
        <v>11994.0</v>
      </c>
      <c r="F78" s="4">
        <v>0.0</v>
      </c>
      <c r="G78" s="4"/>
    </row>
    <row r="79">
      <c r="A79" s="4" t="s">
        <v>2</v>
      </c>
      <c r="B79" s="11">
        <v>42541.0</v>
      </c>
      <c r="C79" s="11">
        <v>42547.0</v>
      </c>
      <c r="D79" s="4">
        <v>25.0</v>
      </c>
      <c r="E79" s="4">
        <v>12117.0</v>
      </c>
      <c r="F79" s="4">
        <v>0.0</v>
      </c>
      <c r="G79" s="4"/>
    </row>
    <row r="80">
      <c r="A80" s="4" t="s">
        <v>2</v>
      </c>
      <c r="B80" s="11">
        <v>42548.0</v>
      </c>
      <c r="C80" s="11">
        <v>42554.0</v>
      </c>
      <c r="D80" s="4">
        <v>26.0</v>
      </c>
      <c r="E80" s="4">
        <v>12203.0</v>
      </c>
      <c r="F80" s="4">
        <v>0.0</v>
      </c>
      <c r="G80" s="4"/>
    </row>
    <row r="81">
      <c r="A81" s="4" t="s">
        <v>2</v>
      </c>
      <c r="B81" s="11">
        <v>42555.0</v>
      </c>
      <c r="C81" s="11">
        <v>42561.0</v>
      </c>
      <c r="D81" s="4">
        <v>27.0</v>
      </c>
      <c r="E81" s="4">
        <v>12439.0</v>
      </c>
      <c r="F81" s="4">
        <v>0.0</v>
      </c>
      <c r="G81" s="4"/>
    </row>
    <row r="82">
      <c r="A82" s="4" t="s">
        <v>2</v>
      </c>
      <c r="B82" s="11">
        <v>42562.0</v>
      </c>
      <c r="C82" s="11">
        <v>42568.0</v>
      </c>
      <c r="D82" s="4">
        <v>28.0</v>
      </c>
      <c r="E82" s="4">
        <v>12241.0</v>
      </c>
      <c r="F82" s="4">
        <v>0.0</v>
      </c>
      <c r="G82" s="4"/>
    </row>
    <row r="83">
      <c r="A83" s="4" t="s">
        <v>2</v>
      </c>
      <c r="B83" s="11">
        <v>42569.0</v>
      </c>
      <c r="C83" s="11">
        <v>42575.0</v>
      </c>
      <c r="D83" s="4">
        <v>29.0</v>
      </c>
      <c r="E83" s="4">
        <v>12316.0</v>
      </c>
      <c r="F83" s="4">
        <v>0.0</v>
      </c>
      <c r="G83" s="4"/>
    </row>
    <row r="84">
      <c r="A84" s="4" t="s">
        <v>2</v>
      </c>
      <c r="B84" s="11">
        <v>42576.0</v>
      </c>
      <c r="C84" s="11">
        <v>42582.0</v>
      </c>
      <c r="D84" s="4">
        <v>30.0</v>
      </c>
      <c r="E84" s="4">
        <v>12141.0</v>
      </c>
      <c r="F84" s="4">
        <v>0.0</v>
      </c>
      <c r="G84" s="4"/>
    </row>
    <row r="85">
      <c r="A85" s="4" t="s">
        <v>2</v>
      </c>
      <c r="B85" s="11">
        <v>42583.0</v>
      </c>
      <c r="C85" s="11">
        <v>42589.0</v>
      </c>
      <c r="D85" s="4">
        <v>31.0</v>
      </c>
      <c r="E85" s="4">
        <v>12456.0</v>
      </c>
      <c r="F85" s="4">
        <v>0.0</v>
      </c>
      <c r="G85" s="4"/>
    </row>
    <row r="86">
      <c r="A86" s="4" t="s">
        <v>2</v>
      </c>
      <c r="B86" s="11">
        <v>42590.0</v>
      </c>
      <c r="C86" s="11">
        <v>42596.0</v>
      </c>
      <c r="D86" s="4">
        <v>32.0</v>
      </c>
      <c r="E86" s="4">
        <v>12173.0</v>
      </c>
      <c r="F86" s="4">
        <v>0.0</v>
      </c>
      <c r="G86" s="4"/>
    </row>
    <row r="87">
      <c r="A87" s="4" t="s">
        <v>2</v>
      </c>
      <c r="B87" s="11">
        <v>42597.0</v>
      </c>
      <c r="C87" s="11">
        <v>42603.0</v>
      </c>
      <c r="D87" s="4">
        <v>33.0</v>
      </c>
      <c r="E87" s="4">
        <v>12261.0</v>
      </c>
      <c r="F87" s="4">
        <v>0.0</v>
      </c>
      <c r="G87" s="4"/>
    </row>
    <row r="88">
      <c r="A88" s="4" t="s">
        <v>2</v>
      </c>
      <c r="B88" s="11">
        <v>42604.0</v>
      </c>
      <c r="C88" s="11">
        <v>42610.0</v>
      </c>
      <c r="D88" s="4">
        <v>34.0</v>
      </c>
      <c r="E88" s="4">
        <v>12245.0</v>
      </c>
      <c r="F88" s="4">
        <v>0.0</v>
      </c>
      <c r="G88" s="4"/>
    </row>
    <row r="89">
      <c r="A89" s="4" t="s">
        <v>2</v>
      </c>
      <c r="B89" s="11">
        <v>42611.0</v>
      </c>
      <c r="C89" s="11">
        <v>42617.0</v>
      </c>
      <c r="D89" s="4">
        <v>35.0</v>
      </c>
      <c r="E89" s="4">
        <v>12137.0</v>
      </c>
      <c r="F89" s="4">
        <v>0.0</v>
      </c>
      <c r="G89" s="4"/>
    </row>
    <row r="90">
      <c r="A90" s="4" t="s">
        <v>2</v>
      </c>
      <c r="B90" s="11">
        <v>42618.0</v>
      </c>
      <c r="C90" s="11">
        <v>42624.0</v>
      </c>
      <c r="D90" s="4">
        <v>36.0</v>
      </c>
      <c r="E90" s="4">
        <v>12285.0</v>
      </c>
      <c r="F90" s="4">
        <v>0.0</v>
      </c>
      <c r="G90" s="4"/>
    </row>
    <row r="91">
      <c r="A91" s="4" t="s">
        <v>2</v>
      </c>
      <c r="B91" s="11">
        <v>42625.0</v>
      </c>
      <c r="C91" s="11">
        <v>42631.0</v>
      </c>
      <c r="D91" s="4">
        <v>37.0</v>
      </c>
      <c r="E91" s="4">
        <v>12491.0</v>
      </c>
      <c r="F91" s="4">
        <v>0.0</v>
      </c>
      <c r="G91" s="4"/>
    </row>
    <row r="92">
      <c r="A92" s="4" t="s">
        <v>2</v>
      </c>
      <c r="B92" s="11">
        <v>42632.0</v>
      </c>
      <c r="C92" s="11">
        <v>42638.0</v>
      </c>
      <c r="D92" s="4">
        <v>38.0</v>
      </c>
      <c r="E92" s="4">
        <v>12203.0</v>
      </c>
      <c r="F92" s="4">
        <v>0.0</v>
      </c>
      <c r="G92" s="4"/>
    </row>
    <row r="93">
      <c r="A93" s="4" t="s">
        <v>2</v>
      </c>
      <c r="B93" s="11">
        <v>42639.0</v>
      </c>
      <c r="C93" s="12">
        <v>42645.0</v>
      </c>
      <c r="D93" s="4">
        <v>39.0</v>
      </c>
      <c r="E93" s="4">
        <v>12300.0</v>
      </c>
      <c r="F93" s="4">
        <v>0.0</v>
      </c>
      <c r="G93" s="4"/>
    </row>
    <row r="94">
      <c r="A94" s="4" t="s">
        <v>2</v>
      </c>
      <c r="B94" s="12">
        <v>42646.0</v>
      </c>
      <c r="C94" s="12">
        <v>42652.0</v>
      </c>
      <c r="D94" s="4">
        <v>40.0</v>
      </c>
      <c r="E94" s="4">
        <v>12500.0</v>
      </c>
      <c r="F94" s="4">
        <v>0.0</v>
      </c>
      <c r="G94" s="4"/>
    </row>
    <row r="95">
      <c r="A95" s="4" t="s">
        <v>2</v>
      </c>
      <c r="B95" s="12">
        <v>42653.0</v>
      </c>
      <c r="C95" s="12">
        <v>42659.0</v>
      </c>
      <c r="D95" s="4">
        <v>41.0</v>
      </c>
      <c r="E95" s="4">
        <v>12201.0</v>
      </c>
      <c r="F95" s="4">
        <v>0.0</v>
      </c>
      <c r="G95" s="4"/>
    </row>
    <row r="96">
      <c r="A96" s="4" t="s">
        <v>2</v>
      </c>
      <c r="B96" s="12">
        <v>42660.0</v>
      </c>
      <c r="C96" s="12">
        <v>42666.0</v>
      </c>
      <c r="D96" s="4">
        <v>42.0</v>
      </c>
      <c r="E96" s="4">
        <v>12365.0</v>
      </c>
      <c r="F96" s="4">
        <v>0.0</v>
      </c>
      <c r="G96" s="4"/>
    </row>
    <row r="97">
      <c r="A97" s="4" t="s">
        <v>2</v>
      </c>
      <c r="B97" s="12">
        <v>42667.0</v>
      </c>
      <c r="C97" s="12">
        <v>42673.0</v>
      </c>
      <c r="D97" s="4">
        <v>43.0</v>
      </c>
      <c r="E97" s="4">
        <v>12506.0</v>
      </c>
      <c r="F97" s="4">
        <v>0.0</v>
      </c>
      <c r="G97" s="4"/>
    </row>
    <row r="98">
      <c r="A98" s="4" t="s">
        <v>2</v>
      </c>
      <c r="B98" s="12">
        <v>42674.0</v>
      </c>
      <c r="C98" s="12">
        <v>42680.0</v>
      </c>
      <c r="D98" s="4">
        <v>44.0</v>
      </c>
      <c r="E98" s="4">
        <v>12735.0</v>
      </c>
      <c r="F98" s="4">
        <v>0.0</v>
      </c>
      <c r="G98" s="4"/>
    </row>
    <row r="99">
      <c r="A99" s="4" t="s">
        <v>2</v>
      </c>
      <c r="B99" s="12">
        <v>42681.0</v>
      </c>
      <c r="C99" s="12">
        <v>42687.0</v>
      </c>
      <c r="D99" s="4">
        <v>45.0</v>
      </c>
      <c r="E99" s="4">
        <v>12478.0</v>
      </c>
      <c r="F99" s="4">
        <v>0.0</v>
      </c>
      <c r="G99" s="4"/>
    </row>
    <row r="100">
      <c r="A100" s="4" t="s">
        <v>2</v>
      </c>
      <c r="B100" s="12">
        <v>42688.0</v>
      </c>
      <c r="C100" s="12">
        <v>42694.0</v>
      </c>
      <c r="D100" s="4">
        <v>46.0</v>
      </c>
      <c r="E100" s="4">
        <v>12837.0</v>
      </c>
      <c r="F100" s="4">
        <v>0.0</v>
      </c>
      <c r="G100" s="4"/>
    </row>
    <row r="101">
      <c r="A101" s="4" t="s">
        <v>2</v>
      </c>
      <c r="B101" s="12">
        <v>42695.0</v>
      </c>
      <c r="C101" s="12">
        <v>42701.0</v>
      </c>
      <c r="D101" s="4">
        <v>47.0</v>
      </c>
      <c r="E101" s="4">
        <v>13616.0</v>
      </c>
      <c r="F101" s="4">
        <v>0.0</v>
      </c>
      <c r="G101" s="4"/>
    </row>
    <row r="102">
      <c r="A102" s="4" t="s">
        <v>2</v>
      </c>
      <c r="B102" s="12">
        <v>42702.0</v>
      </c>
      <c r="C102" s="12">
        <v>42708.0</v>
      </c>
      <c r="D102" s="4">
        <v>48.0</v>
      </c>
      <c r="E102" s="4">
        <v>13678.0</v>
      </c>
      <c r="F102" s="4">
        <v>0.0</v>
      </c>
      <c r="G102" s="4"/>
    </row>
    <row r="103">
      <c r="A103" s="4" t="s">
        <v>2</v>
      </c>
      <c r="B103" s="12">
        <v>42709.0</v>
      </c>
      <c r="C103" s="12">
        <v>42715.0</v>
      </c>
      <c r="D103" s="4">
        <v>49.0</v>
      </c>
      <c r="E103" s="4">
        <v>13396.0</v>
      </c>
      <c r="F103" s="4">
        <v>0.0</v>
      </c>
      <c r="G103" s="4"/>
    </row>
    <row r="104">
      <c r="A104" s="4" t="s">
        <v>2</v>
      </c>
      <c r="B104" s="12">
        <v>42716.0</v>
      </c>
      <c r="C104" s="12">
        <v>42722.0</v>
      </c>
      <c r="D104" s="4">
        <v>50.0</v>
      </c>
      <c r="E104" s="4">
        <v>13697.0</v>
      </c>
      <c r="F104" s="4">
        <v>0.0</v>
      </c>
      <c r="G104" s="4"/>
    </row>
    <row r="105">
      <c r="A105" s="4" t="s">
        <v>2</v>
      </c>
      <c r="B105" s="12">
        <v>42723.0</v>
      </c>
      <c r="C105" s="12">
        <v>42729.0</v>
      </c>
      <c r="D105" s="4">
        <v>51.0</v>
      </c>
      <c r="E105" s="4">
        <v>13784.0</v>
      </c>
      <c r="F105" s="4">
        <v>0.0</v>
      </c>
      <c r="G105" s="4"/>
    </row>
    <row r="106">
      <c r="A106" s="4" t="s">
        <v>2</v>
      </c>
      <c r="B106" s="12">
        <v>42730.0</v>
      </c>
      <c r="C106" s="11">
        <v>42736.0</v>
      </c>
      <c r="D106" s="4">
        <v>52.0</v>
      </c>
      <c r="E106" s="4">
        <v>14313.0</v>
      </c>
      <c r="F106" s="4">
        <v>0.0</v>
      </c>
      <c r="G106" s="4"/>
    </row>
    <row r="107">
      <c r="A107" s="4" t="s">
        <v>2</v>
      </c>
      <c r="B107" s="11">
        <v>42737.0</v>
      </c>
      <c r="C107" s="11">
        <v>42743.0</v>
      </c>
      <c r="D107" s="4">
        <v>1.0</v>
      </c>
      <c r="E107" s="4">
        <v>14312.0</v>
      </c>
      <c r="F107" s="4">
        <v>0.0</v>
      </c>
      <c r="G107" s="4"/>
    </row>
    <row r="108">
      <c r="A108" s="4" t="s">
        <v>2</v>
      </c>
      <c r="B108" s="11">
        <v>42744.0</v>
      </c>
      <c r="C108" s="11">
        <v>42750.0</v>
      </c>
      <c r="D108" s="4">
        <v>2.0</v>
      </c>
      <c r="E108" s="4">
        <v>14583.0</v>
      </c>
      <c r="F108" s="4">
        <v>0.0</v>
      </c>
      <c r="G108" s="4"/>
    </row>
    <row r="109">
      <c r="A109" s="4" t="s">
        <v>2</v>
      </c>
      <c r="B109" s="11">
        <v>42751.0</v>
      </c>
      <c r="C109" s="11">
        <v>42757.0</v>
      </c>
      <c r="D109" s="4">
        <v>3.0</v>
      </c>
      <c r="E109" s="4">
        <v>14163.0</v>
      </c>
      <c r="F109" s="4">
        <v>0.0</v>
      </c>
      <c r="G109" s="4"/>
    </row>
    <row r="110">
      <c r="A110" s="4" t="s">
        <v>2</v>
      </c>
      <c r="B110" s="11">
        <v>42758.0</v>
      </c>
      <c r="C110" s="11">
        <v>42764.0</v>
      </c>
      <c r="D110" s="4">
        <v>4.0</v>
      </c>
      <c r="E110" s="4">
        <v>14118.0</v>
      </c>
      <c r="F110" s="4">
        <v>0.0</v>
      </c>
      <c r="G110" s="4"/>
    </row>
    <row r="111">
      <c r="A111" s="4" t="s">
        <v>2</v>
      </c>
      <c r="B111" s="11">
        <v>42765.0</v>
      </c>
      <c r="C111" s="11">
        <v>42771.0</v>
      </c>
      <c r="D111" s="4">
        <v>5.0</v>
      </c>
      <c r="E111" s="4">
        <v>14444.0</v>
      </c>
      <c r="F111" s="4">
        <v>0.0</v>
      </c>
      <c r="G111" s="4"/>
    </row>
    <row r="112">
      <c r="A112" s="4" t="s">
        <v>2</v>
      </c>
      <c r="B112" s="11">
        <v>42772.0</v>
      </c>
      <c r="C112" s="11">
        <v>42778.0</v>
      </c>
      <c r="D112" s="4">
        <v>6.0</v>
      </c>
      <c r="E112" s="4">
        <v>14330.0</v>
      </c>
      <c r="F112" s="4">
        <v>0.0</v>
      </c>
      <c r="G112" s="4"/>
    </row>
    <row r="113">
      <c r="A113" s="4" t="s">
        <v>2</v>
      </c>
      <c r="B113" s="11">
        <v>42779.0</v>
      </c>
      <c r="C113" s="11">
        <v>42785.0</v>
      </c>
      <c r="D113" s="4">
        <v>7.0</v>
      </c>
      <c r="E113" s="4">
        <v>14165.0</v>
      </c>
      <c r="F113" s="4">
        <v>0.0</v>
      </c>
      <c r="G113" s="4"/>
    </row>
    <row r="114">
      <c r="A114" s="4" t="s">
        <v>2</v>
      </c>
      <c r="B114" s="11">
        <v>42786.0</v>
      </c>
      <c r="C114" s="11">
        <v>42792.0</v>
      </c>
      <c r="D114" s="4">
        <v>8.0</v>
      </c>
      <c r="E114" s="4">
        <v>14278.0</v>
      </c>
      <c r="F114" s="4">
        <v>0.0</v>
      </c>
      <c r="G114" s="4"/>
    </row>
    <row r="115">
      <c r="A115" s="4" t="s">
        <v>2</v>
      </c>
      <c r="B115" s="11">
        <v>42793.0</v>
      </c>
      <c r="C115" s="11">
        <v>42799.0</v>
      </c>
      <c r="D115" s="4">
        <v>9.0</v>
      </c>
      <c r="E115" s="4">
        <v>14456.0</v>
      </c>
      <c r="F115" s="4">
        <v>0.0</v>
      </c>
      <c r="G115" s="4"/>
    </row>
    <row r="116">
      <c r="A116" s="4" t="s">
        <v>2</v>
      </c>
      <c r="B116" s="11">
        <v>42800.0</v>
      </c>
      <c r="C116" s="11">
        <v>42806.0</v>
      </c>
      <c r="D116" s="4">
        <v>10.0</v>
      </c>
      <c r="E116" s="4">
        <v>13844.0</v>
      </c>
      <c r="F116" s="4">
        <v>0.0</v>
      </c>
      <c r="G116" s="4"/>
    </row>
    <row r="117">
      <c r="A117" s="4" t="s">
        <v>2</v>
      </c>
      <c r="B117" s="11">
        <v>42807.0</v>
      </c>
      <c r="C117" s="11">
        <v>42813.0</v>
      </c>
      <c r="D117" s="4">
        <v>11.0</v>
      </c>
      <c r="E117" s="4">
        <v>13948.0</v>
      </c>
      <c r="F117" s="4">
        <v>0.0</v>
      </c>
      <c r="G117" s="4"/>
    </row>
    <row r="118">
      <c r="A118" s="4" t="s">
        <v>2</v>
      </c>
      <c r="B118" s="11">
        <v>42814.0</v>
      </c>
      <c r="C118" s="11">
        <v>42820.0</v>
      </c>
      <c r="D118" s="4">
        <v>12.0</v>
      </c>
      <c r="E118" s="4">
        <v>13878.0</v>
      </c>
      <c r="F118" s="4">
        <v>0.0</v>
      </c>
      <c r="G118" s="4"/>
    </row>
    <row r="119">
      <c r="A119" s="4" t="s">
        <v>2</v>
      </c>
      <c r="B119" s="11">
        <v>42821.0</v>
      </c>
      <c r="C119" s="11">
        <v>42827.0</v>
      </c>
      <c r="D119" s="4">
        <v>13.0</v>
      </c>
      <c r="E119" s="4">
        <v>13307.0</v>
      </c>
      <c r="F119" s="4">
        <v>0.0</v>
      </c>
      <c r="G119" s="4"/>
    </row>
    <row r="120">
      <c r="A120" s="4" t="s">
        <v>2</v>
      </c>
      <c r="B120" s="11">
        <v>42828.0</v>
      </c>
      <c r="C120" s="11">
        <v>42834.0</v>
      </c>
      <c r="D120" s="4">
        <v>14.0</v>
      </c>
      <c r="E120" s="4">
        <v>13470.0</v>
      </c>
      <c r="F120" s="4">
        <v>0.0</v>
      </c>
      <c r="G120" s="4"/>
    </row>
    <row r="121">
      <c r="A121" s="4" t="s">
        <v>2</v>
      </c>
      <c r="B121" s="11">
        <v>42835.0</v>
      </c>
      <c r="C121" s="11">
        <v>42841.0</v>
      </c>
      <c r="D121" s="4">
        <v>15.0</v>
      </c>
      <c r="E121" s="4">
        <v>13210.0</v>
      </c>
      <c r="F121" s="4">
        <v>0.0</v>
      </c>
      <c r="G121" s="4"/>
    </row>
    <row r="122">
      <c r="A122" s="4" t="s">
        <v>2</v>
      </c>
      <c r="B122" s="11">
        <v>42842.0</v>
      </c>
      <c r="C122" s="11">
        <v>42848.0</v>
      </c>
      <c r="D122" s="4">
        <v>16.0</v>
      </c>
      <c r="E122" s="4">
        <v>13212.0</v>
      </c>
      <c r="F122" s="4">
        <v>0.0</v>
      </c>
      <c r="G122" s="4"/>
    </row>
    <row r="123">
      <c r="A123" s="4" t="s">
        <v>2</v>
      </c>
      <c r="B123" s="11">
        <v>42849.0</v>
      </c>
      <c r="C123" s="11">
        <v>42855.0</v>
      </c>
      <c r="D123" s="4">
        <v>17.0</v>
      </c>
      <c r="E123" s="4">
        <v>13363.0</v>
      </c>
      <c r="F123" s="4">
        <v>0.0</v>
      </c>
      <c r="G123" s="4"/>
    </row>
    <row r="124">
      <c r="A124" s="4" t="s">
        <v>2</v>
      </c>
      <c r="B124" s="11">
        <v>42856.0</v>
      </c>
      <c r="C124" s="11">
        <v>42862.0</v>
      </c>
      <c r="D124" s="4">
        <v>18.0</v>
      </c>
      <c r="E124" s="4">
        <v>13016.0</v>
      </c>
      <c r="F124" s="4">
        <v>0.0</v>
      </c>
      <c r="G124" s="4"/>
    </row>
    <row r="125">
      <c r="A125" s="4" t="s">
        <v>2</v>
      </c>
      <c r="B125" s="11">
        <v>42863.0</v>
      </c>
      <c r="C125" s="11">
        <v>42869.0</v>
      </c>
      <c r="D125" s="4">
        <v>19.0</v>
      </c>
      <c r="E125" s="4">
        <v>12868.0</v>
      </c>
      <c r="F125" s="4">
        <v>0.0</v>
      </c>
      <c r="G125" s="4"/>
    </row>
    <row r="126">
      <c r="A126" s="4" t="s">
        <v>2</v>
      </c>
      <c r="B126" s="11">
        <v>42870.0</v>
      </c>
      <c r="C126" s="11">
        <v>42876.0</v>
      </c>
      <c r="D126" s="4">
        <v>20.0</v>
      </c>
      <c r="E126" s="4">
        <v>13361.0</v>
      </c>
      <c r="F126" s="4">
        <v>0.0</v>
      </c>
      <c r="G126" s="4"/>
    </row>
    <row r="127">
      <c r="A127" s="4" t="s">
        <v>2</v>
      </c>
      <c r="B127" s="11">
        <v>42877.0</v>
      </c>
      <c r="C127" s="11">
        <v>42883.0</v>
      </c>
      <c r="D127" s="4">
        <v>21.0</v>
      </c>
      <c r="E127" s="4">
        <v>13165.0</v>
      </c>
      <c r="F127" s="4">
        <v>0.0</v>
      </c>
      <c r="G127" s="4"/>
    </row>
    <row r="128">
      <c r="A128" s="4" t="s">
        <v>2</v>
      </c>
      <c r="B128" s="11">
        <v>42884.0</v>
      </c>
      <c r="C128" s="11">
        <v>42890.0</v>
      </c>
      <c r="D128" s="4">
        <v>22.0</v>
      </c>
      <c r="E128" s="4">
        <v>12510.0</v>
      </c>
      <c r="F128" s="4">
        <v>0.0</v>
      </c>
      <c r="G128" s="4"/>
    </row>
    <row r="129">
      <c r="A129" s="4" t="s">
        <v>2</v>
      </c>
      <c r="B129" s="11">
        <v>42891.0</v>
      </c>
      <c r="C129" s="11">
        <v>42897.0</v>
      </c>
      <c r="D129" s="4">
        <v>23.0</v>
      </c>
      <c r="E129" s="4">
        <v>12753.0</v>
      </c>
      <c r="F129" s="4">
        <v>0.0</v>
      </c>
      <c r="G129" s="4"/>
    </row>
    <row r="130">
      <c r="A130" s="4" t="s">
        <v>2</v>
      </c>
      <c r="B130" s="11">
        <v>42898.0</v>
      </c>
      <c r="C130" s="11">
        <v>42904.0</v>
      </c>
      <c r="D130" s="4">
        <v>24.0</v>
      </c>
      <c r="E130" s="4">
        <v>12724.0</v>
      </c>
      <c r="F130" s="4">
        <v>0.0</v>
      </c>
      <c r="G130" s="4"/>
    </row>
    <row r="131">
      <c r="A131" s="4" t="s">
        <v>2</v>
      </c>
      <c r="B131" s="11">
        <v>42905.0</v>
      </c>
      <c r="C131" s="11">
        <v>42911.0</v>
      </c>
      <c r="D131" s="4">
        <v>25.0</v>
      </c>
      <c r="E131" s="4">
        <v>13154.0</v>
      </c>
      <c r="F131" s="4">
        <v>0.0</v>
      </c>
      <c r="G131" s="4"/>
    </row>
    <row r="132">
      <c r="A132" s="4" t="s">
        <v>2</v>
      </c>
      <c r="B132" s="11">
        <v>42912.0</v>
      </c>
      <c r="C132" s="11">
        <v>42918.0</v>
      </c>
      <c r="D132" s="4">
        <v>26.0</v>
      </c>
      <c r="E132" s="4">
        <v>12736.0</v>
      </c>
      <c r="F132" s="4">
        <v>0.0</v>
      </c>
      <c r="G132" s="4"/>
    </row>
    <row r="133">
      <c r="A133" s="4" t="s">
        <v>2</v>
      </c>
      <c r="B133" s="11">
        <v>42919.0</v>
      </c>
      <c r="C133" s="11">
        <v>42925.0</v>
      </c>
      <c r="D133" s="4">
        <v>27.0</v>
      </c>
      <c r="E133" s="4">
        <v>12502.0</v>
      </c>
      <c r="F133" s="4">
        <v>0.0</v>
      </c>
      <c r="G133" s="4"/>
    </row>
    <row r="134">
      <c r="A134" s="4" t="s">
        <v>2</v>
      </c>
      <c r="B134" s="11">
        <v>42926.0</v>
      </c>
      <c r="C134" s="11">
        <v>42932.0</v>
      </c>
      <c r="D134" s="4">
        <v>28.0</v>
      </c>
      <c r="E134" s="4">
        <v>12822.0</v>
      </c>
      <c r="F134" s="4">
        <v>0.0</v>
      </c>
      <c r="G134" s="4"/>
    </row>
    <row r="135">
      <c r="A135" s="4" t="s">
        <v>2</v>
      </c>
      <c r="B135" s="11">
        <v>42933.0</v>
      </c>
      <c r="C135" s="11">
        <v>42939.0</v>
      </c>
      <c r="D135" s="4">
        <v>29.0</v>
      </c>
      <c r="E135" s="4">
        <v>12512.0</v>
      </c>
      <c r="F135" s="4">
        <v>0.0</v>
      </c>
      <c r="G135" s="4"/>
    </row>
    <row r="136">
      <c r="A136" s="4" t="s">
        <v>2</v>
      </c>
      <c r="B136" s="11">
        <v>42940.0</v>
      </c>
      <c r="C136" s="11">
        <v>42946.0</v>
      </c>
      <c r="D136" s="4">
        <v>30.0</v>
      </c>
      <c r="E136" s="4">
        <v>12923.0</v>
      </c>
      <c r="F136" s="4">
        <v>0.0</v>
      </c>
      <c r="G136" s="4"/>
    </row>
    <row r="137">
      <c r="A137" s="4" t="s">
        <v>2</v>
      </c>
      <c r="B137" s="11">
        <v>42947.0</v>
      </c>
      <c r="C137" s="11">
        <v>42953.0</v>
      </c>
      <c r="D137" s="4">
        <v>31.0</v>
      </c>
      <c r="E137" s="4">
        <v>12967.0</v>
      </c>
      <c r="F137" s="4">
        <v>0.0</v>
      </c>
      <c r="G137" s="4"/>
    </row>
    <row r="138">
      <c r="A138" s="4" t="s">
        <v>2</v>
      </c>
      <c r="B138" s="11">
        <v>42954.0</v>
      </c>
      <c r="C138" s="11">
        <v>42960.0</v>
      </c>
      <c r="D138" s="4">
        <v>32.0</v>
      </c>
      <c r="E138" s="4">
        <v>12464.0</v>
      </c>
      <c r="F138" s="4">
        <v>0.0</v>
      </c>
      <c r="G138" s="4"/>
    </row>
    <row r="139">
      <c r="A139" s="4" t="s">
        <v>2</v>
      </c>
      <c r="B139" s="11">
        <v>42961.0</v>
      </c>
      <c r="C139" s="11">
        <v>42967.0</v>
      </c>
      <c r="D139" s="4">
        <v>33.0</v>
      </c>
      <c r="E139" s="4">
        <v>12638.0</v>
      </c>
      <c r="F139" s="4">
        <v>0.0</v>
      </c>
      <c r="G139" s="4"/>
    </row>
    <row r="140">
      <c r="A140" s="4" t="s">
        <v>2</v>
      </c>
      <c r="B140" s="11">
        <v>42968.0</v>
      </c>
      <c r="C140" s="11">
        <v>42974.0</v>
      </c>
      <c r="D140" s="4">
        <v>34.0</v>
      </c>
      <c r="E140" s="4">
        <v>12432.0</v>
      </c>
      <c r="F140" s="4">
        <v>0.0</v>
      </c>
      <c r="G140" s="4"/>
    </row>
    <row r="141">
      <c r="A141" s="4" t="s">
        <v>2</v>
      </c>
      <c r="B141" s="11">
        <v>42975.0</v>
      </c>
      <c r="C141" s="11">
        <v>42981.0</v>
      </c>
      <c r="D141" s="4">
        <v>35.0</v>
      </c>
      <c r="E141" s="4">
        <v>12172.0</v>
      </c>
      <c r="F141" s="4">
        <v>0.0</v>
      </c>
      <c r="G141" s="4"/>
    </row>
    <row r="142">
      <c r="A142" s="4" t="s">
        <v>2</v>
      </c>
      <c r="B142" s="11">
        <v>42982.0</v>
      </c>
      <c r="C142" s="11">
        <v>42988.0</v>
      </c>
      <c r="D142" s="4">
        <v>36.0</v>
      </c>
      <c r="E142" s="4">
        <v>12933.0</v>
      </c>
      <c r="F142" s="4">
        <v>0.0</v>
      </c>
      <c r="G142" s="4"/>
    </row>
    <row r="143">
      <c r="A143" s="4" t="s">
        <v>2</v>
      </c>
      <c r="B143" s="11">
        <v>42989.0</v>
      </c>
      <c r="C143" s="11">
        <v>42995.0</v>
      </c>
      <c r="D143" s="4">
        <v>37.0</v>
      </c>
      <c r="E143" s="4">
        <v>13333.0</v>
      </c>
      <c r="F143" s="4">
        <v>0.0</v>
      </c>
      <c r="G143" s="4"/>
    </row>
    <row r="144">
      <c r="A144" s="4" t="s">
        <v>2</v>
      </c>
      <c r="B144" s="11">
        <v>42996.0</v>
      </c>
      <c r="C144" s="11">
        <v>43002.0</v>
      </c>
      <c r="D144" s="4">
        <v>38.0</v>
      </c>
      <c r="E144" s="4">
        <v>13164.0</v>
      </c>
      <c r="F144" s="4">
        <v>0.0</v>
      </c>
      <c r="G144" s="4"/>
    </row>
    <row r="145">
      <c r="A145" s="4" t="s">
        <v>2</v>
      </c>
      <c r="B145" s="11">
        <v>43003.0</v>
      </c>
      <c r="C145" s="12">
        <v>43009.0</v>
      </c>
      <c r="D145" s="4">
        <v>39.0</v>
      </c>
      <c r="E145" s="4">
        <v>12604.0</v>
      </c>
      <c r="F145" s="4">
        <v>0.0</v>
      </c>
      <c r="G145" s="4"/>
    </row>
    <row r="146">
      <c r="A146" s="4" t="s">
        <v>2</v>
      </c>
      <c r="B146" s="12">
        <v>43010.0</v>
      </c>
      <c r="C146" s="12">
        <v>43016.0</v>
      </c>
      <c r="D146" s="4">
        <v>40.0</v>
      </c>
      <c r="E146" s="4">
        <v>13026.0</v>
      </c>
      <c r="F146" s="4">
        <v>0.0</v>
      </c>
      <c r="G146" s="4"/>
    </row>
    <row r="147">
      <c r="A147" s="4" t="s">
        <v>2</v>
      </c>
      <c r="B147" s="12">
        <v>43017.0</v>
      </c>
      <c r="C147" s="12">
        <v>43023.0</v>
      </c>
      <c r="D147" s="4">
        <v>41.0</v>
      </c>
      <c r="E147" s="4">
        <v>13031.0</v>
      </c>
      <c r="F147" s="4">
        <v>0.0</v>
      </c>
      <c r="G147" s="4"/>
    </row>
    <row r="148">
      <c r="A148" s="4" t="s">
        <v>2</v>
      </c>
      <c r="B148" s="12">
        <v>43024.0</v>
      </c>
      <c r="C148" s="12">
        <v>43030.0</v>
      </c>
      <c r="D148" s="4">
        <v>42.0</v>
      </c>
      <c r="E148" s="4">
        <v>13390.0</v>
      </c>
      <c r="F148" s="4">
        <v>0.0</v>
      </c>
      <c r="G148" s="4"/>
    </row>
    <row r="149">
      <c r="A149" s="4" t="s">
        <v>2</v>
      </c>
      <c r="B149" s="12">
        <v>43031.0</v>
      </c>
      <c r="C149" s="12">
        <v>43037.0</v>
      </c>
      <c r="D149" s="4">
        <v>43.0</v>
      </c>
      <c r="E149" s="4">
        <v>13216.0</v>
      </c>
      <c r="F149" s="4">
        <v>0.0</v>
      </c>
      <c r="G149" s="4"/>
    </row>
    <row r="150">
      <c r="A150" s="4" t="s">
        <v>2</v>
      </c>
      <c r="B150" s="12">
        <v>43038.0</v>
      </c>
      <c r="C150" s="12">
        <v>43044.0</v>
      </c>
      <c r="D150" s="4">
        <v>44.0</v>
      </c>
      <c r="E150" s="4">
        <v>13538.0</v>
      </c>
      <c r="F150" s="4">
        <v>0.0</v>
      </c>
      <c r="G150" s="4"/>
    </row>
    <row r="151">
      <c r="A151" s="4" t="s">
        <v>2</v>
      </c>
      <c r="B151" s="12">
        <v>43045.0</v>
      </c>
      <c r="C151" s="12">
        <v>43051.0</v>
      </c>
      <c r="D151" s="4">
        <v>45.0</v>
      </c>
      <c r="E151" s="4">
        <v>13258.0</v>
      </c>
      <c r="F151" s="4">
        <v>0.0</v>
      </c>
      <c r="G151" s="4"/>
    </row>
    <row r="152">
      <c r="A152" s="4" t="s">
        <v>2</v>
      </c>
      <c r="B152" s="12">
        <v>43052.0</v>
      </c>
      <c r="C152" s="12">
        <v>43058.0</v>
      </c>
      <c r="D152" s="4">
        <v>46.0</v>
      </c>
      <c r="E152" s="4">
        <v>13197.0</v>
      </c>
      <c r="F152" s="4">
        <v>0.0</v>
      </c>
      <c r="G152" s="4"/>
    </row>
    <row r="153">
      <c r="A153" s="4" t="s">
        <v>2</v>
      </c>
      <c r="B153" s="12">
        <v>43059.0</v>
      </c>
      <c r="C153" s="12">
        <v>43065.0</v>
      </c>
      <c r="D153" s="4">
        <v>47.0</v>
      </c>
      <c r="E153" s="4">
        <v>13584.0</v>
      </c>
      <c r="F153" s="4">
        <v>0.0</v>
      </c>
      <c r="G153" s="4"/>
    </row>
    <row r="154">
      <c r="A154" s="4" t="s">
        <v>2</v>
      </c>
      <c r="B154" s="12">
        <v>43066.0</v>
      </c>
      <c r="C154" s="12">
        <v>43072.0</v>
      </c>
      <c r="D154" s="4">
        <v>48.0</v>
      </c>
      <c r="E154" s="4">
        <v>14233.0</v>
      </c>
      <c r="F154" s="4">
        <v>0.0</v>
      </c>
      <c r="G154" s="4"/>
    </row>
    <row r="155">
      <c r="A155" s="4" t="s">
        <v>2</v>
      </c>
      <c r="B155" s="12">
        <v>43073.0</v>
      </c>
      <c r="C155" s="12">
        <v>43079.0</v>
      </c>
      <c r="D155" s="4">
        <v>49.0</v>
      </c>
      <c r="E155" s="4">
        <v>14470.0</v>
      </c>
      <c r="F155" s="4">
        <v>0.0</v>
      </c>
      <c r="G155" s="4"/>
    </row>
    <row r="156">
      <c r="A156" s="4" t="s">
        <v>2</v>
      </c>
      <c r="B156" s="12">
        <v>43080.0</v>
      </c>
      <c r="C156" s="12">
        <v>43086.0</v>
      </c>
      <c r="D156" s="4">
        <v>50.0</v>
      </c>
      <c r="E156" s="4">
        <v>16334.0</v>
      </c>
      <c r="F156" s="4">
        <v>0.0</v>
      </c>
      <c r="G156" s="4"/>
    </row>
    <row r="157">
      <c r="A157" s="4" t="s">
        <v>2</v>
      </c>
      <c r="B157" s="12">
        <v>43087.0</v>
      </c>
      <c r="C157" s="12">
        <v>43093.0</v>
      </c>
      <c r="D157" s="4">
        <v>51.0</v>
      </c>
      <c r="E157" s="4">
        <v>15557.0</v>
      </c>
      <c r="F157" s="4">
        <v>0.0</v>
      </c>
      <c r="G157" s="4"/>
    </row>
    <row r="158">
      <c r="A158" s="4" t="s">
        <v>2</v>
      </c>
      <c r="B158" s="12">
        <v>43094.0</v>
      </c>
      <c r="C158" s="12">
        <v>43100.0</v>
      </c>
      <c r="D158" s="4">
        <v>52.0</v>
      </c>
      <c r="E158" s="4">
        <v>15492.0</v>
      </c>
      <c r="F158" s="4">
        <v>0.0</v>
      </c>
      <c r="G158" s="4"/>
    </row>
    <row r="159">
      <c r="A159" s="4" t="s">
        <v>2</v>
      </c>
      <c r="B159" s="11">
        <v>43101.0</v>
      </c>
      <c r="C159" s="11">
        <v>43107.0</v>
      </c>
      <c r="D159" s="4">
        <v>1.0</v>
      </c>
      <c r="E159" s="4">
        <v>16721.0</v>
      </c>
      <c r="F159" s="4">
        <v>0.0</v>
      </c>
      <c r="G159" s="4"/>
    </row>
    <row r="160">
      <c r="A160" s="4" t="s">
        <v>2</v>
      </c>
      <c r="B160" s="11">
        <v>43108.0</v>
      </c>
      <c r="C160" s="11">
        <v>43114.0</v>
      </c>
      <c r="D160" s="4">
        <v>2.0</v>
      </c>
      <c r="E160" s="4">
        <v>16170.0</v>
      </c>
      <c r="F160" s="4">
        <v>0.0</v>
      </c>
      <c r="G160" s="4"/>
    </row>
    <row r="161">
      <c r="A161" s="4" t="s">
        <v>2</v>
      </c>
      <c r="B161" s="11">
        <v>43115.0</v>
      </c>
      <c r="C161" s="11">
        <v>43121.0</v>
      </c>
      <c r="D161" s="4">
        <v>3.0</v>
      </c>
      <c r="E161" s="4">
        <v>16738.0</v>
      </c>
      <c r="F161" s="4">
        <v>0.0</v>
      </c>
      <c r="G161" s="4"/>
    </row>
    <row r="162">
      <c r="A162" s="4" t="s">
        <v>2</v>
      </c>
      <c r="B162" s="11">
        <v>43122.0</v>
      </c>
      <c r="C162" s="11">
        <v>43128.0</v>
      </c>
      <c r="D162" s="4">
        <v>4.0</v>
      </c>
      <c r="E162" s="4">
        <v>16041.0</v>
      </c>
      <c r="F162" s="4">
        <v>0.0</v>
      </c>
      <c r="G162" s="4"/>
    </row>
    <row r="163">
      <c r="A163" s="4" t="s">
        <v>2</v>
      </c>
      <c r="B163" s="11">
        <v>43129.0</v>
      </c>
      <c r="C163" s="11">
        <v>43135.0</v>
      </c>
      <c r="D163" s="4">
        <v>5.0</v>
      </c>
      <c r="E163" s="4">
        <v>15770.0</v>
      </c>
      <c r="F163" s="4">
        <v>0.0</v>
      </c>
      <c r="G163" s="4"/>
    </row>
    <row r="164">
      <c r="A164" s="4" t="s">
        <v>2</v>
      </c>
      <c r="B164" s="11">
        <v>43136.0</v>
      </c>
      <c r="C164" s="11">
        <v>43142.0</v>
      </c>
      <c r="D164" s="4">
        <v>6.0</v>
      </c>
      <c r="E164" s="4">
        <v>15306.0</v>
      </c>
      <c r="F164" s="4">
        <v>0.0</v>
      </c>
      <c r="G164" s="4"/>
    </row>
    <row r="165">
      <c r="A165" s="4" t="s">
        <v>2</v>
      </c>
      <c r="B165" s="11">
        <v>43143.0</v>
      </c>
      <c r="C165" s="11">
        <v>43149.0</v>
      </c>
      <c r="D165" s="4">
        <v>7.0</v>
      </c>
      <c r="E165" s="4">
        <v>14588.0</v>
      </c>
      <c r="F165" s="4">
        <v>0.0</v>
      </c>
      <c r="G165" s="4"/>
    </row>
    <row r="166">
      <c r="A166" s="4" t="s">
        <v>2</v>
      </c>
      <c r="B166" s="11">
        <v>43150.0</v>
      </c>
      <c r="C166" s="11">
        <v>43156.0</v>
      </c>
      <c r="D166" s="4">
        <v>8.0</v>
      </c>
      <c r="E166" s="4">
        <v>14199.0</v>
      </c>
      <c r="F166" s="4">
        <v>0.0</v>
      </c>
      <c r="G166" s="4"/>
    </row>
    <row r="167">
      <c r="A167" s="4" t="s">
        <v>2</v>
      </c>
      <c r="B167" s="11">
        <v>43157.0</v>
      </c>
      <c r="C167" s="11">
        <v>43163.0</v>
      </c>
      <c r="D167" s="4">
        <v>9.0</v>
      </c>
      <c r="E167" s="4">
        <v>14001.0</v>
      </c>
      <c r="F167" s="4">
        <v>0.0</v>
      </c>
      <c r="G167" s="4"/>
    </row>
    <row r="168">
      <c r="A168" s="4" t="s">
        <v>2</v>
      </c>
      <c r="B168" s="11">
        <v>43164.0</v>
      </c>
      <c r="C168" s="11">
        <v>43170.0</v>
      </c>
      <c r="D168" s="4">
        <v>10.0</v>
      </c>
      <c r="E168" s="4">
        <v>13552.0</v>
      </c>
      <c r="F168" s="4">
        <v>0.0</v>
      </c>
      <c r="G168" s="4"/>
    </row>
    <row r="169">
      <c r="A169" s="4" t="s">
        <v>2</v>
      </c>
      <c r="B169" s="11">
        <v>43171.0</v>
      </c>
      <c r="C169" s="11">
        <v>43177.0</v>
      </c>
      <c r="D169" s="4">
        <v>11.0</v>
      </c>
      <c r="E169" s="4">
        <v>13497.0</v>
      </c>
      <c r="F169" s="4">
        <v>0.0</v>
      </c>
      <c r="G169" s="4"/>
    </row>
    <row r="170">
      <c r="A170" s="4" t="s">
        <v>2</v>
      </c>
      <c r="B170" s="11">
        <v>43178.0</v>
      </c>
      <c r="C170" s="11">
        <v>43184.0</v>
      </c>
      <c r="D170" s="4">
        <v>12.0</v>
      </c>
      <c r="E170" s="4">
        <v>13254.0</v>
      </c>
      <c r="F170" s="4">
        <v>0.0</v>
      </c>
      <c r="G170" s="4"/>
    </row>
    <row r="171">
      <c r="A171" s="4" t="s">
        <v>2</v>
      </c>
      <c r="B171" s="11">
        <v>43185.0</v>
      </c>
      <c r="C171" s="11">
        <v>43191.0</v>
      </c>
      <c r="D171" s="4">
        <v>13.0</v>
      </c>
      <c r="E171" s="4">
        <v>13191.0</v>
      </c>
      <c r="F171" s="4">
        <v>0.0</v>
      </c>
      <c r="G171" s="4"/>
    </row>
    <row r="172">
      <c r="A172" s="4" t="s">
        <v>2</v>
      </c>
      <c r="B172" s="11">
        <v>43192.0</v>
      </c>
      <c r="C172" s="11">
        <v>43198.0</v>
      </c>
      <c r="D172" s="4">
        <v>14.0</v>
      </c>
      <c r="E172" s="4">
        <v>13577.0</v>
      </c>
      <c r="F172" s="4">
        <v>0.0</v>
      </c>
      <c r="G172" s="4"/>
    </row>
    <row r="173">
      <c r="A173" s="4" t="s">
        <v>2</v>
      </c>
      <c r="B173" s="11">
        <v>43199.0</v>
      </c>
      <c r="C173" s="11">
        <v>43205.0</v>
      </c>
      <c r="D173" s="4">
        <v>15.0</v>
      </c>
      <c r="E173" s="4">
        <v>12888.0</v>
      </c>
      <c r="F173" s="4">
        <v>0.0</v>
      </c>
      <c r="G173" s="4"/>
    </row>
    <row r="174">
      <c r="A174" s="4" t="s">
        <v>2</v>
      </c>
      <c r="B174" s="11">
        <v>43206.0</v>
      </c>
      <c r="C174" s="11">
        <v>43212.0</v>
      </c>
      <c r="D174" s="4">
        <v>16.0</v>
      </c>
      <c r="E174" s="4">
        <v>13080.0</v>
      </c>
      <c r="F174" s="4">
        <v>0.0</v>
      </c>
      <c r="G174" s="4"/>
    </row>
    <row r="175">
      <c r="A175" s="4" t="s">
        <v>2</v>
      </c>
      <c r="B175" s="11">
        <v>43213.0</v>
      </c>
      <c r="C175" s="11">
        <v>43219.0</v>
      </c>
      <c r="D175" s="4">
        <v>17.0</v>
      </c>
      <c r="E175" s="4">
        <v>12657.0</v>
      </c>
      <c r="F175" s="4">
        <v>0.0</v>
      </c>
      <c r="G175" s="4"/>
    </row>
    <row r="176">
      <c r="A176" s="4" t="s">
        <v>2</v>
      </c>
      <c r="B176" s="11">
        <v>43220.0</v>
      </c>
      <c r="C176" s="11">
        <v>43226.0</v>
      </c>
      <c r="D176" s="4">
        <v>18.0</v>
      </c>
      <c r="E176" s="4">
        <v>13040.0</v>
      </c>
      <c r="F176" s="4">
        <v>0.0</v>
      </c>
      <c r="G176" s="4"/>
    </row>
    <row r="177">
      <c r="A177" s="4" t="s">
        <v>2</v>
      </c>
      <c r="B177" s="11">
        <v>43227.0</v>
      </c>
      <c r="C177" s="11">
        <v>43233.0</v>
      </c>
      <c r="D177" s="4">
        <v>19.0</v>
      </c>
      <c r="E177" s="4">
        <v>12784.0</v>
      </c>
      <c r="F177" s="4">
        <v>0.0</v>
      </c>
      <c r="G177" s="4"/>
    </row>
    <row r="178">
      <c r="A178" s="4" t="s">
        <v>2</v>
      </c>
      <c r="B178" s="11">
        <v>43234.0</v>
      </c>
      <c r="C178" s="11">
        <v>43240.0</v>
      </c>
      <c r="D178" s="4">
        <v>20.0</v>
      </c>
      <c r="E178" s="4">
        <v>13172.0</v>
      </c>
      <c r="F178" s="4">
        <v>0.0</v>
      </c>
      <c r="G178" s="4"/>
    </row>
    <row r="179">
      <c r="A179" s="4" t="s">
        <v>2</v>
      </c>
      <c r="B179" s="11">
        <v>43241.0</v>
      </c>
      <c r="C179" s="11">
        <v>43247.0</v>
      </c>
      <c r="D179" s="4">
        <v>21.0</v>
      </c>
      <c r="E179" s="4">
        <v>13125.0</v>
      </c>
      <c r="F179" s="4">
        <v>0.0</v>
      </c>
      <c r="G179" s="4"/>
    </row>
    <row r="180">
      <c r="A180" s="4" t="s">
        <v>2</v>
      </c>
      <c r="B180" s="11">
        <v>43248.0</v>
      </c>
      <c r="C180" s="11">
        <v>43254.0</v>
      </c>
      <c r="D180" s="4">
        <v>22.0</v>
      </c>
      <c r="E180" s="4">
        <v>13567.0</v>
      </c>
      <c r="F180" s="4">
        <v>0.0</v>
      </c>
      <c r="G180" s="4"/>
    </row>
    <row r="181">
      <c r="A181" s="4" t="s">
        <v>2</v>
      </c>
      <c r="B181" s="11">
        <v>43255.0</v>
      </c>
      <c r="C181" s="11">
        <v>43261.0</v>
      </c>
      <c r="D181" s="4">
        <v>23.0</v>
      </c>
      <c r="E181" s="4">
        <v>13025.0</v>
      </c>
      <c r="F181" s="4">
        <v>0.0</v>
      </c>
      <c r="G181" s="4"/>
    </row>
    <row r="182">
      <c r="A182" s="4" t="s">
        <v>2</v>
      </c>
      <c r="B182" s="11">
        <v>43262.0</v>
      </c>
      <c r="C182" s="11">
        <v>43268.0</v>
      </c>
      <c r="D182" s="4">
        <v>24.0</v>
      </c>
      <c r="E182" s="4">
        <v>12451.0</v>
      </c>
      <c r="F182" s="4">
        <v>0.0</v>
      </c>
      <c r="G182" s="4"/>
    </row>
    <row r="183">
      <c r="A183" s="4" t="s">
        <v>2</v>
      </c>
      <c r="B183" s="11">
        <v>43269.0</v>
      </c>
      <c r="C183" s="11">
        <v>43275.0</v>
      </c>
      <c r="D183" s="4">
        <v>25.0</v>
      </c>
      <c r="E183" s="4">
        <v>12932.0</v>
      </c>
      <c r="F183" s="4">
        <v>0.0</v>
      </c>
      <c r="G183" s="4"/>
    </row>
    <row r="184">
      <c r="A184" s="4" t="s">
        <v>2</v>
      </c>
      <c r="B184" s="11">
        <v>43276.0</v>
      </c>
      <c r="C184" s="11">
        <v>43282.0</v>
      </c>
      <c r="D184" s="4">
        <v>26.0</v>
      </c>
      <c r="E184" s="4">
        <v>12610.0</v>
      </c>
      <c r="F184" s="4">
        <v>0.0</v>
      </c>
      <c r="G184" s="4"/>
    </row>
    <row r="185">
      <c r="A185" s="4" t="s">
        <v>2</v>
      </c>
      <c r="B185" s="11">
        <v>43283.0</v>
      </c>
      <c r="C185" s="11">
        <v>43289.0</v>
      </c>
      <c r="D185" s="4">
        <v>27.0</v>
      </c>
      <c r="E185" s="4">
        <v>12845.0</v>
      </c>
      <c r="F185" s="4">
        <v>0.0</v>
      </c>
      <c r="G185" s="4"/>
    </row>
    <row r="186">
      <c r="A186" s="4" t="s">
        <v>2</v>
      </c>
      <c r="B186" s="11">
        <v>43290.0</v>
      </c>
      <c r="C186" s="11">
        <v>43296.0</v>
      </c>
      <c r="D186" s="4">
        <v>28.0</v>
      </c>
      <c r="E186" s="4">
        <v>13114.0</v>
      </c>
      <c r="F186" s="4">
        <v>0.0</v>
      </c>
      <c r="G186" s="4"/>
    </row>
    <row r="187">
      <c r="A187" s="4" t="s">
        <v>2</v>
      </c>
      <c r="B187" s="11">
        <v>43297.0</v>
      </c>
      <c r="C187" s="11">
        <v>43303.0</v>
      </c>
      <c r="D187" s="4">
        <v>29.0</v>
      </c>
      <c r="E187" s="4">
        <v>13334.0</v>
      </c>
      <c r="F187" s="4">
        <v>0.0</v>
      </c>
      <c r="G187" s="4"/>
    </row>
    <row r="188">
      <c r="A188" s="4" t="s">
        <v>2</v>
      </c>
      <c r="B188" s="11">
        <v>43304.0</v>
      </c>
      <c r="C188" s="11">
        <v>43310.0</v>
      </c>
      <c r="D188" s="4">
        <v>30.0</v>
      </c>
      <c r="E188" s="4">
        <v>13455.0</v>
      </c>
      <c r="F188" s="4">
        <v>0.0</v>
      </c>
      <c r="G188" s="4"/>
    </row>
    <row r="189">
      <c r="A189" s="4" t="s">
        <v>2</v>
      </c>
      <c r="B189" s="11">
        <v>43311.0</v>
      </c>
      <c r="C189" s="11">
        <v>43317.0</v>
      </c>
      <c r="D189" s="4">
        <v>31.0</v>
      </c>
      <c r="E189" s="4">
        <v>12997.0</v>
      </c>
      <c r="F189" s="4">
        <v>0.0</v>
      </c>
      <c r="G189" s="4"/>
    </row>
    <row r="190">
      <c r="A190" s="4" t="s">
        <v>2</v>
      </c>
      <c r="B190" s="11">
        <v>43318.0</v>
      </c>
      <c r="C190" s="11">
        <v>43324.0</v>
      </c>
      <c r="D190" s="4">
        <v>32.0</v>
      </c>
      <c r="E190" s="4">
        <v>12602.0</v>
      </c>
      <c r="F190" s="4">
        <v>0.0</v>
      </c>
      <c r="G190" s="4"/>
    </row>
    <row r="191">
      <c r="A191" s="4" t="s">
        <v>2</v>
      </c>
      <c r="B191" s="11">
        <v>43325.0</v>
      </c>
      <c r="C191" s="11">
        <v>43331.0</v>
      </c>
      <c r="D191" s="4">
        <v>33.0</v>
      </c>
      <c r="E191" s="4">
        <v>12767.0</v>
      </c>
      <c r="F191" s="4">
        <v>0.0</v>
      </c>
      <c r="G191" s="4"/>
    </row>
    <row r="192">
      <c r="A192" s="4" t="s">
        <v>2</v>
      </c>
      <c r="B192" s="11">
        <v>43332.0</v>
      </c>
      <c r="C192" s="11">
        <v>43338.0</v>
      </c>
      <c r="D192" s="4">
        <v>34.0</v>
      </c>
      <c r="E192" s="4">
        <v>12503.0</v>
      </c>
      <c r="F192" s="4">
        <v>0.0</v>
      </c>
      <c r="G192" s="4"/>
    </row>
    <row r="193">
      <c r="A193" s="4" t="s">
        <v>2</v>
      </c>
      <c r="B193" s="11">
        <v>43339.0</v>
      </c>
      <c r="C193" s="11">
        <v>43345.0</v>
      </c>
      <c r="D193" s="4">
        <v>35.0</v>
      </c>
      <c r="E193" s="4">
        <v>12811.0</v>
      </c>
      <c r="F193" s="4">
        <v>0.0</v>
      </c>
      <c r="G193" s="4"/>
    </row>
    <row r="194">
      <c r="A194" s="4" t="s">
        <v>2</v>
      </c>
      <c r="B194" s="11">
        <v>43346.0</v>
      </c>
      <c r="C194" s="11">
        <v>43352.0</v>
      </c>
      <c r="D194" s="4">
        <v>36.0</v>
      </c>
      <c r="E194" s="4">
        <v>12556.0</v>
      </c>
      <c r="F194" s="4">
        <v>0.0</v>
      </c>
      <c r="G194" s="4"/>
    </row>
    <row r="195">
      <c r="A195" s="4" t="s">
        <v>2</v>
      </c>
      <c r="B195" s="11">
        <v>43353.0</v>
      </c>
      <c r="C195" s="11">
        <v>43359.0</v>
      </c>
      <c r="D195" s="4">
        <v>37.0</v>
      </c>
      <c r="E195" s="4">
        <v>12780.0</v>
      </c>
      <c r="F195" s="4">
        <v>0.0</v>
      </c>
      <c r="G195" s="4"/>
    </row>
    <row r="196">
      <c r="A196" s="4" t="s">
        <v>2</v>
      </c>
      <c r="B196" s="11">
        <v>43360.0</v>
      </c>
      <c r="C196" s="11">
        <v>43366.0</v>
      </c>
      <c r="D196" s="4">
        <v>38.0</v>
      </c>
      <c r="E196" s="4">
        <v>12994.0</v>
      </c>
      <c r="F196" s="4">
        <v>0.0</v>
      </c>
      <c r="G196" s="4"/>
    </row>
    <row r="197">
      <c r="A197" s="4" t="s">
        <v>2</v>
      </c>
      <c r="B197" s="11">
        <v>43367.0</v>
      </c>
      <c r="C197" s="11">
        <v>43373.0</v>
      </c>
      <c r="D197" s="4">
        <v>39.0</v>
      </c>
      <c r="E197" s="4">
        <v>12807.0</v>
      </c>
      <c r="F197" s="4">
        <v>0.0</v>
      </c>
      <c r="G197" s="4"/>
    </row>
    <row r="198">
      <c r="A198" s="4" t="s">
        <v>2</v>
      </c>
      <c r="B198" s="12">
        <v>43374.0</v>
      </c>
      <c r="C198" s="12">
        <v>43380.0</v>
      </c>
      <c r="D198" s="4">
        <v>40.0</v>
      </c>
      <c r="E198" s="4">
        <v>12931.0</v>
      </c>
      <c r="F198" s="4">
        <v>0.0</v>
      </c>
      <c r="G198" s="4"/>
    </row>
    <row r="199">
      <c r="A199" s="4" t="s">
        <v>2</v>
      </c>
      <c r="B199" s="12">
        <v>43381.0</v>
      </c>
      <c r="C199" s="12">
        <v>43387.0</v>
      </c>
      <c r="D199" s="4">
        <v>41.0</v>
      </c>
      <c r="E199" s="4">
        <v>13232.0</v>
      </c>
      <c r="F199" s="4">
        <v>0.0</v>
      </c>
      <c r="G199" s="4"/>
    </row>
    <row r="200">
      <c r="A200" s="4" t="s">
        <v>2</v>
      </c>
      <c r="B200" s="12">
        <v>43388.0</v>
      </c>
      <c r="C200" s="12">
        <v>43394.0</v>
      </c>
      <c r="D200" s="4">
        <v>42.0</v>
      </c>
      <c r="E200" s="4">
        <v>13115.0</v>
      </c>
      <c r="F200" s="4">
        <v>0.0</v>
      </c>
      <c r="G200" s="4"/>
    </row>
    <row r="201">
      <c r="A201" s="4" t="s">
        <v>2</v>
      </c>
      <c r="B201" s="12">
        <v>43395.0</v>
      </c>
      <c r="C201" s="12">
        <v>43401.0</v>
      </c>
      <c r="D201" s="4">
        <v>43.0</v>
      </c>
      <c r="E201" s="4">
        <v>13435.0</v>
      </c>
      <c r="F201" s="4">
        <v>0.0</v>
      </c>
      <c r="G201" s="4"/>
    </row>
    <row r="202">
      <c r="A202" s="4" t="s">
        <v>2</v>
      </c>
      <c r="B202" s="12">
        <v>43402.0</v>
      </c>
      <c r="C202" s="12">
        <v>43408.0</v>
      </c>
      <c r="D202" s="4">
        <v>44.0</v>
      </c>
      <c r="E202" s="4">
        <v>13772.0</v>
      </c>
      <c r="F202" s="4">
        <v>0.0</v>
      </c>
      <c r="G202" s="4"/>
    </row>
    <row r="203">
      <c r="A203" s="4" t="s">
        <v>2</v>
      </c>
      <c r="B203" s="12">
        <v>43409.0</v>
      </c>
      <c r="C203" s="12">
        <v>43415.0</v>
      </c>
      <c r="D203" s="4">
        <v>45.0</v>
      </c>
      <c r="E203" s="4">
        <v>13897.0</v>
      </c>
      <c r="F203" s="4">
        <v>0.0</v>
      </c>
      <c r="G203" s="4"/>
    </row>
    <row r="204">
      <c r="A204" s="4" t="s">
        <v>2</v>
      </c>
      <c r="B204" s="12">
        <v>43416.0</v>
      </c>
      <c r="C204" s="12">
        <v>43422.0</v>
      </c>
      <c r="D204" s="4">
        <v>46.0</v>
      </c>
      <c r="E204" s="4">
        <v>14612.0</v>
      </c>
      <c r="F204" s="4">
        <v>0.0</v>
      </c>
      <c r="G204" s="4"/>
    </row>
    <row r="205">
      <c r="A205" s="4" t="s">
        <v>2</v>
      </c>
      <c r="B205" s="12">
        <v>43423.0</v>
      </c>
      <c r="C205" s="12">
        <v>43429.0</v>
      </c>
      <c r="D205" s="4">
        <v>47.0</v>
      </c>
      <c r="E205" s="4">
        <v>15202.0</v>
      </c>
      <c r="F205" s="4">
        <v>0.0</v>
      </c>
      <c r="G205" s="4"/>
    </row>
    <row r="206">
      <c r="A206" s="4" t="s">
        <v>2</v>
      </c>
      <c r="B206" s="12">
        <v>43430.0</v>
      </c>
      <c r="C206" s="12">
        <v>43436.0</v>
      </c>
      <c r="D206" s="4">
        <v>48.0</v>
      </c>
      <c r="E206" s="4">
        <v>14647.0</v>
      </c>
      <c r="F206" s="4">
        <v>0.0</v>
      </c>
      <c r="G206" s="4"/>
    </row>
    <row r="207">
      <c r="A207" s="4" t="s">
        <v>2</v>
      </c>
      <c r="B207" s="12">
        <v>43437.0</v>
      </c>
      <c r="C207" s="12">
        <v>43443.0</v>
      </c>
      <c r="D207" s="4">
        <v>49.0</v>
      </c>
      <c r="E207" s="4">
        <v>14833.0</v>
      </c>
      <c r="F207" s="4">
        <v>0.0</v>
      </c>
      <c r="G207" s="4"/>
    </row>
    <row r="208">
      <c r="A208" s="4" t="s">
        <v>2</v>
      </c>
      <c r="B208" s="12">
        <v>43444.0</v>
      </c>
      <c r="C208" s="12">
        <v>43450.0</v>
      </c>
      <c r="D208" s="4">
        <v>50.0</v>
      </c>
      <c r="E208" s="4">
        <v>15216.0</v>
      </c>
      <c r="F208" s="4">
        <v>0.0</v>
      </c>
      <c r="G208" s="4"/>
    </row>
    <row r="209">
      <c r="A209" s="4" t="s">
        <v>2</v>
      </c>
      <c r="B209" s="12">
        <v>43451.0</v>
      </c>
      <c r="C209" s="12">
        <v>43457.0</v>
      </c>
      <c r="D209" s="4">
        <v>51.0</v>
      </c>
      <c r="E209" s="4">
        <v>16440.0</v>
      </c>
      <c r="F209" s="4">
        <v>0.0</v>
      </c>
      <c r="G209" s="4"/>
    </row>
    <row r="210">
      <c r="A210" s="4" t="s">
        <v>2</v>
      </c>
      <c r="B210" s="12">
        <v>43458.0</v>
      </c>
      <c r="C210" s="12">
        <v>43464.0</v>
      </c>
      <c r="D210" s="4">
        <v>52.0</v>
      </c>
      <c r="E210" s="4">
        <v>17373.0</v>
      </c>
      <c r="F210" s="4">
        <v>0.0</v>
      </c>
      <c r="G210" s="4"/>
    </row>
    <row r="211">
      <c r="A211" s="4" t="s">
        <v>2</v>
      </c>
      <c r="B211" s="12">
        <v>43465.0</v>
      </c>
      <c r="C211" s="11">
        <v>43471.0</v>
      </c>
      <c r="D211" s="4">
        <v>1.0</v>
      </c>
      <c r="E211" s="4">
        <v>17723.0</v>
      </c>
      <c r="F211" s="4">
        <v>0.0</v>
      </c>
      <c r="G211" s="4"/>
    </row>
    <row r="212">
      <c r="A212" s="4" t="s">
        <v>2</v>
      </c>
      <c r="B212" s="11">
        <v>43472.0</v>
      </c>
      <c r="C212" s="11">
        <v>43478.0</v>
      </c>
      <c r="D212" s="4">
        <v>2.0</v>
      </c>
      <c r="E212" s="4">
        <v>16602.0</v>
      </c>
      <c r="F212" s="4">
        <v>0.0</v>
      </c>
      <c r="G212" s="4"/>
    </row>
    <row r="213">
      <c r="A213" s="4" t="s">
        <v>2</v>
      </c>
      <c r="B213" s="11">
        <v>43479.0</v>
      </c>
      <c r="C213" s="11">
        <v>43485.0</v>
      </c>
      <c r="D213" s="4">
        <v>3.0</v>
      </c>
      <c r="E213" s="4">
        <v>16252.0</v>
      </c>
      <c r="F213" s="4">
        <v>0.0</v>
      </c>
      <c r="G213" s="4"/>
    </row>
    <row r="214">
      <c r="A214" s="4" t="s">
        <v>2</v>
      </c>
      <c r="B214" s="11">
        <v>43486.0</v>
      </c>
      <c r="C214" s="11">
        <v>43492.0</v>
      </c>
      <c r="D214" s="4">
        <v>4.0</v>
      </c>
      <c r="E214" s="4">
        <v>15864.0</v>
      </c>
      <c r="F214" s="4">
        <v>0.0</v>
      </c>
      <c r="G214" s="4"/>
    </row>
    <row r="215">
      <c r="A215" s="4" t="s">
        <v>2</v>
      </c>
      <c r="B215" s="11">
        <v>43493.0</v>
      </c>
      <c r="C215" s="11">
        <v>43499.0</v>
      </c>
      <c r="D215" s="4">
        <v>5.0</v>
      </c>
      <c r="E215" s="4">
        <v>15862.0</v>
      </c>
      <c r="F215" s="4">
        <v>0.0</v>
      </c>
      <c r="G215" s="4"/>
    </row>
    <row r="216">
      <c r="A216" s="4" t="s">
        <v>2</v>
      </c>
      <c r="B216" s="11">
        <v>43500.0</v>
      </c>
      <c r="C216" s="11">
        <v>43506.0</v>
      </c>
      <c r="D216" s="4">
        <v>6.0</v>
      </c>
      <c r="E216" s="4">
        <v>15689.0</v>
      </c>
      <c r="F216" s="4">
        <v>0.0</v>
      </c>
      <c r="G216" s="4"/>
    </row>
    <row r="217">
      <c r="A217" s="4" t="s">
        <v>2</v>
      </c>
      <c r="B217" s="11">
        <v>43507.0</v>
      </c>
      <c r="C217" s="11">
        <v>43513.0</v>
      </c>
      <c r="D217" s="4">
        <v>7.0</v>
      </c>
      <c r="E217" s="4">
        <v>15445.0</v>
      </c>
      <c r="F217" s="4">
        <v>0.0</v>
      </c>
      <c r="G217" s="4"/>
    </row>
    <row r="218">
      <c r="A218" s="4" t="s">
        <v>2</v>
      </c>
      <c r="B218" s="11">
        <v>43514.0</v>
      </c>
      <c r="C218" s="11">
        <v>43520.0</v>
      </c>
      <c r="D218" s="4">
        <v>8.0</v>
      </c>
      <c r="E218" s="4">
        <v>14755.0</v>
      </c>
      <c r="F218" s="4">
        <v>0.0</v>
      </c>
      <c r="G218" s="4"/>
    </row>
    <row r="219">
      <c r="A219" s="4" t="s">
        <v>2</v>
      </c>
      <c r="B219" s="11">
        <v>43521.0</v>
      </c>
      <c r="C219" s="11">
        <v>43527.0</v>
      </c>
      <c r="D219" s="4">
        <v>9.0</v>
      </c>
      <c r="E219" s="4">
        <v>14639.0</v>
      </c>
      <c r="F219" s="4">
        <v>0.0</v>
      </c>
      <c r="G219" s="4"/>
    </row>
    <row r="220">
      <c r="A220" s="4" t="s">
        <v>2</v>
      </c>
      <c r="B220" s="11">
        <v>43528.0</v>
      </c>
      <c r="C220" s="11">
        <v>43534.0</v>
      </c>
      <c r="D220" s="4">
        <v>10.0</v>
      </c>
      <c r="E220" s="4">
        <v>14391.0</v>
      </c>
      <c r="F220" s="4">
        <v>0.0</v>
      </c>
      <c r="G220" s="4"/>
    </row>
    <row r="221">
      <c r="A221" s="4" t="s">
        <v>2</v>
      </c>
      <c r="B221" s="11">
        <v>43535.0</v>
      </c>
      <c r="C221" s="11">
        <v>43541.0</v>
      </c>
      <c r="D221" s="4">
        <v>11.0</v>
      </c>
      <c r="E221" s="4">
        <v>13749.0</v>
      </c>
      <c r="F221" s="4">
        <v>0.0</v>
      </c>
      <c r="G221" s="4"/>
    </row>
    <row r="222">
      <c r="A222" s="4" t="s">
        <v>2</v>
      </c>
      <c r="B222" s="11">
        <v>43542.0</v>
      </c>
      <c r="C222" s="11">
        <v>43548.0</v>
      </c>
      <c r="D222" s="4">
        <v>12.0</v>
      </c>
      <c r="E222" s="4">
        <v>13660.0</v>
      </c>
      <c r="F222" s="4">
        <v>0.0</v>
      </c>
      <c r="G222" s="4"/>
    </row>
    <row r="223">
      <c r="A223" s="4" t="s">
        <v>2</v>
      </c>
      <c r="B223" s="11">
        <v>43549.0</v>
      </c>
      <c r="C223" s="11">
        <v>43555.0</v>
      </c>
      <c r="D223" s="4">
        <v>13.0</v>
      </c>
      <c r="E223" s="4">
        <v>13903.0</v>
      </c>
      <c r="F223" s="4">
        <v>0.0</v>
      </c>
      <c r="G223" s="4"/>
    </row>
    <row r="224">
      <c r="A224" s="4" t="s">
        <v>2</v>
      </c>
      <c r="B224" s="11">
        <v>43556.0</v>
      </c>
      <c r="C224" s="11">
        <v>43562.0</v>
      </c>
      <c r="D224" s="4">
        <v>14.0</v>
      </c>
      <c r="E224" s="4">
        <v>14049.0</v>
      </c>
      <c r="F224" s="4">
        <v>0.0</v>
      </c>
      <c r="G224" s="4"/>
    </row>
    <row r="225">
      <c r="A225" s="4" t="s">
        <v>2</v>
      </c>
      <c r="B225" s="11">
        <v>43563.0</v>
      </c>
      <c r="C225" s="11">
        <v>43569.0</v>
      </c>
      <c r="D225" s="4">
        <v>15.0</v>
      </c>
      <c r="E225" s="4">
        <v>13718.0</v>
      </c>
      <c r="F225" s="4">
        <v>0.0</v>
      </c>
      <c r="G225" s="4"/>
    </row>
    <row r="226">
      <c r="A226" s="4" t="s">
        <v>2</v>
      </c>
      <c r="B226" s="11">
        <v>43570.0</v>
      </c>
      <c r="C226" s="11">
        <v>43576.0</v>
      </c>
      <c r="D226" s="4">
        <v>16.0</v>
      </c>
      <c r="E226" s="4">
        <v>13743.0</v>
      </c>
      <c r="F226" s="4">
        <v>0.0</v>
      </c>
      <c r="G226" s="4"/>
    </row>
    <row r="227">
      <c r="A227" s="4" t="s">
        <v>2</v>
      </c>
      <c r="B227" s="11">
        <v>43577.0</v>
      </c>
      <c r="C227" s="11">
        <v>43583.0</v>
      </c>
      <c r="D227" s="4">
        <v>17.0</v>
      </c>
      <c r="E227" s="4">
        <v>13718.0</v>
      </c>
      <c r="F227" s="4">
        <v>0.0</v>
      </c>
      <c r="G227" s="4"/>
    </row>
    <row r="228">
      <c r="A228" s="4" t="s">
        <v>2</v>
      </c>
      <c r="B228" s="11">
        <v>43584.0</v>
      </c>
      <c r="C228" s="11">
        <v>43590.0</v>
      </c>
      <c r="D228" s="4">
        <v>18.0</v>
      </c>
      <c r="E228" s="4">
        <v>13698.0</v>
      </c>
      <c r="F228" s="4">
        <v>0.0</v>
      </c>
      <c r="G228" s="4"/>
    </row>
    <row r="229">
      <c r="A229" s="4" t="s">
        <v>2</v>
      </c>
      <c r="B229" s="11">
        <v>43591.0</v>
      </c>
      <c r="C229" s="11">
        <v>43597.0</v>
      </c>
      <c r="D229" s="4">
        <v>19.0</v>
      </c>
      <c r="E229" s="4">
        <v>13792.0</v>
      </c>
      <c r="F229" s="4">
        <v>0.0</v>
      </c>
      <c r="G229" s="4"/>
    </row>
    <row r="230">
      <c r="A230" s="4" t="s">
        <v>2</v>
      </c>
      <c r="B230" s="11">
        <v>43598.0</v>
      </c>
      <c r="C230" s="11">
        <v>43604.0</v>
      </c>
      <c r="D230" s="4">
        <v>20.0</v>
      </c>
      <c r="E230" s="4">
        <v>13590.0</v>
      </c>
      <c r="F230" s="4">
        <v>0.0</v>
      </c>
      <c r="G230" s="4"/>
    </row>
    <row r="231">
      <c r="A231" s="4" t="s">
        <v>2</v>
      </c>
      <c r="B231" s="11">
        <v>43605.0</v>
      </c>
      <c r="C231" s="11">
        <v>43611.0</v>
      </c>
      <c r="D231" s="4">
        <v>21.0</v>
      </c>
      <c r="E231" s="4">
        <v>14160.0</v>
      </c>
      <c r="F231" s="4">
        <v>0.0</v>
      </c>
      <c r="G231" s="4"/>
    </row>
    <row r="232">
      <c r="A232" s="4" t="s">
        <v>2</v>
      </c>
      <c r="B232" s="11">
        <v>43612.0</v>
      </c>
      <c r="C232" s="11">
        <v>43618.0</v>
      </c>
      <c r="D232" s="4">
        <v>22.0</v>
      </c>
      <c r="E232" s="4">
        <v>13438.0</v>
      </c>
      <c r="F232" s="4">
        <v>0.0</v>
      </c>
      <c r="G232" s="4"/>
    </row>
    <row r="233">
      <c r="A233" s="4" t="s">
        <v>2</v>
      </c>
      <c r="B233" s="11">
        <v>43619.0</v>
      </c>
      <c r="C233" s="11">
        <v>43625.0</v>
      </c>
      <c r="D233" s="4">
        <v>23.0</v>
      </c>
      <c r="E233" s="4">
        <v>13382.0</v>
      </c>
      <c r="F233" s="4">
        <v>0.0</v>
      </c>
      <c r="G233" s="4"/>
    </row>
    <row r="234">
      <c r="A234" s="4" t="s">
        <v>2</v>
      </c>
      <c r="B234" s="11">
        <v>43626.0</v>
      </c>
      <c r="C234" s="11">
        <v>43632.0</v>
      </c>
      <c r="D234" s="4">
        <v>24.0</v>
      </c>
      <c r="E234" s="4">
        <v>13398.0</v>
      </c>
      <c r="F234" s="4">
        <v>0.0</v>
      </c>
      <c r="G234" s="4"/>
    </row>
    <row r="235">
      <c r="A235" s="4" t="s">
        <v>2</v>
      </c>
      <c r="B235" s="11">
        <v>43633.0</v>
      </c>
      <c r="C235" s="11">
        <v>43639.0</v>
      </c>
      <c r="D235" s="4">
        <v>25.0</v>
      </c>
      <c r="E235" s="4">
        <v>13562.0</v>
      </c>
      <c r="F235" s="4">
        <v>0.0</v>
      </c>
      <c r="G235" s="4"/>
    </row>
    <row r="236">
      <c r="A236" s="4" t="s">
        <v>2</v>
      </c>
      <c r="B236" s="11">
        <v>43640.0</v>
      </c>
      <c r="C236" s="11">
        <v>43646.0</v>
      </c>
      <c r="D236" s="4">
        <v>26.0</v>
      </c>
      <c r="E236" s="4">
        <v>13111.0</v>
      </c>
      <c r="F236" s="4">
        <v>0.0</v>
      </c>
      <c r="G236" s="4"/>
    </row>
    <row r="237">
      <c r="A237" s="4" t="s">
        <v>2</v>
      </c>
      <c r="B237" s="11">
        <v>43647.0</v>
      </c>
      <c r="C237" s="11">
        <v>43653.0</v>
      </c>
      <c r="D237" s="4">
        <v>27.0</v>
      </c>
      <c r="E237" s="4">
        <v>13496.0</v>
      </c>
      <c r="F237" s="4">
        <v>0.0</v>
      </c>
      <c r="G237" s="4"/>
    </row>
    <row r="238">
      <c r="A238" s="4" t="s">
        <v>2</v>
      </c>
      <c r="B238" s="11">
        <v>43654.0</v>
      </c>
      <c r="C238" s="11">
        <v>43660.0</v>
      </c>
      <c r="D238" s="4">
        <v>28.0</v>
      </c>
      <c r="E238" s="4">
        <v>13146.0</v>
      </c>
      <c r="F238" s="4">
        <v>0.0</v>
      </c>
      <c r="G238" s="4"/>
    </row>
    <row r="239">
      <c r="A239" s="4" t="s">
        <v>2</v>
      </c>
      <c r="B239" s="11">
        <v>43661.0</v>
      </c>
      <c r="C239" s="11">
        <v>43667.0</v>
      </c>
      <c r="D239" s="4">
        <v>29.0</v>
      </c>
      <c r="E239" s="4">
        <v>13276.0</v>
      </c>
      <c r="F239" s="4">
        <v>0.0</v>
      </c>
      <c r="G239" s="4"/>
    </row>
    <row r="240">
      <c r="A240" s="4" t="s">
        <v>2</v>
      </c>
      <c r="B240" s="11">
        <v>43668.0</v>
      </c>
      <c r="C240" s="11">
        <v>43674.0</v>
      </c>
      <c r="D240" s="4">
        <v>30.0</v>
      </c>
      <c r="E240" s="4">
        <v>13256.0</v>
      </c>
      <c r="F240" s="4">
        <v>0.0</v>
      </c>
      <c r="G240" s="4"/>
    </row>
    <row r="241">
      <c r="A241" s="4" t="s">
        <v>2</v>
      </c>
      <c r="B241" s="11">
        <v>43675.0</v>
      </c>
      <c r="C241" s="11">
        <v>43681.0</v>
      </c>
      <c r="D241" s="4">
        <v>31.0</v>
      </c>
      <c r="E241" s="4">
        <v>13596.0</v>
      </c>
      <c r="F241" s="4">
        <v>0.0</v>
      </c>
      <c r="G241" s="4"/>
    </row>
    <row r="242">
      <c r="A242" s="4" t="s">
        <v>2</v>
      </c>
      <c r="B242" s="11">
        <v>43682.0</v>
      </c>
      <c r="C242" s="11">
        <v>43688.0</v>
      </c>
      <c r="D242" s="4">
        <v>32.0</v>
      </c>
      <c r="E242" s="4">
        <v>13242.0</v>
      </c>
      <c r="F242" s="4">
        <v>0.0</v>
      </c>
      <c r="G242" s="4"/>
    </row>
    <row r="243">
      <c r="A243" s="4" t="s">
        <v>2</v>
      </c>
      <c r="B243" s="11">
        <v>43689.0</v>
      </c>
      <c r="C243" s="11">
        <v>43695.0</v>
      </c>
      <c r="D243" s="4">
        <v>33.0</v>
      </c>
      <c r="E243" s="4">
        <v>13610.0</v>
      </c>
      <c r="F243" s="4">
        <v>0.0</v>
      </c>
      <c r="G243" s="4"/>
    </row>
    <row r="244">
      <c r="A244" s="4" t="s">
        <v>2</v>
      </c>
      <c r="B244" s="11">
        <v>43696.0</v>
      </c>
      <c r="C244" s="11">
        <v>43702.0</v>
      </c>
      <c r="D244" s="4">
        <v>34.0</v>
      </c>
      <c r="E244" s="4">
        <v>13293.0</v>
      </c>
      <c r="F244" s="4">
        <v>0.0</v>
      </c>
      <c r="G244" s="4"/>
    </row>
    <row r="245">
      <c r="A245" s="4" t="s">
        <v>2</v>
      </c>
      <c r="B245" s="11">
        <v>43703.0</v>
      </c>
      <c r="C245" s="11">
        <v>43709.0</v>
      </c>
      <c r="D245" s="4">
        <v>35.0</v>
      </c>
      <c r="E245" s="4">
        <v>13023.0</v>
      </c>
      <c r="F245" s="4">
        <v>0.0</v>
      </c>
      <c r="G245" s="4"/>
    </row>
    <row r="246">
      <c r="A246" s="4" t="s">
        <v>2</v>
      </c>
      <c r="B246" s="11">
        <v>43710.0</v>
      </c>
      <c r="C246" s="11">
        <v>43716.0</v>
      </c>
      <c r="D246" s="4">
        <v>36.0</v>
      </c>
      <c r="E246" s="4">
        <v>12986.0</v>
      </c>
      <c r="F246" s="4">
        <v>0.0</v>
      </c>
      <c r="G246" s="4"/>
    </row>
    <row r="247">
      <c r="A247" s="4" t="s">
        <v>2</v>
      </c>
      <c r="B247" s="11">
        <v>43717.0</v>
      </c>
      <c r="C247" s="11">
        <v>43723.0</v>
      </c>
      <c r="D247" s="4">
        <v>37.0</v>
      </c>
      <c r="E247" s="4">
        <v>12943.0</v>
      </c>
      <c r="F247" s="4">
        <v>0.0</v>
      </c>
      <c r="G247" s="4"/>
    </row>
    <row r="248">
      <c r="A248" s="4" t="s">
        <v>2</v>
      </c>
      <c r="B248" s="11">
        <v>43724.0</v>
      </c>
      <c r="C248" s="11">
        <v>43730.0</v>
      </c>
      <c r="D248" s="4">
        <v>38.0</v>
      </c>
      <c r="E248" s="4">
        <v>13838.0</v>
      </c>
      <c r="F248" s="4">
        <v>0.0</v>
      </c>
      <c r="G248" s="4"/>
    </row>
    <row r="249">
      <c r="A249" s="4" t="s">
        <v>2</v>
      </c>
      <c r="B249" s="11">
        <v>43731.0</v>
      </c>
      <c r="C249" s="11">
        <v>43737.0</v>
      </c>
      <c r="D249" s="4">
        <v>39.0</v>
      </c>
      <c r="E249" s="4">
        <v>13521.0</v>
      </c>
      <c r="F249" s="4">
        <v>0.0</v>
      </c>
      <c r="G249" s="4"/>
    </row>
    <row r="250">
      <c r="A250" s="4" t="s">
        <v>2</v>
      </c>
      <c r="B250" s="11">
        <v>43738.0</v>
      </c>
      <c r="C250" s="12">
        <v>43744.0</v>
      </c>
      <c r="D250" s="4">
        <v>40.0</v>
      </c>
      <c r="E250" s="4">
        <v>13433.0</v>
      </c>
      <c r="F250" s="4">
        <v>0.0</v>
      </c>
      <c r="G250" s="4"/>
    </row>
    <row r="251">
      <c r="A251" s="4" t="s">
        <v>2</v>
      </c>
      <c r="B251" s="12">
        <v>43745.0</v>
      </c>
      <c r="C251" s="12">
        <v>43751.0</v>
      </c>
      <c r="D251" s="4">
        <v>41.0</v>
      </c>
      <c r="E251" s="4">
        <v>13438.0</v>
      </c>
      <c r="F251" s="4">
        <v>0.0</v>
      </c>
      <c r="G251" s="4"/>
    </row>
    <row r="252">
      <c r="A252" s="4" t="s">
        <v>2</v>
      </c>
      <c r="B252" s="12">
        <v>43752.0</v>
      </c>
      <c r="C252" s="12">
        <v>43758.0</v>
      </c>
      <c r="D252" s="4">
        <v>42.0</v>
      </c>
      <c r="E252" s="4">
        <v>13736.0</v>
      </c>
      <c r="F252" s="4">
        <v>0.0</v>
      </c>
      <c r="G252" s="4"/>
    </row>
    <row r="253">
      <c r="A253" s="4" t="s">
        <v>2</v>
      </c>
      <c r="B253" s="12">
        <v>43759.0</v>
      </c>
      <c r="C253" s="12">
        <v>43765.0</v>
      </c>
      <c r="D253" s="4">
        <v>43.0</v>
      </c>
      <c r="E253" s="4">
        <v>13611.0</v>
      </c>
      <c r="F253" s="4">
        <v>0.0</v>
      </c>
      <c r="G253" s="4"/>
    </row>
    <row r="254">
      <c r="A254" s="4" t="s">
        <v>2</v>
      </c>
      <c r="B254" s="12">
        <v>43766.0</v>
      </c>
      <c r="C254" s="12">
        <v>43772.0</v>
      </c>
      <c r="D254" s="4">
        <v>44.0</v>
      </c>
      <c r="E254" s="4">
        <v>13959.0</v>
      </c>
      <c r="F254" s="4">
        <v>0.0</v>
      </c>
      <c r="G254" s="4"/>
    </row>
    <row r="255">
      <c r="A255" s="4" t="s">
        <v>2</v>
      </c>
      <c r="B255" s="12">
        <v>43773.0</v>
      </c>
      <c r="C255" s="12">
        <v>43779.0</v>
      </c>
      <c r="D255" s="4">
        <v>45.0</v>
      </c>
      <c r="E255" s="4">
        <v>14035.0</v>
      </c>
      <c r="F255" s="4">
        <v>0.0</v>
      </c>
      <c r="G255" s="4"/>
    </row>
    <row r="256">
      <c r="A256" s="4" t="s">
        <v>2</v>
      </c>
      <c r="B256" s="12">
        <v>43780.0</v>
      </c>
      <c r="C256" s="12">
        <v>43786.0</v>
      </c>
      <c r="D256" s="4">
        <v>46.0</v>
      </c>
      <c r="E256" s="4">
        <v>14238.0</v>
      </c>
      <c r="F256" s="4">
        <v>0.0</v>
      </c>
      <c r="G256" s="4"/>
    </row>
    <row r="257">
      <c r="A257" s="4" t="s">
        <v>2</v>
      </c>
      <c r="B257" s="12">
        <v>43787.0</v>
      </c>
      <c r="C257" s="12">
        <v>43793.0</v>
      </c>
      <c r="D257" s="4">
        <v>47.0</v>
      </c>
      <c r="E257" s="4">
        <v>14855.0</v>
      </c>
      <c r="F257" s="4">
        <v>0.0</v>
      </c>
      <c r="G257" s="4"/>
    </row>
    <row r="258">
      <c r="A258" s="4" t="s">
        <v>2</v>
      </c>
      <c r="B258" s="12">
        <v>43794.0</v>
      </c>
      <c r="C258" s="12">
        <v>43800.0</v>
      </c>
      <c r="D258" s="4">
        <v>48.0</v>
      </c>
      <c r="E258" s="4">
        <v>13793.0</v>
      </c>
      <c r="F258" s="4">
        <v>0.0</v>
      </c>
      <c r="G258" s="4"/>
    </row>
    <row r="259">
      <c r="A259" s="4" t="s">
        <v>2</v>
      </c>
      <c r="B259" s="12">
        <v>43801.0</v>
      </c>
      <c r="C259" s="12">
        <v>43807.0</v>
      </c>
      <c r="D259" s="4">
        <v>49.0</v>
      </c>
      <c r="E259" s="4">
        <v>13894.0</v>
      </c>
      <c r="F259" s="4">
        <v>0.0</v>
      </c>
      <c r="G259" s="4"/>
    </row>
    <row r="260">
      <c r="A260" s="4" t="s">
        <v>2</v>
      </c>
      <c r="B260" s="12">
        <v>43808.0</v>
      </c>
      <c r="C260" s="12">
        <v>43814.0</v>
      </c>
      <c r="D260" s="4">
        <v>50.0</v>
      </c>
      <c r="E260" s="4">
        <v>13926.0</v>
      </c>
      <c r="F260" s="4">
        <v>0.0</v>
      </c>
      <c r="G260" s="4"/>
    </row>
    <row r="261">
      <c r="A261" s="4" t="s">
        <v>2</v>
      </c>
      <c r="B261" s="12">
        <v>43815.0</v>
      </c>
      <c r="C261" s="12">
        <v>43821.0</v>
      </c>
      <c r="D261" s="4">
        <v>51.0</v>
      </c>
      <c r="E261" s="4">
        <v>13545.0</v>
      </c>
      <c r="F261" s="4">
        <v>0.0</v>
      </c>
      <c r="G261" s="4"/>
    </row>
    <row r="262">
      <c r="A262" s="4" t="s">
        <v>2</v>
      </c>
      <c r="B262" s="12">
        <v>43822.0</v>
      </c>
      <c r="C262" s="12">
        <v>43828.0</v>
      </c>
      <c r="D262" s="4">
        <v>52.0</v>
      </c>
      <c r="E262" s="4">
        <v>15621.0</v>
      </c>
      <c r="F262" s="4">
        <v>0.0</v>
      </c>
      <c r="G262" s="4"/>
    </row>
    <row r="263">
      <c r="A263" s="4" t="s">
        <v>2</v>
      </c>
      <c r="B263" s="12">
        <v>43829.0</v>
      </c>
      <c r="C263" s="11">
        <v>43835.0</v>
      </c>
      <c r="D263" s="4">
        <v>1.0</v>
      </c>
      <c r="E263" s="4">
        <v>16518.0</v>
      </c>
      <c r="F263" s="4">
        <v>0.0</v>
      </c>
      <c r="G263" s="4"/>
    </row>
    <row r="264">
      <c r="A264" s="4" t="s">
        <v>2</v>
      </c>
      <c r="B264" s="11">
        <v>43836.0</v>
      </c>
      <c r="C264" s="11">
        <v>43842.0</v>
      </c>
      <c r="D264" s="4">
        <v>2.0</v>
      </c>
      <c r="E264" s="4">
        <v>16736.0</v>
      </c>
      <c r="F264" s="4">
        <v>0.0</v>
      </c>
      <c r="G264" s="4"/>
    </row>
    <row r="265">
      <c r="A265" s="4" t="s">
        <v>2</v>
      </c>
      <c r="B265" s="11">
        <v>43843.0</v>
      </c>
      <c r="C265" s="11">
        <v>43849.0</v>
      </c>
      <c r="D265" s="4">
        <v>3.0</v>
      </c>
      <c r="E265" s="4">
        <v>16195.0</v>
      </c>
      <c r="F265" s="4">
        <v>0.0</v>
      </c>
      <c r="G265" s="4"/>
    </row>
    <row r="266">
      <c r="A266" s="4" t="s">
        <v>2</v>
      </c>
      <c r="B266" s="11">
        <v>43850.0</v>
      </c>
      <c r="C266" s="11">
        <v>43856.0</v>
      </c>
      <c r="D266" s="4">
        <v>4.0</v>
      </c>
      <c r="E266" s="4">
        <v>15601.0</v>
      </c>
      <c r="F266" s="4">
        <v>0.0</v>
      </c>
      <c r="G266" s="4"/>
    </row>
    <row r="267">
      <c r="A267" s="4" t="s">
        <v>2</v>
      </c>
      <c r="B267" s="11">
        <v>43857.0</v>
      </c>
      <c r="C267" s="11">
        <v>43863.0</v>
      </c>
      <c r="D267" s="4">
        <v>5.0</v>
      </c>
      <c r="E267" s="4">
        <v>15217.0</v>
      </c>
      <c r="F267" s="4">
        <v>0.0</v>
      </c>
      <c r="G267" s="4"/>
    </row>
    <row r="268">
      <c r="A268" s="4" t="s">
        <v>2</v>
      </c>
      <c r="B268" s="11">
        <v>43864.0</v>
      </c>
      <c r="C268" s="11">
        <v>43870.0</v>
      </c>
      <c r="D268" s="4">
        <v>6.0</v>
      </c>
      <c r="E268" s="4">
        <v>15711.0</v>
      </c>
      <c r="F268" s="4">
        <v>0.0</v>
      </c>
      <c r="G268" s="4"/>
    </row>
    <row r="269">
      <c r="A269" s="4" t="s">
        <v>2</v>
      </c>
      <c r="B269" s="11">
        <v>43871.0</v>
      </c>
      <c r="C269" s="11">
        <v>43877.0</v>
      </c>
      <c r="D269" s="4">
        <v>7.0</v>
      </c>
      <c r="E269" s="4">
        <v>14875.0</v>
      </c>
      <c r="F269" s="4">
        <v>0.0</v>
      </c>
      <c r="G269" s="4"/>
    </row>
    <row r="270">
      <c r="A270" s="4" t="s">
        <v>2</v>
      </c>
      <c r="B270" s="11">
        <v>43878.0</v>
      </c>
      <c r="C270" s="11">
        <v>43884.0</v>
      </c>
      <c r="D270" s="4">
        <v>8.0</v>
      </c>
      <c r="E270" s="4">
        <v>14501.0</v>
      </c>
      <c r="F270" s="4">
        <v>0.0</v>
      </c>
      <c r="G270" s="4"/>
    </row>
    <row r="271">
      <c r="A271" s="4" t="s">
        <v>2</v>
      </c>
      <c r="B271" s="11">
        <v>43885.0</v>
      </c>
      <c r="C271" s="11">
        <v>43891.0</v>
      </c>
      <c r="D271" s="4">
        <v>9.0</v>
      </c>
      <c r="E271" s="4">
        <v>13916.0</v>
      </c>
      <c r="F271" s="4">
        <v>0.0</v>
      </c>
      <c r="G271" s="4"/>
    </row>
    <row r="272">
      <c r="A272" s="4" t="s">
        <v>2</v>
      </c>
      <c r="B272" s="11">
        <v>43892.0</v>
      </c>
      <c r="C272" s="11">
        <v>43898.0</v>
      </c>
      <c r="D272" s="4">
        <v>10.0</v>
      </c>
      <c r="E272" s="4">
        <v>14017.0</v>
      </c>
      <c r="F272" s="4">
        <v>0.0</v>
      </c>
      <c r="G272" s="4"/>
    </row>
    <row r="273">
      <c r="A273" s="4" t="s">
        <v>2</v>
      </c>
      <c r="B273" s="11">
        <v>43899.0</v>
      </c>
      <c r="C273" s="11">
        <v>43905.0</v>
      </c>
      <c r="D273" s="4">
        <v>11.0</v>
      </c>
      <c r="E273" s="4">
        <v>13857.0</v>
      </c>
      <c r="F273" s="4">
        <v>0.0</v>
      </c>
      <c r="G273" s="4"/>
    </row>
    <row r="274">
      <c r="A274" s="4" t="s">
        <v>2</v>
      </c>
      <c r="B274" s="11">
        <v>43906.0</v>
      </c>
      <c r="C274" s="11">
        <v>43912.0</v>
      </c>
      <c r="D274" s="4">
        <v>12.0</v>
      </c>
      <c r="E274" s="4">
        <v>13187.0</v>
      </c>
      <c r="F274" s="4">
        <v>3.0</v>
      </c>
      <c r="G274" s="4"/>
    </row>
    <row r="275">
      <c r="A275" s="4" t="s">
        <v>2</v>
      </c>
      <c r="B275" s="11">
        <v>43913.0</v>
      </c>
      <c r="C275" s="11">
        <v>43919.0</v>
      </c>
      <c r="D275" s="4">
        <v>13.0</v>
      </c>
      <c r="E275" s="4">
        <v>13698.0</v>
      </c>
      <c r="F275" s="4">
        <v>17.0</v>
      </c>
      <c r="G275" s="4"/>
    </row>
    <row r="276">
      <c r="A276" s="4" t="s">
        <v>2</v>
      </c>
      <c r="B276" s="11">
        <v>43920.0</v>
      </c>
      <c r="C276" s="11">
        <v>43926.0</v>
      </c>
      <c r="D276" s="4">
        <v>14.0</v>
      </c>
      <c r="E276" s="4">
        <v>13533.0</v>
      </c>
      <c r="F276" s="4">
        <v>74.0</v>
      </c>
      <c r="G276" s="4"/>
    </row>
    <row r="277">
      <c r="A277" s="4" t="s">
        <v>2</v>
      </c>
      <c r="B277" s="11">
        <v>43927.0</v>
      </c>
      <c r="C277" s="11">
        <v>43933.0</v>
      </c>
      <c r="D277" s="4">
        <v>15.0</v>
      </c>
      <c r="E277" s="4">
        <v>14030.0</v>
      </c>
      <c r="F277" s="4">
        <v>202.0</v>
      </c>
      <c r="G277" s="4"/>
    </row>
    <row r="278">
      <c r="A278" s="4" t="s">
        <v>2</v>
      </c>
      <c r="B278" s="11">
        <v>43934.0</v>
      </c>
      <c r="C278" s="11">
        <v>43940.0</v>
      </c>
      <c r="D278" s="4">
        <v>16.0</v>
      </c>
      <c r="E278" s="4">
        <v>14993.0</v>
      </c>
      <c r="F278" s="4">
        <v>390.0</v>
      </c>
      <c r="G278" s="4"/>
    </row>
    <row r="279">
      <c r="A279" s="4" t="s">
        <v>2</v>
      </c>
      <c r="B279" s="11">
        <v>43941.0</v>
      </c>
      <c r="C279" s="11">
        <v>43947.0</v>
      </c>
      <c r="D279" s="4">
        <v>17.0</v>
      </c>
      <c r="E279" s="4">
        <v>17068.0</v>
      </c>
      <c r="F279" s="4">
        <v>665.0</v>
      </c>
      <c r="G279" s="4"/>
    </row>
    <row r="280">
      <c r="A280" s="4" t="s">
        <v>2</v>
      </c>
      <c r="B280" s="11">
        <v>43948.0</v>
      </c>
      <c r="C280" s="11">
        <v>43954.0</v>
      </c>
      <c r="D280" s="4">
        <v>18.0</v>
      </c>
      <c r="E280" s="4">
        <v>18811.0</v>
      </c>
      <c r="F280" s="4">
        <v>803.0</v>
      </c>
      <c r="G280" s="4"/>
    </row>
    <row r="281">
      <c r="A281" s="4" t="s">
        <v>2</v>
      </c>
      <c r="B281" s="11">
        <v>43955.0</v>
      </c>
      <c r="C281" s="11">
        <v>43961.0</v>
      </c>
      <c r="D281" s="4">
        <v>19.0</v>
      </c>
      <c r="E281" s="4">
        <v>20622.0</v>
      </c>
      <c r="F281" s="4">
        <v>1311.0</v>
      </c>
      <c r="G281" s="4"/>
    </row>
    <row r="282">
      <c r="A282" s="4" t="s">
        <v>2</v>
      </c>
      <c r="B282" s="11">
        <v>43962.0</v>
      </c>
      <c r="C282" s="11">
        <v>43968.0</v>
      </c>
      <c r="D282" s="4">
        <v>20.0</v>
      </c>
      <c r="E282" s="4">
        <v>22313.0</v>
      </c>
      <c r="F282" s="4">
        <v>1712.0</v>
      </c>
      <c r="G282" s="4"/>
    </row>
    <row r="283">
      <c r="A283" s="4" t="s">
        <v>2</v>
      </c>
      <c r="B283" s="11">
        <v>43969.0</v>
      </c>
      <c r="C283" s="11">
        <v>43975.0</v>
      </c>
      <c r="D283" s="4">
        <v>21.0</v>
      </c>
      <c r="E283" s="4">
        <v>23231.0</v>
      </c>
      <c r="F283" s="4">
        <v>2217.0</v>
      </c>
      <c r="G283" s="4"/>
    </row>
    <row r="284">
      <c r="A284" s="4" t="s">
        <v>2</v>
      </c>
      <c r="B284" s="11">
        <v>43976.0</v>
      </c>
      <c r="C284" s="11">
        <v>43982.0</v>
      </c>
      <c r="D284" s="4">
        <v>22.0</v>
      </c>
      <c r="E284" s="4">
        <v>23167.0</v>
      </c>
      <c r="F284" s="4">
        <v>2536.0</v>
      </c>
      <c r="G284" s="4"/>
    </row>
    <row r="285">
      <c r="A285" s="4" t="s">
        <v>2</v>
      </c>
      <c r="B285" s="11">
        <v>43983.0</v>
      </c>
      <c r="C285" s="11">
        <v>43989.0</v>
      </c>
      <c r="D285" s="4">
        <v>23.0</v>
      </c>
      <c r="E285" s="4">
        <v>24121.0</v>
      </c>
      <c r="F285" s="4">
        <v>3769.0</v>
      </c>
      <c r="G285" s="4"/>
    </row>
    <row r="286">
      <c r="A286" s="4" t="s">
        <v>2</v>
      </c>
      <c r="B286" s="11">
        <v>43990.0</v>
      </c>
      <c r="C286" s="11">
        <v>43996.0</v>
      </c>
      <c r="D286" s="4">
        <v>24.0</v>
      </c>
      <c r="E286" s="4">
        <v>24719.0</v>
      </c>
      <c r="F286" s="4">
        <v>3442.0</v>
      </c>
      <c r="G286" s="4"/>
    </row>
    <row r="287">
      <c r="A287" s="4" t="s">
        <v>2</v>
      </c>
      <c r="B287" s="11">
        <v>43997.0</v>
      </c>
      <c r="C287" s="11">
        <v>44003.0</v>
      </c>
      <c r="D287" s="4">
        <v>25.0</v>
      </c>
      <c r="E287" s="4">
        <v>24945.0</v>
      </c>
      <c r="F287" s="4">
        <v>4684.0</v>
      </c>
      <c r="G287" s="4"/>
    </row>
    <row r="288">
      <c r="A288" s="4" t="s">
        <v>2</v>
      </c>
      <c r="B288" s="11">
        <v>44004.0</v>
      </c>
      <c r="C288" s="11">
        <v>44010.0</v>
      </c>
      <c r="D288" s="4">
        <v>26.0</v>
      </c>
      <c r="E288" s="4">
        <v>24718.0</v>
      </c>
      <c r="F288" s="4">
        <v>4823.0</v>
      </c>
      <c r="G288" s="4"/>
    </row>
    <row r="289">
      <c r="A289" s="4" t="s">
        <v>2</v>
      </c>
      <c r="B289" s="11">
        <v>44011.0</v>
      </c>
      <c r="C289" s="11">
        <v>44017.0</v>
      </c>
      <c r="D289" s="4">
        <v>27.0</v>
      </c>
      <c r="E289" s="4">
        <v>25495.0</v>
      </c>
      <c r="F289" s="4">
        <v>3991.0</v>
      </c>
      <c r="G289" s="4"/>
    </row>
    <row r="290">
      <c r="A290" s="4" t="s">
        <v>2</v>
      </c>
      <c r="B290" s="11">
        <v>44018.0</v>
      </c>
      <c r="C290" s="11">
        <v>44024.0</v>
      </c>
      <c r="D290" s="4">
        <v>28.0</v>
      </c>
      <c r="E290" s="4">
        <v>26446.0</v>
      </c>
      <c r="F290" s="4">
        <v>4367.0</v>
      </c>
      <c r="G290" s="4"/>
    </row>
    <row r="291">
      <c r="A291" s="4" t="s">
        <v>2</v>
      </c>
      <c r="B291" s="11">
        <v>44025.0</v>
      </c>
      <c r="C291" s="11">
        <v>44031.0</v>
      </c>
      <c r="D291" s="4">
        <v>29.0</v>
      </c>
      <c r="E291" s="4">
        <v>26446.0</v>
      </c>
      <c r="F291" s="4">
        <v>4178.0</v>
      </c>
      <c r="G291" s="4"/>
    </row>
    <row r="292">
      <c r="A292" s="4" t="s">
        <v>2</v>
      </c>
      <c r="B292" s="11">
        <v>44032.0</v>
      </c>
      <c r="C292" s="11">
        <v>44038.0</v>
      </c>
      <c r="D292" s="4">
        <v>30.0</v>
      </c>
      <c r="E292" s="4">
        <v>25733.0</v>
      </c>
      <c r="F292" s="4">
        <v>4496.0</v>
      </c>
      <c r="G292" s="4"/>
    </row>
    <row r="293">
      <c r="A293" s="4" t="s">
        <v>2</v>
      </c>
      <c r="B293" s="11">
        <v>44039.0</v>
      </c>
      <c r="C293" s="11">
        <v>44045.0</v>
      </c>
      <c r="D293" s="4">
        <v>31.0</v>
      </c>
      <c r="E293" s="4">
        <v>24795.0</v>
      </c>
      <c r="F293" s="4">
        <v>4066.0</v>
      </c>
      <c r="G293" s="4"/>
    </row>
    <row r="294">
      <c r="A294" s="4" t="s">
        <v>2</v>
      </c>
      <c r="B294" s="11">
        <v>44046.0</v>
      </c>
      <c r="C294" s="11">
        <v>44052.0</v>
      </c>
      <c r="D294" s="4">
        <v>32.0</v>
      </c>
      <c r="E294" s="4">
        <v>23817.0</v>
      </c>
      <c r="F294" s="4">
        <v>4552.0</v>
      </c>
      <c r="G294" s="4"/>
    </row>
    <row r="295">
      <c r="A295" s="4" t="s">
        <v>2</v>
      </c>
      <c r="B295" s="11">
        <v>44053.0</v>
      </c>
      <c r="C295" s="11">
        <v>44059.0</v>
      </c>
      <c r="D295" s="4">
        <v>33.0</v>
      </c>
      <c r="E295" s="4">
        <v>22666.0</v>
      </c>
      <c r="F295" s="4">
        <v>4459.0</v>
      </c>
      <c r="G295" s="4"/>
    </row>
    <row r="296">
      <c r="A296" s="4" t="s">
        <v>2</v>
      </c>
      <c r="B296" s="11">
        <v>44060.0</v>
      </c>
      <c r="C296" s="11">
        <v>44066.0</v>
      </c>
      <c r="D296" s="4">
        <v>34.0</v>
      </c>
      <c r="E296" s="4">
        <v>21725.0</v>
      </c>
      <c r="F296" s="4">
        <v>3723.0</v>
      </c>
      <c r="G296" s="4"/>
    </row>
    <row r="297">
      <c r="A297" s="4" t="s">
        <v>2</v>
      </c>
      <c r="B297" s="11">
        <v>44067.0</v>
      </c>
      <c r="C297" s="11">
        <v>44073.0</v>
      </c>
      <c r="D297" s="4">
        <v>35.0</v>
      </c>
      <c r="E297" s="4">
        <v>20837.0</v>
      </c>
      <c r="F297" s="4">
        <v>3678.0</v>
      </c>
      <c r="G297" s="4"/>
    </row>
    <row r="298">
      <c r="A298" s="4" t="s">
        <v>2</v>
      </c>
      <c r="B298" s="11">
        <v>44074.0</v>
      </c>
      <c r="C298" s="11">
        <v>44080.0</v>
      </c>
      <c r="D298" s="4">
        <v>36.0</v>
      </c>
      <c r="E298" s="4">
        <v>20156.0</v>
      </c>
      <c r="F298" s="4">
        <v>3400.0</v>
      </c>
      <c r="G298" s="4"/>
    </row>
    <row r="299">
      <c r="A299" s="4" t="s">
        <v>2</v>
      </c>
      <c r="B299" s="11">
        <v>44081.0</v>
      </c>
      <c r="C299" s="11">
        <v>44087.0</v>
      </c>
      <c r="D299" s="4">
        <v>37.0</v>
      </c>
      <c r="E299" s="4">
        <v>19490.0</v>
      </c>
      <c r="F299" s="4">
        <v>3263.0</v>
      </c>
      <c r="G299" s="4"/>
    </row>
    <row r="300">
      <c r="A300" s="4" t="s">
        <v>2</v>
      </c>
      <c r="B300" s="11">
        <v>44088.0</v>
      </c>
      <c r="C300" s="11">
        <v>44094.0</v>
      </c>
      <c r="D300" s="4">
        <v>38.0</v>
      </c>
      <c r="E300" s="4">
        <v>18805.0</v>
      </c>
      <c r="F300" s="4">
        <v>2672.0</v>
      </c>
      <c r="G300" s="4"/>
    </row>
    <row r="301">
      <c r="A301" s="4" t="s">
        <v>2</v>
      </c>
      <c r="B301" s="11">
        <v>44095.0</v>
      </c>
      <c r="C301" s="11">
        <v>44101.0</v>
      </c>
      <c r="D301" s="4">
        <v>39.0</v>
      </c>
      <c r="E301" s="4">
        <v>18933.0</v>
      </c>
      <c r="F301" s="4">
        <v>2937.0</v>
      </c>
      <c r="G301" s="4"/>
    </row>
    <row r="302">
      <c r="A302" s="4" t="s">
        <v>2</v>
      </c>
      <c r="B302" s="11">
        <v>44102.0</v>
      </c>
      <c r="C302" s="12">
        <v>44108.0</v>
      </c>
      <c r="D302" s="4">
        <v>40.0</v>
      </c>
      <c r="E302" s="4">
        <v>18484.0</v>
      </c>
      <c r="F302" s="4">
        <v>2658.0</v>
      </c>
      <c r="G302" s="4"/>
    </row>
    <row r="303">
      <c r="A303" s="4" t="s">
        <v>2</v>
      </c>
      <c r="B303" s="12">
        <v>44109.0</v>
      </c>
      <c r="C303" s="12">
        <v>44115.0</v>
      </c>
      <c r="D303" s="4">
        <v>41.0</v>
      </c>
      <c r="E303" s="4">
        <v>18834.0</v>
      </c>
      <c r="F303" s="4">
        <v>4693.0</v>
      </c>
      <c r="G303" s="4"/>
    </row>
    <row r="304">
      <c r="A304" s="4" t="s">
        <v>2</v>
      </c>
      <c r="B304" s="12">
        <v>44116.0</v>
      </c>
      <c r="C304" s="12">
        <v>44122.0</v>
      </c>
      <c r="D304" s="4">
        <v>42.0</v>
      </c>
      <c r="E304" s="4">
        <v>18815.0</v>
      </c>
      <c r="F304" s="4">
        <v>2386.0</v>
      </c>
      <c r="G304" s="4"/>
    </row>
    <row r="305">
      <c r="A305" s="4" t="s">
        <v>2</v>
      </c>
      <c r="B305" s="12">
        <v>44123.0</v>
      </c>
      <c r="C305" s="12">
        <v>44129.0</v>
      </c>
      <c r="D305" s="4">
        <v>43.0</v>
      </c>
      <c r="E305" s="4">
        <v>19567.0</v>
      </c>
      <c r="F305" s="4">
        <v>2757.0</v>
      </c>
      <c r="G305" s="4"/>
    </row>
    <row r="306">
      <c r="A306" s="4" t="s">
        <v>2</v>
      </c>
      <c r="B306" s="12">
        <v>44130.0</v>
      </c>
      <c r="C306" s="12">
        <v>44136.0</v>
      </c>
      <c r="D306" s="4">
        <v>44.0</v>
      </c>
      <c r="E306" s="4">
        <v>20224.0</v>
      </c>
      <c r="F306" s="4">
        <v>2971.0</v>
      </c>
      <c r="G306" s="4"/>
    </row>
    <row r="307">
      <c r="A307" s="4" t="s">
        <v>2</v>
      </c>
      <c r="B307" s="12">
        <v>44137.0</v>
      </c>
      <c r="C307" s="12">
        <v>44143.0</v>
      </c>
      <c r="D307" s="4">
        <v>45.0</v>
      </c>
      <c r="E307" s="4">
        <v>21326.0</v>
      </c>
      <c r="F307" s="4">
        <v>3132.0</v>
      </c>
      <c r="G307" s="4"/>
    </row>
    <row r="308">
      <c r="A308" s="4" t="s">
        <v>2</v>
      </c>
      <c r="B308" s="12">
        <v>44144.0</v>
      </c>
      <c r="C308" s="12">
        <v>44150.0</v>
      </c>
      <c r="D308" s="4">
        <v>46.0</v>
      </c>
      <c r="E308" s="4">
        <v>21619.0</v>
      </c>
      <c r="F308" s="4">
        <v>3515.0</v>
      </c>
      <c r="G308" s="4"/>
    </row>
    <row r="309">
      <c r="A309" s="4" t="s">
        <v>2</v>
      </c>
      <c r="B309" s="12">
        <v>44151.0</v>
      </c>
      <c r="C309" s="12">
        <v>44157.0</v>
      </c>
      <c r="D309" s="4">
        <v>47.0</v>
      </c>
      <c r="E309" s="4">
        <v>22294.0</v>
      </c>
      <c r="F309" s="4">
        <v>3134.0</v>
      </c>
      <c r="G309" s="4"/>
    </row>
    <row r="310">
      <c r="A310" s="4" t="s">
        <v>2</v>
      </c>
      <c r="B310" s="12">
        <v>44158.0</v>
      </c>
      <c r="C310" s="12">
        <v>44164.0</v>
      </c>
      <c r="D310" s="4">
        <v>48.0</v>
      </c>
      <c r="E310" s="4">
        <v>22534.0</v>
      </c>
      <c r="F310" s="4">
        <v>3979.0</v>
      </c>
      <c r="G310" s="4"/>
    </row>
    <row r="311">
      <c r="A311" s="4" t="s">
        <v>2</v>
      </c>
      <c r="B311" s="12">
        <v>44165.0</v>
      </c>
      <c r="C311" s="12">
        <v>44171.0</v>
      </c>
      <c r="D311" s="4">
        <v>49.0</v>
      </c>
      <c r="E311" s="4">
        <v>23495.0</v>
      </c>
      <c r="F311" s="4">
        <v>4062.0</v>
      </c>
      <c r="G311" s="4"/>
    </row>
    <row r="312">
      <c r="A312" s="4" t="s">
        <v>2</v>
      </c>
      <c r="B312" s="12">
        <v>44172.0</v>
      </c>
      <c r="C312" s="12">
        <v>44178.0</v>
      </c>
      <c r="D312" s="4">
        <v>50.0</v>
      </c>
      <c r="E312" s="4">
        <v>25342.0</v>
      </c>
      <c r="F312" s="4">
        <v>4236.0</v>
      </c>
      <c r="G312" s="4"/>
    </row>
    <row r="313">
      <c r="A313" s="4" t="s">
        <v>2</v>
      </c>
      <c r="B313" s="12">
        <v>44179.0</v>
      </c>
      <c r="C313" s="12">
        <v>44185.0</v>
      </c>
      <c r="D313" s="4">
        <v>51.0</v>
      </c>
      <c r="E313" s="4">
        <v>26560.0</v>
      </c>
      <c r="F313" s="4">
        <v>4249.0</v>
      </c>
      <c r="G313" s="4"/>
    </row>
    <row r="314">
      <c r="A314" s="4" t="s">
        <v>2</v>
      </c>
      <c r="B314" s="12">
        <v>44186.0</v>
      </c>
      <c r="C314" s="12">
        <v>44192.0</v>
      </c>
      <c r="D314" s="4">
        <v>52.0</v>
      </c>
      <c r="E314" s="4">
        <v>29609.0</v>
      </c>
      <c r="F314" s="4">
        <v>4224.0</v>
      </c>
      <c r="G314" s="4"/>
    </row>
    <row r="315">
      <c r="A315" s="4" t="s">
        <v>2</v>
      </c>
      <c r="B315" s="12">
        <v>44193.0</v>
      </c>
      <c r="C315" s="11">
        <v>44199.0</v>
      </c>
      <c r="D315" s="4">
        <v>53.0</v>
      </c>
      <c r="E315" s="4">
        <v>32637.0</v>
      </c>
      <c r="F315" s="4">
        <v>4787.0</v>
      </c>
      <c r="G315" s="4"/>
    </row>
    <row r="316">
      <c r="A316" s="4" t="s">
        <v>2</v>
      </c>
      <c r="B316" s="11">
        <v>44200.0</v>
      </c>
      <c r="C316" s="11">
        <v>44206.0</v>
      </c>
      <c r="D316" s="4">
        <v>1.0</v>
      </c>
      <c r="E316" s="4">
        <v>36287.0</v>
      </c>
      <c r="F316" s="4">
        <v>6493.0</v>
      </c>
      <c r="G316" s="4"/>
    </row>
    <row r="317">
      <c r="A317" s="4" t="s">
        <v>2</v>
      </c>
      <c r="B317" s="11">
        <v>44207.0</v>
      </c>
      <c r="C317" s="11">
        <v>44213.0</v>
      </c>
      <c r="D317" s="4">
        <v>2.0</v>
      </c>
      <c r="E317" s="4">
        <v>43427.0</v>
      </c>
      <c r="F317" s="4">
        <v>6998.0</v>
      </c>
      <c r="G317" s="4"/>
    </row>
    <row r="318">
      <c r="A318" s="4" t="s">
        <v>2</v>
      </c>
      <c r="B318" s="11">
        <v>44214.0</v>
      </c>
      <c r="C318" s="11">
        <v>44220.0</v>
      </c>
      <c r="D318" s="4">
        <v>3.0</v>
      </c>
      <c r="E318" s="4">
        <v>44667.0</v>
      </c>
      <c r="F318" s="4">
        <v>8910.0</v>
      </c>
      <c r="G318" s="4"/>
    </row>
    <row r="319">
      <c r="A319" s="4" t="s">
        <v>2</v>
      </c>
      <c r="B319" s="11">
        <v>44221.0</v>
      </c>
      <c r="C319" s="11">
        <v>44227.0</v>
      </c>
      <c r="D319" s="4">
        <v>4.0</v>
      </c>
      <c r="E319" s="4">
        <v>36617.0</v>
      </c>
      <c r="F319" s="4">
        <v>8922.0</v>
      </c>
      <c r="G319" s="4"/>
    </row>
    <row r="320">
      <c r="A320" s="4" t="s">
        <v>2</v>
      </c>
      <c r="B320" s="11">
        <v>44228.0</v>
      </c>
      <c r="C320" s="11">
        <v>44234.0</v>
      </c>
      <c r="D320" s="4">
        <v>5.0</v>
      </c>
      <c r="E320" s="4">
        <v>31825.0</v>
      </c>
      <c r="F320" s="4">
        <v>7664.0</v>
      </c>
      <c r="G320" s="4"/>
    </row>
    <row r="321">
      <c r="A321" s="4" t="s">
        <v>2</v>
      </c>
      <c r="B321" s="11">
        <v>44235.0</v>
      </c>
      <c r="C321" s="11">
        <v>44241.0</v>
      </c>
      <c r="D321" s="4">
        <v>6.0</v>
      </c>
      <c r="E321" s="4">
        <v>26858.0</v>
      </c>
      <c r="F321" s="4">
        <v>8007.0</v>
      </c>
      <c r="G321" s="4"/>
    </row>
    <row r="322">
      <c r="A322" s="4" t="s">
        <v>2</v>
      </c>
      <c r="B322" s="11">
        <v>44242.0</v>
      </c>
      <c r="C322" s="11">
        <v>44248.0</v>
      </c>
      <c r="D322" s="4">
        <v>7.0</v>
      </c>
      <c r="E322" s="4">
        <v>25330.0</v>
      </c>
      <c r="F322" s="4">
        <v>5900.0</v>
      </c>
      <c r="G322" s="4"/>
    </row>
    <row r="323">
      <c r="A323" s="4" t="s">
        <v>2</v>
      </c>
      <c r="B323" s="11">
        <v>44249.0</v>
      </c>
      <c r="C323" s="11">
        <v>44255.0</v>
      </c>
      <c r="D323" s="4">
        <v>8.0</v>
      </c>
      <c r="E323" s="4">
        <v>24010.0</v>
      </c>
      <c r="F323" s="4">
        <v>5608.0</v>
      </c>
      <c r="G323" s="4"/>
    </row>
    <row r="324">
      <c r="A324" s="4" t="s">
        <v>2</v>
      </c>
      <c r="B324" s="11">
        <v>44256.0</v>
      </c>
      <c r="C324" s="11">
        <v>44262.0</v>
      </c>
      <c r="D324" s="4">
        <v>9.0</v>
      </c>
      <c r="E324" s="4">
        <v>20488.0</v>
      </c>
      <c r="F324" s="4">
        <v>4889.0</v>
      </c>
      <c r="G324" s="4"/>
    </row>
    <row r="325">
      <c r="A325" s="4" t="s">
        <v>2</v>
      </c>
      <c r="B325" s="11">
        <v>44263.0</v>
      </c>
      <c r="C325" s="11">
        <v>44269.0</v>
      </c>
      <c r="D325" s="4">
        <v>10.0</v>
      </c>
      <c r="E325" s="4">
        <v>19752.0</v>
      </c>
      <c r="F325" s="4">
        <v>4106.0</v>
      </c>
      <c r="G325" s="4"/>
    </row>
    <row r="326">
      <c r="A326" s="4" t="s">
        <v>2</v>
      </c>
      <c r="B326" s="11">
        <v>44270.0</v>
      </c>
      <c r="C326" s="11">
        <v>44276.0</v>
      </c>
      <c r="D326" s="4">
        <v>11.0</v>
      </c>
      <c r="E326" s="4">
        <v>18508.0</v>
      </c>
      <c r="F326" s="4">
        <v>3326.0</v>
      </c>
      <c r="G326" s="4"/>
    </row>
    <row r="327">
      <c r="A327" s="4" t="s">
        <v>2</v>
      </c>
      <c r="B327" s="11">
        <v>44277.0</v>
      </c>
      <c r="C327" s="11">
        <v>44283.0</v>
      </c>
      <c r="D327" s="4">
        <v>12.0</v>
      </c>
      <c r="E327" s="4">
        <v>17801.0</v>
      </c>
      <c r="F327" s="4">
        <v>3587.0</v>
      </c>
      <c r="G327" s="4"/>
    </row>
    <row r="328">
      <c r="A328" s="4" t="s">
        <v>2</v>
      </c>
      <c r="B328" s="11">
        <v>44284.0</v>
      </c>
      <c r="C328" s="11">
        <v>44290.0</v>
      </c>
      <c r="D328" s="4">
        <v>13.0</v>
      </c>
      <c r="E328" s="4">
        <v>16992.0</v>
      </c>
      <c r="F328" s="4">
        <v>2524.0</v>
      </c>
      <c r="G328" s="4"/>
    </row>
    <row r="329">
      <c r="A329" s="4" t="s">
        <v>2</v>
      </c>
      <c r="B329" s="11">
        <v>44291.0</v>
      </c>
      <c r="C329" s="11">
        <v>44297.0</v>
      </c>
      <c r="D329" s="4">
        <v>14.0</v>
      </c>
      <c r="E329" s="4">
        <v>17364.0</v>
      </c>
      <c r="F329" s="4">
        <v>5191.0</v>
      </c>
      <c r="G329" s="4"/>
    </row>
    <row r="330">
      <c r="A330" s="4" t="s">
        <v>2</v>
      </c>
      <c r="B330" s="11">
        <v>44298.0</v>
      </c>
      <c r="C330" s="11">
        <v>44304.0</v>
      </c>
      <c r="D330" s="4">
        <v>15.0</v>
      </c>
      <c r="E330" s="4">
        <v>16927.0</v>
      </c>
      <c r="F330" s="4">
        <v>3001.0</v>
      </c>
      <c r="G330" s="4"/>
    </row>
    <row r="331">
      <c r="A331" s="4" t="s">
        <v>2</v>
      </c>
      <c r="B331" s="11">
        <v>44305.0</v>
      </c>
      <c r="C331" s="11">
        <v>44311.0</v>
      </c>
      <c r="D331" s="4">
        <v>16.0</v>
      </c>
      <c r="E331" s="4">
        <v>16037.0</v>
      </c>
      <c r="F331" s="4">
        <v>2608.0</v>
      </c>
      <c r="G331" s="4"/>
    </row>
    <row r="332">
      <c r="A332" s="4" t="s">
        <v>2</v>
      </c>
      <c r="B332" s="11">
        <v>44312.0</v>
      </c>
      <c r="C332" s="11">
        <v>44318.0</v>
      </c>
      <c r="D332" s="4">
        <v>17.0</v>
      </c>
      <c r="E332" s="4">
        <v>15511.0</v>
      </c>
      <c r="F332" s="4">
        <v>2286.0</v>
      </c>
      <c r="G332" s="4"/>
    </row>
    <row r="333">
      <c r="A333" s="4" t="s">
        <v>2</v>
      </c>
      <c r="B333" s="11">
        <v>44319.0</v>
      </c>
      <c r="C333" s="11">
        <v>44325.0</v>
      </c>
      <c r="D333" s="4">
        <v>18.0</v>
      </c>
      <c r="E333" s="4">
        <v>15125.0</v>
      </c>
      <c r="F333" s="4">
        <v>1752.0</v>
      </c>
      <c r="G333" s="4"/>
    </row>
    <row r="334">
      <c r="A334" s="4" t="s">
        <v>2</v>
      </c>
      <c r="B334" s="11">
        <v>44326.0</v>
      </c>
      <c r="C334" s="11">
        <v>44332.0</v>
      </c>
      <c r="D334" s="4">
        <v>19.0</v>
      </c>
      <c r="E334" s="4">
        <v>14734.0</v>
      </c>
      <c r="F334" s="4">
        <v>1452.0</v>
      </c>
      <c r="G334" s="4"/>
    </row>
    <row r="335">
      <c r="A335" s="4" t="s">
        <v>2</v>
      </c>
      <c r="B335" s="11">
        <v>44333.0</v>
      </c>
      <c r="C335" s="11">
        <v>44339.0</v>
      </c>
      <c r="D335" s="4">
        <v>20.0</v>
      </c>
      <c r="E335" s="4">
        <v>14264.0</v>
      </c>
      <c r="F335" s="4">
        <v>1210.0</v>
      </c>
      <c r="G335" s="4"/>
    </row>
    <row r="336">
      <c r="A336" s="4" t="s">
        <v>2</v>
      </c>
      <c r="B336" s="11">
        <v>44340.0</v>
      </c>
      <c r="C336" s="11">
        <v>44346.0</v>
      </c>
      <c r="D336" s="4">
        <v>21.0</v>
      </c>
      <c r="E336" s="4">
        <v>14358.0</v>
      </c>
      <c r="F336" s="4">
        <v>1860.0</v>
      </c>
      <c r="G336" s="4"/>
    </row>
    <row r="337">
      <c r="A337" s="4" t="s">
        <v>2</v>
      </c>
      <c r="B337" s="11">
        <v>44347.0</v>
      </c>
      <c r="C337" s="11">
        <v>44353.0</v>
      </c>
      <c r="D337" s="4">
        <v>22.0</v>
      </c>
      <c r="E337" s="4">
        <v>13943.0</v>
      </c>
      <c r="F337" s="4">
        <v>1025.0</v>
      </c>
      <c r="G337" s="4"/>
    </row>
    <row r="338">
      <c r="A338" s="4" t="s">
        <v>2</v>
      </c>
      <c r="B338" s="11">
        <v>44354.0</v>
      </c>
      <c r="C338" s="11">
        <v>44360.0</v>
      </c>
      <c r="D338" s="4">
        <v>23.0</v>
      </c>
      <c r="E338" s="4">
        <v>14140.0</v>
      </c>
      <c r="F338" s="4">
        <v>1346.0</v>
      </c>
      <c r="G338" s="4"/>
    </row>
    <row r="339">
      <c r="A339" s="4" t="s">
        <v>2</v>
      </c>
      <c r="B339" s="11">
        <v>44361.0</v>
      </c>
      <c r="C339" s="11">
        <v>44367.0</v>
      </c>
      <c r="D339" s="4">
        <v>24.0</v>
      </c>
      <c r="E339" s="4">
        <v>14261.0</v>
      </c>
      <c r="F339" s="4">
        <v>1037.0</v>
      </c>
      <c r="G339" s="4"/>
    </row>
    <row r="340">
      <c r="A340" s="4" t="s">
        <v>2</v>
      </c>
      <c r="B340" s="11">
        <v>44368.0</v>
      </c>
      <c r="C340" s="11">
        <v>44374.0</v>
      </c>
      <c r="D340" s="4">
        <v>25.0</v>
      </c>
      <c r="E340" s="4">
        <v>14323.0</v>
      </c>
      <c r="F340" s="4">
        <v>1377.0</v>
      </c>
      <c r="G340" s="4"/>
    </row>
    <row r="341">
      <c r="A341" s="4" t="s">
        <v>2</v>
      </c>
      <c r="B341" s="11">
        <v>44375.0</v>
      </c>
      <c r="C341" s="11">
        <v>44381.0</v>
      </c>
      <c r="D341" s="4">
        <v>26.0</v>
      </c>
      <c r="E341" s="4">
        <v>14582.0</v>
      </c>
      <c r="F341" s="4">
        <v>1058.0</v>
      </c>
      <c r="G341" s="4"/>
    </row>
    <row r="342">
      <c r="A342" s="4" t="s">
        <v>2</v>
      </c>
      <c r="B342" s="11">
        <v>44382.0</v>
      </c>
      <c r="C342" s="11">
        <v>44388.0</v>
      </c>
      <c r="D342" s="4">
        <v>27.0</v>
      </c>
      <c r="E342" s="4">
        <v>15444.0</v>
      </c>
      <c r="F342" s="4">
        <v>1347.0</v>
      </c>
      <c r="G342" s="4"/>
    </row>
    <row r="343">
      <c r="A343" s="4" t="s">
        <v>2</v>
      </c>
      <c r="B343" s="11">
        <v>44389.0</v>
      </c>
      <c r="C343" s="11">
        <v>44395.0</v>
      </c>
      <c r="D343" s="4">
        <v>28.0</v>
      </c>
      <c r="E343" s="4">
        <v>16410.0</v>
      </c>
      <c r="F343" s="4">
        <v>1362.0</v>
      </c>
      <c r="G343" s="4"/>
    </row>
    <row r="344">
      <c r="A344" s="4" t="s">
        <v>2</v>
      </c>
      <c r="B344" s="11">
        <v>44396.0</v>
      </c>
      <c r="C344" s="11">
        <v>44402.0</v>
      </c>
      <c r="D344" s="4">
        <v>29.0</v>
      </c>
      <c r="E344" s="4">
        <v>18342.0</v>
      </c>
      <c r="F344" s="4">
        <v>2093.0</v>
      </c>
      <c r="G344" s="4"/>
    </row>
    <row r="345">
      <c r="A345" s="4" t="s">
        <v>2</v>
      </c>
      <c r="B345" s="11">
        <v>44403.0</v>
      </c>
      <c r="C345" s="11">
        <v>44409.0</v>
      </c>
      <c r="D345" s="4">
        <v>30.0</v>
      </c>
      <c r="E345" s="4">
        <v>20721.0</v>
      </c>
      <c r="F345" s="4">
        <v>2610.0</v>
      </c>
      <c r="G345" s="4"/>
    </row>
    <row r="346">
      <c r="A346" s="4" t="s">
        <v>2</v>
      </c>
      <c r="B346" s="11">
        <v>44410.0</v>
      </c>
      <c r="C346" s="11">
        <v>44416.0</v>
      </c>
      <c r="D346" s="4">
        <v>31.0</v>
      </c>
      <c r="E346" s="4">
        <v>23457.0</v>
      </c>
      <c r="F346" s="4">
        <v>3386.0</v>
      </c>
      <c r="G346" s="4"/>
    </row>
    <row r="347">
      <c r="A347" s="4" t="s">
        <v>2</v>
      </c>
      <c r="B347" s="11">
        <v>44417.0</v>
      </c>
      <c r="C347" s="11">
        <v>44423.0</v>
      </c>
      <c r="D347" s="4">
        <v>32.0</v>
      </c>
      <c r="E347" s="4">
        <v>25423.0</v>
      </c>
      <c r="F347" s="4">
        <v>3747.0</v>
      </c>
      <c r="G347" s="4"/>
    </row>
    <row r="348">
      <c r="A348" s="4" t="s">
        <v>2</v>
      </c>
      <c r="B348" s="11">
        <v>44424.0</v>
      </c>
      <c r="C348" s="11">
        <v>44430.0</v>
      </c>
      <c r="D348" s="4">
        <v>33.0</v>
      </c>
      <c r="E348" s="4">
        <v>26786.0</v>
      </c>
      <c r="F348" s="4">
        <v>4988.0</v>
      </c>
      <c r="G348" s="4"/>
    </row>
    <row r="349">
      <c r="A349" s="4" t="s">
        <v>2</v>
      </c>
      <c r="B349" s="11">
        <v>44431.0</v>
      </c>
      <c r="C349" s="11">
        <v>44437.0</v>
      </c>
      <c r="D349" s="4">
        <v>34.0</v>
      </c>
      <c r="E349" s="4">
        <v>25778.0</v>
      </c>
      <c r="F349" s="4">
        <v>5010.0</v>
      </c>
      <c r="G349" s="4"/>
    </row>
    <row r="350">
      <c r="A350" s="4" t="s">
        <v>2</v>
      </c>
      <c r="B350" s="11">
        <v>44438.0</v>
      </c>
      <c r="C350" s="11">
        <v>44444.0</v>
      </c>
      <c r="D350" s="4">
        <v>35.0</v>
      </c>
      <c r="E350" s="4">
        <v>25052.0</v>
      </c>
      <c r="F350" s="4">
        <v>4975.0</v>
      </c>
      <c r="G350" s="4"/>
    </row>
    <row r="351">
      <c r="A351" s="4" t="s">
        <v>2</v>
      </c>
      <c r="B351" s="11">
        <v>44445.0</v>
      </c>
      <c r="C351" s="11">
        <v>44451.0</v>
      </c>
      <c r="D351" s="4">
        <v>36.0</v>
      </c>
      <c r="E351" s="4">
        <v>23022.0</v>
      </c>
      <c r="F351" s="4">
        <v>4608.0</v>
      </c>
      <c r="G351" s="4"/>
    </row>
    <row r="352">
      <c r="A352" s="4" t="s">
        <v>2</v>
      </c>
      <c r="B352" s="11">
        <v>44452.0</v>
      </c>
      <c r="C352" s="11">
        <v>44458.0</v>
      </c>
      <c r="D352" s="4">
        <v>37.0</v>
      </c>
      <c r="E352" s="4">
        <v>21506.0</v>
      </c>
      <c r="F352" s="4">
        <v>3755.0</v>
      </c>
      <c r="G352" s="4"/>
    </row>
    <row r="353">
      <c r="A353" s="4" t="s">
        <v>2</v>
      </c>
      <c r="B353" s="11">
        <v>44459.0</v>
      </c>
      <c r="C353" s="11">
        <v>44465.0</v>
      </c>
      <c r="D353" s="4">
        <v>38.0</v>
      </c>
      <c r="E353" s="4">
        <v>19587.0</v>
      </c>
      <c r="F353" s="4">
        <v>3947.0</v>
      </c>
      <c r="G353" s="4"/>
    </row>
    <row r="354">
      <c r="A354" s="4" t="s">
        <v>2</v>
      </c>
      <c r="B354" s="11">
        <v>44466.0</v>
      </c>
      <c r="C354" s="12">
        <v>44472.0</v>
      </c>
      <c r="D354" s="4">
        <v>39.0</v>
      </c>
      <c r="E354" s="4">
        <v>17718.0</v>
      </c>
      <c r="F354" s="4">
        <v>3142.0</v>
      </c>
      <c r="G354" s="4"/>
    </row>
    <row r="355">
      <c r="A355" s="4" t="s">
        <v>2</v>
      </c>
      <c r="B355" s="12">
        <v>44473.0</v>
      </c>
      <c r="C355" s="12">
        <v>44479.0</v>
      </c>
      <c r="D355" s="4">
        <v>40.0</v>
      </c>
      <c r="E355" s="4">
        <v>15572.0</v>
      </c>
      <c r="F355" s="4">
        <v>3494.0</v>
      </c>
      <c r="G355" s="4"/>
    </row>
    <row r="356">
      <c r="A356" s="4" t="s">
        <v>3</v>
      </c>
      <c r="B356" s="11">
        <v>42737.0</v>
      </c>
      <c r="C356" s="11">
        <v>42743.0</v>
      </c>
      <c r="D356" s="4">
        <v>1.0</v>
      </c>
      <c r="E356" s="4">
        <v>1586.0</v>
      </c>
      <c r="F356" s="4">
        <v>0.0</v>
      </c>
      <c r="G356" s="4"/>
    </row>
    <row r="357">
      <c r="A357" s="4" t="s">
        <v>3</v>
      </c>
      <c r="B357" s="11">
        <v>42744.0</v>
      </c>
      <c r="C357" s="11">
        <v>42750.0</v>
      </c>
      <c r="D357" s="4">
        <v>2.0</v>
      </c>
      <c r="E357" s="4">
        <v>1672.0</v>
      </c>
      <c r="F357" s="4">
        <v>0.0</v>
      </c>
      <c r="G357" s="4"/>
    </row>
    <row r="358">
      <c r="A358" s="4" t="s">
        <v>3</v>
      </c>
      <c r="B358" s="11">
        <v>42751.0</v>
      </c>
      <c r="C358" s="11">
        <v>42757.0</v>
      </c>
      <c r="D358" s="4">
        <v>3.0</v>
      </c>
      <c r="E358" s="4">
        <v>1740.0</v>
      </c>
      <c r="F358" s="4">
        <v>0.0</v>
      </c>
      <c r="G358" s="4"/>
    </row>
    <row r="359">
      <c r="A359" s="4" t="s">
        <v>3</v>
      </c>
      <c r="B359" s="11">
        <v>42758.0</v>
      </c>
      <c r="C359" s="11">
        <v>42764.0</v>
      </c>
      <c r="D359" s="4">
        <v>4.0</v>
      </c>
      <c r="E359" s="4">
        <v>1760.0</v>
      </c>
      <c r="F359" s="4">
        <v>0.0</v>
      </c>
      <c r="G359" s="4"/>
    </row>
    <row r="360">
      <c r="A360" s="4" t="s">
        <v>3</v>
      </c>
      <c r="B360" s="11">
        <v>42765.0</v>
      </c>
      <c r="C360" s="11">
        <v>42771.0</v>
      </c>
      <c r="D360" s="4">
        <v>5.0</v>
      </c>
      <c r="E360" s="4">
        <v>1881.0</v>
      </c>
      <c r="F360" s="4">
        <v>0.0</v>
      </c>
      <c r="G360" s="4"/>
    </row>
    <row r="361">
      <c r="A361" s="4" t="s">
        <v>3</v>
      </c>
      <c r="B361" s="11">
        <v>42772.0</v>
      </c>
      <c r="C361" s="11">
        <v>42778.0</v>
      </c>
      <c r="D361" s="4">
        <v>6.0</v>
      </c>
      <c r="E361" s="4">
        <v>1682.0</v>
      </c>
      <c r="F361" s="4">
        <v>0.0</v>
      </c>
      <c r="G361" s="4"/>
    </row>
    <row r="362">
      <c r="A362" s="4" t="s">
        <v>3</v>
      </c>
      <c r="B362" s="11">
        <v>42779.0</v>
      </c>
      <c r="C362" s="11">
        <v>42785.0</v>
      </c>
      <c r="D362" s="4">
        <v>7.0</v>
      </c>
      <c r="E362" s="4">
        <v>1715.0</v>
      </c>
      <c r="F362" s="4">
        <v>0.0</v>
      </c>
      <c r="G362" s="4"/>
    </row>
    <row r="363">
      <c r="A363" s="4" t="s">
        <v>3</v>
      </c>
      <c r="B363" s="11">
        <v>42786.0</v>
      </c>
      <c r="C363" s="11">
        <v>42792.0</v>
      </c>
      <c r="D363" s="4">
        <v>8.0</v>
      </c>
      <c r="E363" s="4">
        <v>1933.0</v>
      </c>
      <c r="F363" s="4">
        <v>0.0</v>
      </c>
      <c r="G363" s="4"/>
    </row>
    <row r="364">
      <c r="A364" s="4" t="s">
        <v>3</v>
      </c>
      <c r="B364" s="11">
        <v>42793.0</v>
      </c>
      <c r="C364" s="11">
        <v>42799.0</v>
      </c>
      <c r="D364" s="4">
        <v>9.0</v>
      </c>
      <c r="E364" s="4">
        <v>2052.0</v>
      </c>
      <c r="F364" s="4">
        <v>0.0</v>
      </c>
      <c r="G364" s="4"/>
    </row>
    <row r="365">
      <c r="A365" s="4" t="s">
        <v>3</v>
      </c>
      <c r="B365" s="11">
        <v>42800.0</v>
      </c>
      <c r="C365" s="11">
        <v>42806.0</v>
      </c>
      <c r="D365" s="4">
        <v>10.0</v>
      </c>
      <c r="E365" s="4">
        <v>1839.0</v>
      </c>
      <c r="F365" s="4">
        <v>0.0</v>
      </c>
      <c r="G365" s="4"/>
    </row>
    <row r="366">
      <c r="A366" s="4" t="s">
        <v>3</v>
      </c>
      <c r="B366" s="11">
        <v>42807.0</v>
      </c>
      <c r="C366" s="11">
        <v>42813.0</v>
      </c>
      <c r="D366" s="4">
        <v>11.0</v>
      </c>
      <c r="E366" s="4">
        <v>1931.0</v>
      </c>
      <c r="F366" s="4">
        <v>0.0</v>
      </c>
      <c r="G366" s="4"/>
    </row>
    <row r="367">
      <c r="A367" s="4" t="s">
        <v>3</v>
      </c>
      <c r="B367" s="11">
        <v>42814.0</v>
      </c>
      <c r="C367" s="11">
        <v>42820.0</v>
      </c>
      <c r="D367" s="4">
        <v>12.0</v>
      </c>
      <c r="E367" s="4">
        <v>1911.0</v>
      </c>
      <c r="F367" s="4">
        <v>0.0</v>
      </c>
      <c r="G367" s="4"/>
    </row>
    <row r="368">
      <c r="A368" s="4" t="s">
        <v>3</v>
      </c>
      <c r="B368" s="11">
        <v>42821.0</v>
      </c>
      <c r="C368" s="11">
        <v>42827.0</v>
      </c>
      <c r="D368" s="4">
        <v>13.0</v>
      </c>
      <c r="E368" s="4">
        <v>1786.0</v>
      </c>
      <c r="F368" s="4">
        <v>0.0</v>
      </c>
      <c r="G368" s="4"/>
    </row>
    <row r="369">
      <c r="A369" s="4" t="s">
        <v>3</v>
      </c>
      <c r="B369" s="11">
        <v>42828.0</v>
      </c>
      <c r="C369" s="11">
        <v>42834.0</v>
      </c>
      <c r="D369" s="4">
        <v>14.0</v>
      </c>
      <c r="E369" s="4">
        <v>1765.0</v>
      </c>
      <c r="F369" s="4">
        <v>0.0</v>
      </c>
      <c r="G369" s="4"/>
    </row>
    <row r="370">
      <c r="A370" s="4" t="s">
        <v>3</v>
      </c>
      <c r="B370" s="11">
        <v>42835.0</v>
      </c>
      <c r="C370" s="11">
        <v>42841.0</v>
      </c>
      <c r="D370" s="4">
        <v>15.0</v>
      </c>
      <c r="E370" s="4">
        <v>1758.0</v>
      </c>
      <c r="F370" s="4">
        <v>0.0</v>
      </c>
      <c r="G370" s="4"/>
    </row>
    <row r="371">
      <c r="A371" s="4" t="s">
        <v>3</v>
      </c>
      <c r="B371" s="11">
        <v>42842.0</v>
      </c>
      <c r="C371" s="11">
        <v>42848.0</v>
      </c>
      <c r="D371" s="4">
        <v>16.0</v>
      </c>
      <c r="E371" s="4">
        <v>1804.0</v>
      </c>
      <c r="F371" s="4">
        <v>0.0</v>
      </c>
      <c r="G371" s="4"/>
    </row>
    <row r="372">
      <c r="A372" s="4" t="s">
        <v>3</v>
      </c>
      <c r="B372" s="11">
        <v>42849.0</v>
      </c>
      <c r="C372" s="11">
        <v>42855.0</v>
      </c>
      <c r="D372" s="4">
        <v>17.0</v>
      </c>
      <c r="E372" s="4">
        <v>1685.0</v>
      </c>
      <c r="F372" s="4">
        <v>0.0</v>
      </c>
      <c r="G372" s="4"/>
    </row>
    <row r="373">
      <c r="A373" s="4" t="s">
        <v>3</v>
      </c>
      <c r="B373" s="11">
        <v>42856.0</v>
      </c>
      <c r="C373" s="11">
        <v>42862.0</v>
      </c>
      <c r="D373" s="4">
        <v>18.0</v>
      </c>
      <c r="E373" s="4">
        <v>1780.0</v>
      </c>
      <c r="F373" s="4">
        <v>0.0</v>
      </c>
      <c r="G373" s="4"/>
    </row>
    <row r="374">
      <c r="A374" s="4" t="s">
        <v>3</v>
      </c>
      <c r="B374" s="11">
        <v>42863.0</v>
      </c>
      <c r="C374" s="11">
        <v>42869.0</v>
      </c>
      <c r="D374" s="4">
        <v>19.0</v>
      </c>
      <c r="E374" s="4">
        <v>1751.0</v>
      </c>
      <c r="F374" s="4">
        <v>0.0</v>
      </c>
      <c r="G374" s="4"/>
    </row>
    <row r="375">
      <c r="A375" s="4" t="s">
        <v>3</v>
      </c>
      <c r="B375" s="11">
        <v>42870.0</v>
      </c>
      <c r="C375" s="11">
        <v>42876.0</v>
      </c>
      <c r="D375" s="4">
        <v>20.0</v>
      </c>
      <c r="E375" s="4">
        <v>1813.0</v>
      </c>
      <c r="F375" s="4">
        <v>0.0</v>
      </c>
      <c r="G375" s="4"/>
    </row>
    <row r="376">
      <c r="A376" s="4" t="s">
        <v>3</v>
      </c>
      <c r="B376" s="11">
        <v>42877.0</v>
      </c>
      <c r="C376" s="11">
        <v>42883.0</v>
      </c>
      <c r="D376" s="4">
        <v>21.0</v>
      </c>
      <c r="E376" s="4">
        <v>1813.0</v>
      </c>
      <c r="F376" s="4">
        <v>0.0</v>
      </c>
      <c r="G376" s="4"/>
    </row>
    <row r="377">
      <c r="A377" s="4" t="s">
        <v>3</v>
      </c>
      <c r="B377" s="11">
        <v>42884.0</v>
      </c>
      <c r="C377" s="11">
        <v>42890.0</v>
      </c>
      <c r="D377" s="4">
        <v>22.0</v>
      </c>
      <c r="E377" s="4">
        <v>1782.0</v>
      </c>
      <c r="F377" s="4">
        <v>0.0</v>
      </c>
      <c r="G377" s="4"/>
    </row>
    <row r="378">
      <c r="A378" s="4" t="s">
        <v>3</v>
      </c>
      <c r="B378" s="11">
        <v>42891.0</v>
      </c>
      <c r="C378" s="11">
        <v>42897.0</v>
      </c>
      <c r="D378" s="4">
        <v>23.0</v>
      </c>
      <c r="E378" s="4">
        <v>1934.0</v>
      </c>
      <c r="F378" s="4">
        <v>0.0</v>
      </c>
      <c r="G378" s="4"/>
    </row>
    <row r="379">
      <c r="A379" s="4" t="s">
        <v>3</v>
      </c>
      <c r="B379" s="11">
        <v>42898.0</v>
      </c>
      <c r="C379" s="11">
        <v>42904.0</v>
      </c>
      <c r="D379" s="4">
        <v>24.0</v>
      </c>
      <c r="E379" s="4">
        <v>1839.0</v>
      </c>
      <c r="F379" s="4">
        <v>0.0</v>
      </c>
      <c r="G379" s="4"/>
    </row>
    <row r="380">
      <c r="A380" s="4" t="s">
        <v>3</v>
      </c>
      <c r="B380" s="11">
        <v>42905.0</v>
      </c>
      <c r="C380" s="11">
        <v>42911.0</v>
      </c>
      <c r="D380" s="4">
        <v>25.0</v>
      </c>
      <c r="E380" s="4">
        <v>1917.0</v>
      </c>
      <c r="F380" s="4">
        <v>0.0</v>
      </c>
      <c r="G380" s="4"/>
    </row>
    <row r="381">
      <c r="A381" s="4" t="s">
        <v>3</v>
      </c>
      <c r="B381" s="11">
        <v>42912.0</v>
      </c>
      <c r="C381" s="11">
        <v>42918.0</v>
      </c>
      <c r="D381" s="4">
        <v>26.0</v>
      </c>
      <c r="E381" s="4">
        <v>1965.0</v>
      </c>
      <c r="F381" s="4">
        <v>0.0</v>
      </c>
      <c r="G381" s="4"/>
    </row>
    <row r="382">
      <c r="A382" s="4" t="s">
        <v>3</v>
      </c>
      <c r="B382" s="11">
        <v>42919.0</v>
      </c>
      <c r="C382" s="11">
        <v>42925.0</v>
      </c>
      <c r="D382" s="4">
        <v>27.0</v>
      </c>
      <c r="E382" s="4">
        <v>2009.0</v>
      </c>
      <c r="F382" s="4">
        <v>0.0</v>
      </c>
      <c r="G382" s="4"/>
    </row>
    <row r="383">
      <c r="A383" s="4" t="s">
        <v>3</v>
      </c>
      <c r="B383" s="11">
        <v>42926.0</v>
      </c>
      <c r="C383" s="11">
        <v>42932.0</v>
      </c>
      <c r="D383" s="4">
        <v>28.0</v>
      </c>
      <c r="E383" s="4">
        <v>1923.0</v>
      </c>
      <c r="F383" s="4">
        <v>0.0</v>
      </c>
      <c r="G383" s="4"/>
    </row>
    <row r="384">
      <c r="A384" s="4" t="s">
        <v>3</v>
      </c>
      <c r="B384" s="11">
        <v>42933.0</v>
      </c>
      <c r="C384" s="11">
        <v>42939.0</v>
      </c>
      <c r="D384" s="4">
        <v>29.0</v>
      </c>
      <c r="E384" s="4">
        <v>1955.0</v>
      </c>
      <c r="F384" s="4">
        <v>0.0</v>
      </c>
      <c r="G384" s="4"/>
    </row>
    <row r="385">
      <c r="A385" s="4" t="s">
        <v>3</v>
      </c>
      <c r="B385" s="11">
        <v>42940.0</v>
      </c>
      <c r="C385" s="11">
        <v>42946.0</v>
      </c>
      <c r="D385" s="4">
        <v>30.0</v>
      </c>
      <c r="E385" s="4">
        <v>2004.0</v>
      </c>
      <c r="F385" s="4">
        <v>0.0</v>
      </c>
      <c r="G385" s="4"/>
    </row>
    <row r="386">
      <c r="A386" s="4" t="s">
        <v>3</v>
      </c>
      <c r="B386" s="11">
        <v>42947.0</v>
      </c>
      <c r="C386" s="11">
        <v>42953.0</v>
      </c>
      <c r="D386" s="4">
        <v>31.0</v>
      </c>
      <c r="E386" s="4">
        <v>1929.0</v>
      </c>
      <c r="F386" s="4">
        <v>0.0</v>
      </c>
      <c r="G386" s="4"/>
    </row>
    <row r="387">
      <c r="A387" s="4" t="s">
        <v>3</v>
      </c>
      <c r="B387" s="11">
        <v>42954.0</v>
      </c>
      <c r="C387" s="11">
        <v>42960.0</v>
      </c>
      <c r="D387" s="4">
        <v>32.0</v>
      </c>
      <c r="E387" s="4">
        <v>1962.0</v>
      </c>
      <c r="F387" s="4">
        <v>0.0</v>
      </c>
      <c r="G387" s="4"/>
    </row>
    <row r="388">
      <c r="A388" s="4" t="s">
        <v>3</v>
      </c>
      <c r="B388" s="11">
        <v>42961.0</v>
      </c>
      <c r="C388" s="11">
        <v>42967.0</v>
      </c>
      <c r="D388" s="4">
        <v>33.0</v>
      </c>
      <c r="E388" s="4">
        <v>1913.0</v>
      </c>
      <c r="F388" s="4">
        <v>0.0</v>
      </c>
      <c r="G388" s="4"/>
    </row>
    <row r="389">
      <c r="A389" s="4" t="s">
        <v>3</v>
      </c>
      <c r="B389" s="11">
        <v>42968.0</v>
      </c>
      <c r="C389" s="11">
        <v>42974.0</v>
      </c>
      <c r="D389" s="4">
        <v>34.0</v>
      </c>
      <c r="E389" s="4">
        <v>1969.0</v>
      </c>
      <c r="F389" s="4">
        <v>0.0</v>
      </c>
      <c r="G389" s="4"/>
    </row>
    <row r="390">
      <c r="A390" s="4" t="s">
        <v>3</v>
      </c>
      <c r="B390" s="11">
        <v>42975.0</v>
      </c>
      <c r="C390" s="11">
        <v>42981.0</v>
      </c>
      <c r="D390" s="4">
        <v>35.0</v>
      </c>
      <c r="E390" s="4">
        <v>1972.0</v>
      </c>
      <c r="F390" s="4">
        <v>0.0</v>
      </c>
      <c r="G390" s="4"/>
    </row>
    <row r="391">
      <c r="A391" s="4" t="s">
        <v>3</v>
      </c>
      <c r="B391" s="11">
        <v>42982.0</v>
      </c>
      <c r="C391" s="11">
        <v>42988.0</v>
      </c>
      <c r="D391" s="4">
        <v>36.0</v>
      </c>
      <c r="E391" s="4">
        <v>2027.0</v>
      </c>
      <c r="F391" s="4">
        <v>0.0</v>
      </c>
      <c r="G391" s="4"/>
    </row>
    <row r="392">
      <c r="A392" s="4" t="s">
        <v>3</v>
      </c>
      <c r="B392" s="11">
        <v>42989.0</v>
      </c>
      <c r="C392" s="11">
        <v>42995.0</v>
      </c>
      <c r="D392" s="4">
        <v>37.0</v>
      </c>
      <c r="E392" s="4">
        <v>2058.0</v>
      </c>
      <c r="F392" s="4">
        <v>0.0</v>
      </c>
      <c r="G392" s="4"/>
    </row>
    <row r="393">
      <c r="A393" s="4" t="s">
        <v>3</v>
      </c>
      <c r="B393" s="11">
        <v>42996.0</v>
      </c>
      <c r="C393" s="11">
        <v>43002.0</v>
      </c>
      <c r="D393" s="4">
        <v>38.0</v>
      </c>
      <c r="E393" s="4">
        <v>2014.0</v>
      </c>
      <c r="F393" s="4">
        <v>0.0</v>
      </c>
      <c r="G393" s="4"/>
    </row>
    <row r="394">
      <c r="A394" s="4" t="s">
        <v>3</v>
      </c>
      <c r="B394" s="11">
        <v>43003.0</v>
      </c>
      <c r="C394" s="12">
        <v>43009.0</v>
      </c>
      <c r="D394" s="4">
        <v>39.0</v>
      </c>
      <c r="E394" s="4">
        <v>2081.0</v>
      </c>
      <c r="F394" s="4">
        <v>0.0</v>
      </c>
      <c r="G394" s="4"/>
    </row>
    <row r="395">
      <c r="A395" s="4" t="s">
        <v>3</v>
      </c>
      <c r="B395" s="12">
        <v>43010.0</v>
      </c>
      <c r="C395" s="12">
        <v>43016.0</v>
      </c>
      <c r="D395" s="4">
        <v>40.0</v>
      </c>
      <c r="E395" s="4">
        <v>1969.0</v>
      </c>
      <c r="F395" s="4">
        <v>0.0</v>
      </c>
      <c r="G395" s="4"/>
    </row>
    <row r="396">
      <c r="A396" s="4" t="s">
        <v>3</v>
      </c>
      <c r="B396" s="12">
        <v>43017.0</v>
      </c>
      <c r="C396" s="12">
        <v>43023.0</v>
      </c>
      <c r="D396" s="4">
        <v>41.0</v>
      </c>
      <c r="E396" s="4">
        <v>2077.0</v>
      </c>
      <c r="F396" s="4">
        <v>0.0</v>
      </c>
      <c r="G396" s="4"/>
    </row>
    <row r="397">
      <c r="A397" s="4" t="s">
        <v>3</v>
      </c>
      <c r="B397" s="12">
        <v>43024.0</v>
      </c>
      <c r="C397" s="12">
        <v>43030.0</v>
      </c>
      <c r="D397" s="4">
        <v>42.0</v>
      </c>
      <c r="E397" s="4">
        <v>2070.0</v>
      </c>
      <c r="F397" s="4">
        <v>0.0</v>
      </c>
      <c r="G397" s="4"/>
    </row>
    <row r="398">
      <c r="A398" s="4" t="s">
        <v>3</v>
      </c>
      <c r="B398" s="12">
        <v>43031.0</v>
      </c>
      <c r="C398" s="12">
        <v>43037.0</v>
      </c>
      <c r="D398" s="4">
        <v>43.0</v>
      </c>
      <c r="E398" s="4">
        <v>2041.0</v>
      </c>
      <c r="F398" s="4">
        <v>0.0</v>
      </c>
      <c r="G398" s="4"/>
    </row>
    <row r="399">
      <c r="A399" s="4" t="s">
        <v>3</v>
      </c>
      <c r="B399" s="12">
        <v>43038.0</v>
      </c>
      <c r="C399" s="12">
        <v>43044.0</v>
      </c>
      <c r="D399" s="4">
        <v>44.0</v>
      </c>
      <c r="E399" s="4">
        <v>2029.0</v>
      </c>
      <c r="F399" s="4">
        <v>0.0</v>
      </c>
      <c r="G399" s="4"/>
    </row>
    <row r="400">
      <c r="A400" s="4" t="s">
        <v>3</v>
      </c>
      <c r="B400" s="12">
        <v>43045.0</v>
      </c>
      <c r="C400" s="12">
        <v>43051.0</v>
      </c>
      <c r="D400" s="4">
        <v>45.0</v>
      </c>
      <c r="E400" s="4">
        <v>1997.0</v>
      </c>
      <c r="F400" s="4">
        <v>0.0</v>
      </c>
      <c r="G400" s="4"/>
    </row>
    <row r="401">
      <c r="A401" s="4" t="s">
        <v>3</v>
      </c>
      <c r="B401" s="12">
        <v>43052.0</v>
      </c>
      <c r="C401" s="12">
        <v>43058.0</v>
      </c>
      <c r="D401" s="4">
        <v>46.0</v>
      </c>
      <c r="E401" s="4">
        <v>1892.0</v>
      </c>
      <c r="F401" s="4">
        <v>0.0</v>
      </c>
      <c r="G401" s="4"/>
    </row>
    <row r="402">
      <c r="A402" s="4" t="s">
        <v>3</v>
      </c>
      <c r="B402" s="12">
        <v>43059.0</v>
      </c>
      <c r="C402" s="12">
        <v>43065.0</v>
      </c>
      <c r="D402" s="4">
        <v>47.0</v>
      </c>
      <c r="E402" s="4">
        <v>2035.0</v>
      </c>
      <c r="F402" s="4">
        <v>0.0</v>
      </c>
      <c r="G402" s="4"/>
    </row>
    <row r="403">
      <c r="A403" s="4" t="s">
        <v>3</v>
      </c>
      <c r="B403" s="12">
        <v>43066.0</v>
      </c>
      <c r="C403" s="12">
        <v>43072.0</v>
      </c>
      <c r="D403" s="4">
        <v>48.0</v>
      </c>
      <c r="E403" s="4">
        <v>1951.0</v>
      </c>
      <c r="F403" s="4">
        <v>0.0</v>
      </c>
      <c r="G403" s="4"/>
    </row>
    <row r="404">
      <c r="A404" s="4" t="s">
        <v>3</v>
      </c>
      <c r="B404" s="12">
        <v>43073.0</v>
      </c>
      <c r="C404" s="12">
        <v>43079.0</v>
      </c>
      <c r="D404" s="4">
        <v>49.0</v>
      </c>
      <c r="E404" s="4">
        <v>1868.0</v>
      </c>
      <c r="F404" s="4">
        <v>0.0</v>
      </c>
      <c r="G404" s="4"/>
    </row>
    <row r="405">
      <c r="A405" s="4" t="s">
        <v>3</v>
      </c>
      <c r="B405" s="12">
        <v>43080.0</v>
      </c>
      <c r="C405" s="12">
        <v>43086.0</v>
      </c>
      <c r="D405" s="4">
        <v>50.0</v>
      </c>
      <c r="E405" s="4">
        <v>1968.0</v>
      </c>
      <c r="F405" s="4">
        <v>0.0</v>
      </c>
      <c r="G405" s="4"/>
    </row>
    <row r="406">
      <c r="A406" s="4" t="s">
        <v>3</v>
      </c>
      <c r="B406" s="12">
        <v>43087.0</v>
      </c>
      <c r="C406" s="12">
        <v>43093.0</v>
      </c>
      <c r="D406" s="4">
        <v>51.0</v>
      </c>
      <c r="E406" s="4">
        <v>1949.0</v>
      </c>
      <c r="F406" s="4">
        <v>0.0</v>
      </c>
      <c r="G406" s="4"/>
    </row>
    <row r="407">
      <c r="A407" s="4" t="s">
        <v>3</v>
      </c>
      <c r="B407" s="12">
        <v>43094.0</v>
      </c>
      <c r="C407" s="12">
        <v>43100.0</v>
      </c>
      <c r="D407" s="4">
        <v>52.0</v>
      </c>
      <c r="E407" s="4">
        <v>1948.0</v>
      </c>
      <c r="F407" s="4">
        <v>0.0</v>
      </c>
      <c r="G407" s="4"/>
    </row>
    <row r="408">
      <c r="A408" s="4" t="s">
        <v>3</v>
      </c>
      <c r="B408" s="11">
        <v>43101.0</v>
      </c>
      <c r="C408" s="11">
        <v>43107.0</v>
      </c>
      <c r="D408" s="4">
        <v>1.0</v>
      </c>
      <c r="E408" s="4">
        <v>1987.0</v>
      </c>
      <c r="F408" s="4">
        <v>0.0</v>
      </c>
      <c r="G408" s="4"/>
    </row>
    <row r="409">
      <c r="A409" s="4" t="s">
        <v>3</v>
      </c>
      <c r="B409" s="11">
        <v>43108.0</v>
      </c>
      <c r="C409" s="11">
        <v>43114.0</v>
      </c>
      <c r="D409" s="4">
        <v>2.0</v>
      </c>
      <c r="E409" s="4">
        <v>1980.0</v>
      </c>
      <c r="F409" s="4">
        <v>0.0</v>
      </c>
      <c r="G409" s="4"/>
    </row>
    <row r="410">
      <c r="A410" s="4" t="s">
        <v>3</v>
      </c>
      <c r="B410" s="11">
        <v>43115.0</v>
      </c>
      <c r="C410" s="11">
        <v>43121.0</v>
      </c>
      <c r="D410" s="4">
        <v>3.0</v>
      </c>
      <c r="E410" s="4">
        <v>1922.0</v>
      </c>
      <c r="F410" s="4">
        <v>0.0</v>
      </c>
      <c r="G410" s="4"/>
    </row>
    <row r="411">
      <c r="A411" s="4" t="s">
        <v>3</v>
      </c>
      <c r="B411" s="11">
        <v>43122.0</v>
      </c>
      <c r="C411" s="11">
        <v>43128.0</v>
      </c>
      <c r="D411" s="4">
        <v>4.0</v>
      </c>
      <c r="E411" s="4">
        <v>1953.0</v>
      </c>
      <c r="F411" s="4">
        <v>0.0</v>
      </c>
      <c r="G411" s="4"/>
    </row>
    <row r="412">
      <c r="A412" s="4" t="s">
        <v>3</v>
      </c>
      <c r="B412" s="11">
        <v>43129.0</v>
      </c>
      <c r="C412" s="11">
        <v>43135.0</v>
      </c>
      <c r="D412" s="4">
        <v>5.0</v>
      </c>
      <c r="E412" s="4">
        <v>1888.0</v>
      </c>
      <c r="F412" s="4">
        <v>0.0</v>
      </c>
      <c r="G412" s="4"/>
    </row>
    <row r="413">
      <c r="A413" s="4" t="s">
        <v>3</v>
      </c>
      <c r="B413" s="11">
        <v>43136.0</v>
      </c>
      <c r="C413" s="11">
        <v>43142.0</v>
      </c>
      <c r="D413" s="4">
        <v>6.0</v>
      </c>
      <c r="E413" s="4">
        <v>1914.0</v>
      </c>
      <c r="F413" s="4">
        <v>0.0</v>
      </c>
      <c r="G413" s="4"/>
    </row>
    <row r="414">
      <c r="A414" s="4" t="s">
        <v>3</v>
      </c>
      <c r="B414" s="11">
        <v>43143.0</v>
      </c>
      <c r="C414" s="11">
        <v>43149.0</v>
      </c>
      <c r="D414" s="4">
        <v>7.0</v>
      </c>
      <c r="E414" s="4">
        <v>2024.0</v>
      </c>
      <c r="F414" s="4">
        <v>0.0</v>
      </c>
      <c r="G414" s="4"/>
    </row>
    <row r="415">
      <c r="A415" s="4" t="s">
        <v>3</v>
      </c>
      <c r="B415" s="11">
        <v>43150.0</v>
      </c>
      <c r="C415" s="11">
        <v>43156.0</v>
      </c>
      <c r="D415" s="4">
        <v>8.0</v>
      </c>
      <c r="E415" s="4">
        <v>1948.0</v>
      </c>
      <c r="F415" s="4">
        <v>0.0</v>
      </c>
      <c r="G415" s="4"/>
    </row>
    <row r="416">
      <c r="A416" s="4" t="s">
        <v>3</v>
      </c>
      <c r="B416" s="11">
        <v>43157.0</v>
      </c>
      <c r="C416" s="11">
        <v>43163.0</v>
      </c>
      <c r="D416" s="4">
        <v>9.0</v>
      </c>
      <c r="E416" s="4">
        <v>1947.0</v>
      </c>
      <c r="F416" s="4">
        <v>0.0</v>
      </c>
      <c r="G416" s="4"/>
    </row>
    <row r="417">
      <c r="A417" s="4" t="s">
        <v>3</v>
      </c>
      <c r="B417" s="11">
        <v>43164.0</v>
      </c>
      <c r="C417" s="11">
        <v>43170.0</v>
      </c>
      <c r="D417" s="4">
        <v>10.0</v>
      </c>
      <c r="E417" s="4">
        <v>1893.0</v>
      </c>
      <c r="F417" s="4">
        <v>0.0</v>
      </c>
      <c r="G417" s="4"/>
    </row>
    <row r="418">
      <c r="A418" s="4" t="s">
        <v>3</v>
      </c>
      <c r="B418" s="11">
        <v>43171.0</v>
      </c>
      <c r="C418" s="11">
        <v>43177.0</v>
      </c>
      <c r="D418" s="4">
        <v>11.0</v>
      </c>
      <c r="E418" s="4">
        <v>1972.0</v>
      </c>
      <c r="F418" s="4">
        <v>0.0</v>
      </c>
      <c r="G418" s="4"/>
    </row>
    <row r="419">
      <c r="A419" s="4" t="s">
        <v>3</v>
      </c>
      <c r="B419" s="11">
        <v>43178.0</v>
      </c>
      <c r="C419" s="11">
        <v>43184.0</v>
      </c>
      <c r="D419" s="4">
        <v>12.0</v>
      </c>
      <c r="E419" s="4">
        <v>1970.0</v>
      </c>
      <c r="F419" s="4">
        <v>0.0</v>
      </c>
      <c r="G419" s="4"/>
    </row>
    <row r="420">
      <c r="A420" s="4" t="s">
        <v>3</v>
      </c>
      <c r="B420" s="11">
        <v>43185.0</v>
      </c>
      <c r="C420" s="11">
        <v>43191.0</v>
      </c>
      <c r="D420" s="4">
        <v>13.0</v>
      </c>
      <c r="E420" s="4">
        <v>1984.0</v>
      </c>
      <c r="F420" s="4">
        <v>0.0</v>
      </c>
      <c r="G420" s="4"/>
    </row>
    <row r="421">
      <c r="A421" s="4" t="s">
        <v>3</v>
      </c>
      <c r="B421" s="11">
        <v>43192.0</v>
      </c>
      <c r="C421" s="11">
        <v>43198.0</v>
      </c>
      <c r="D421" s="4">
        <v>14.0</v>
      </c>
      <c r="E421" s="4">
        <v>2100.0</v>
      </c>
      <c r="F421" s="4">
        <v>0.0</v>
      </c>
      <c r="G421" s="4"/>
    </row>
    <row r="422">
      <c r="A422" s="4" t="s">
        <v>3</v>
      </c>
      <c r="B422" s="11">
        <v>43199.0</v>
      </c>
      <c r="C422" s="11">
        <v>43205.0</v>
      </c>
      <c r="D422" s="4">
        <v>15.0</v>
      </c>
      <c r="E422" s="4">
        <v>1835.0</v>
      </c>
      <c r="F422" s="4">
        <v>0.0</v>
      </c>
      <c r="G422" s="4"/>
    </row>
    <row r="423">
      <c r="A423" s="4" t="s">
        <v>3</v>
      </c>
      <c r="B423" s="11">
        <v>43206.0</v>
      </c>
      <c r="C423" s="11">
        <v>43212.0</v>
      </c>
      <c r="D423" s="4">
        <v>16.0</v>
      </c>
      <c r="E423" s="4">
        <v>1985.0</v>
      </c>
      <c r="F423" s="4">
        <v>0.0</v>
      </c>
      <c r="G423" s="4"/>
    </row>
    <row r="424">
      <c r="A424" s="4" t="s">
        <v>3</v>
      </c>
      <c r="B424" s="11">
        <v>43213.0</v>
      </c>
      <c r="C424" s="11">
        <v>43219.0</v>
      </c>
      <c r="D424" s="4">
        <v>17.0</v>
      </c>
      <c r="E424" s="4">
        <v>1991.0</v>
      </c>
      <c r="F424" s="4">
        <v>0.0</v>
      </c>
      <c r="G424" s="4"/>
    </row>
    <row r="425">
      <c r="A425" s="4" t="s">
        <v>3</v>
      </c>
      <c r="B425" s="11">
        <v>43220.0</v>
      </c>
      <c r="C425" s="11">
        <v>43226.0</v>
      </c>
      <c r="D425" s="4">
        <v>18.0</v>
      </c>
      <c r="E425" s="4">
        <v>2129.0</v>
      </c>
      <c r="F425" s="4">
        <v>0.0</v>
      </c>
      <c r="G425" s="4"/>
    </row>
    <row r="426">
      <c r="A426" s="4" t="s">
        <v>3</v>
      </c>
      <c r="B426" s="11">
        <v>43227.0</v>
      </c>
      <c r="C426" s="11">
        <v>43233.0</v>
      </c>
      <c r="D426" s="4">
        <v>19.0</v>
      </c>
      <c r="E426" s="4">
        <v>2001.0</v>
      </c>
      <c r="F426" s="4">
        <v>0.0</v>
      </c>
      <c r="G426" s="4"/>
    </row>
    <row r="427">
      <c r="A427" s="4" t="s">
        <v>3</v>
      </c>
      <c r="B427" s="11">
        <v>43234.0</v>
      </c>
      <c r="C427" s="11">
        <v>43240.0</v>
      </c>
      <c r="D427" s="4">
        <v>20.0</v>
      </c>
      <c r="E427" s="4">
        <v>2118.0</v>
      </c>
      <c r="F427" s="4">
        <v>0.0</v>
      </c>
      <c r="G427" s="4"/>
    </row>
    <row r="428">
      <c r="A428" s="4" t="s">
        <v>3</v>
      </c>
      <c r="B428" s="11">
        <v>43241.0</v>
      </c>
      <c r="C428" s="11">
        <v>43247.0</v>
      </c>
      <c r="D428" s="4">
        <v>21.0</v>
      </c>
      <c r="E428" s="4">
        <v>2294.0</v>
      </c>
      <c r="F428" s="4">
        <v>0.0</v>
      </c>
      <c r="G428" s="4"/>
    </row>
    <row r="429">
      <c r="A429" s="4" t="s">
        <v>3</v>
      </c>
      <c r="B429" s="11">
        <v>43248.0</v>
      </c>
      <c r="C429" s="11">
        <v>43254.0</v>
      </c>
      <c r="D429" s="4">
        <v>22.0</v>
      </c>
      <c r="E429" s="4">
        <v>2288.0</v>
      </c>
      <c r="F429" s="4">
        <v>0.0</v>
      </c>
      <c r="G429" s="4"/>
    </row>
    <row r="430">
      <c r="A430" s="4" t="s">
        <v>3</v>
      </c>
      <c r="B430" s="11">
        <v>43255.0</v>
      </c>
      <c r="C430" s="11">
        <v>43261.0</v>
      </c>
      <c r="D430" s="4">
        <v>23.0</v>
      </c>
      <c r="E430" s="4">
        <v>2347.0</v>
      </c>
      <c r="F430" s="4">
        <v>0.0</v>
      </c>
      <c r="G430" s="4"/>
    </row>
    <row r="431">
      <c r="A431" s="4" t="s">
        <v>3</v>
      </c>
      <c r="B431" s="11">
        <v>43262.0</v>
      </c>
      <c r="C431" s="11">
        <v>43268.0</v>
      </c>
      <c r="D431" s="4">
        <v>24.0</v>
      </c>
      <c r="E431" s="4">
        <v>2442.0</v>
      </c>
      <c r="F431" s="4">
        <v>0.0</v>
      </c>
      <c r="G431" s="4"/>
    </row>
    <row r="432">
      <c r="A432" s="4" t="s">
        <v>3</v>
      </c>
      <c r="B432" s="11">
        <v>43269.0</v>
      </c>
      <c r="C432" s="11">
        <v>43275.0</v>
      </c>
      <c r="D432" s="4">
        <v>25.0</v>
      </c>
      <c r="E432" s="4">
        <v>2496.0</v>
      </c>
      <c r="F432" s="4">
        <v>0.0</v>
      </c>
      <c r="G432" s="4"/>
    </row>
    <row r="433">
      <c r="A433" s="4" t="s">
        <v>3</v>
      </c>
      <c r="B433" s="11">
        <v>43276.0</v>
      </c>
      <c r="C433" s="11">
        <v>43282.0</v>
      </c>
      <c r="D433" s="4">
        <v>26.0</v>
      </c>
      <c r="E433" s="4">
        <v>2454.0</v>
      </c>
      <c r="F433" s="4">
        <v>0.0</v>
      </c>
      <c r="G433" s="4"/>
    </row>
    <row r="434">
      <c r="A434" s="4" t="s">
        <v>3</v>
      </c>
      <c r="B434" s="11">
        <v>43283.0</v>
      </c>
      <c r="C434" s="11">
        <v>43289.0</v>
      </c>
      <c r="D434" s="4">
        <v>27.0</v>
      </c>
      <c r="E434" s="4">
        <v>2477.0</v>
      </c>
      <c r="F434" s="4">
        <v>0.0</v>
      </c>
      <c r="G434" s="4"/>
    </row>
    <row r="435">
      <c r="A435" s="4" t="s">
        <v>3</v>
      </c>
      <c r="B435" s="11">
        <v>43290.0</v>
      </c>
      <c r="C435" s="11">
        <v>43296.0</v>
      </c>
      <c r="D435" s="4">
        <v>28.0</v>
      </c>
      <c r="E435" s="4">
        <v>2320.0</v>
      </c>
      <c r="F435" s="4">
        <v>0.0</v>
      </c>
      <c r="G435" s="4"/>
    </row>
    <row r="436">
      <c r="A436" s="4" t="s">
        <v>3</v>
      </c>
      <c r="B436" s="11">
        <v>43297.0</v>
      </c>
      <c r="C436" s="11">
        <v>43303.0</v>
      </c>
      <c r="D436" s="4">
        <v>29.0</v>
      </c>
      <c r="E436" s="4">
        <v>2389.0</v>
      </c>
      <c r="F436" s="4">
        <v>0.0</v>
      </c>
      <c r="G436" s="4"/>
    </row>
    <row r="437">
      <c r="A437" s="4" t="s">
        <v>3</v>
      </c>
      <c r="B437" s="11">
        <v>43304.0</v>
      </c>
      <c r="C437" s="11">
        <v>43310.0</v>
      </c>
      <c r="D437" s="4">
        <v>30.0</v>
      </c>
      <c r="E437" s="4">
        <v>2377.0</v>
      </c>
      <c r="F437" s="4">
        <v>0.0</v>
      </c>
      <c r="G437" s="4"/>
    </row>
    <row r="438">
      <c r="A438" s="4" t="s">
        <v>3</v>
      </c>
      <c r="B438" s="11">
        <v>43311.0</v>
      </c>
      <c r="C438" s="11">
        <v>43317.0</v>
      </c>
      <c r="D438" s="4">
        <v>31.0</v>
      </c>
      <c r="E438" s="4">
        <v>2388.0</v>
      </c>
      <c r="F438" s="4">
        <v>0.0</v>
      </c>
      <c r="G438" s="4"/>
    </row>
    <row r="439">
      <c r="A439" s="4" t="s">
        <v>3</v>
      </c>
      <c r="B439" s="11">
        <v>43318.0</v>
      </c>
      <c r="C439" s="11">
        <v>43324.0</v>
      </c>
      <c r="D439" s="4">
        <v>32.0</v>
      </c>
      <c r="E439" s="4">
        <v>2373.0</v>
      </c>
      <c r="F439" s="4">
        <v>0.0</v>
      </c>
      <c r="G439" s="4"/>
    </row>
    <row r="440">
      <c r="A440" s="4" t="s">
        <v>3</v>
      </c>
      <c r="B440" s="11">
        <v>43325.0</v>
      </c>
      <c r="C440" s="11">
        <v>43331.0</v>
      </c>
      <c r="D440" s="4">
        <v>33.0</v>
      </c>
      <c r="E440" s="4">
        <v>2286.0</v>
      </c>
      <c r="F440" s="4">
        <v>0.0</v>
      </c>
      <c r="G440" s="4"/>
    </row>
    <row r="441">
      <c r="A441" s="4" t="s">
        <v>3</v>
      </c>
      <c r="B441" s="11">
        <v>43332.0</v>
      </c>
      <c r="C441" s="11">
        <v>43338.0</v>
      </c>
      <c r="D441" s="4">
        <v>34.0</v>
      </c>
      <c r="E441" s="4">
        <v>2217.0</v>
      </c>
      <c r="F441" s="4">
        <v>0.0</v>
      </c>
      <c r="G441" s="4"/>
    </row>
    <row r="442">
      <c r="A442" s="4" t="s">
        <v>3</v>
      </c>
      <c r="B442" s="11">
        <v>43339.0</v>
      </c>
      <c r="C442" s="11">
        <v>43345.0</v>
      </c>
      <c r="D442" s="4">
        <v>35.0</v>
      </c>
      <c r="E442" s="4">
        <v>2312.0</v>
      </c>
      <c r="F442" s="4">
        <v>0.0</v>
      </c>
      <c r="G442" s="4"/>
    </row>
    <row r="443">
      <c r="A443" s="4" t="s">
        <v>3</v>
      </c>
      <c r="B443" s="11">
        <v>43346.0</v>
      </c>
      <c r="C443" s="11">
        <v>43352.0</v>
      </c>
      <c r="D443" s="4">
        <v>36.0</v>
      </c>
      <c r="E443" s="4">
        <v>2288.0</v>
      </c>
      <c r="F443" s="4">
        <v>0.0</v>
      </c>
      <c r="G443" s="4"/>
    </row>
    <row r="444">
      <c r="A444" s="4" t="s">
        <v>3</v>
      </c>
      <c r="B444" s="11">
        <v>43353.0</v>
      </c>
      <c r="C444" s="11">
        <v>43359.0</v>
      </c>
      <c r="D444" s="4">
        <v>37.0</v>
      </c>
      <c r="E444" s="4">
        <v>2224.0</v>
      </c>
      <c r="F444" s="4">
        <v>0.0</v>
      </c>
      <c r="G444" s="4"/>
    </row>
    <row r="445">
      <c r="A445" s="4" t="s">
        <v>3</v>
      </c>
      <c r="B445" s="11">
        <v>43360.0</v>
      </c>
      <c r="C445" s="11">
        <v>43366.0</v>
      </c>
      <c r="D445" s="4">
        <v>38.0</v>
      </c>
      <c r="E445" s="4">
        <v>2259.0</v>
      </c>
      <c r="F445" s="4">
        <v>0.0</v>
      </c>
      <c r="G445" s="4"/>
    </row>
    <row r="446">
      <c r="A446" s="4" t="s">
        <v>3</v>
      </c>
      <c r="B446" s="11">
        <v>43367.0</v>
      </c>
      <c r="C446" s="11">
        <v>43373.0</v>
      </c>
      <c r="D446" s="4">
        <v>39.0</v>
      </c>
      <c r="E446" s="4">
        <v>2328.0</v>
      </c>
      <c r="F446" s="4">
        <v>0.0</v>
      </c>
      <c r="G446" s="4"/>
    </row>
    <row r="447">
      <c r="A447" s="4" t="s">
        <v>3</v>
      </c>
      <c r="B447" s="12">
        <v>43374.0</v>
      </c>
      <c r="C447" s="12">
        <v>43380.0</v>
      </c>
      <c r="D447" s="4">
        <v>40.0</v>
      </c>
      <c r="E447" s="4">
        <v>2244.0</v>
      </c>
      <c r="F447" s="4">
        <v>0.0</v>
      </c>
      <c r="G447" s="4"/>
    </row>
    <row r="448">
      <c r="A448" s="4" t="s">
        <v>3</v>
      </c>
      <c r="B448" s="12">
        <v>43381.0</v>
      </c>
      <c r="C448" s="12">
        <v>43387.0</v>
      </c>
      <c r="D448" s="4">
        <v>41.0</v>
      </c>
      <c r="E448" s="4">
        <v>2286.0</v>
      </c>
      <c r="F448" s="4">
        <v>0.0</v>
      </c>
      <c r="G448" s="4"/>
    </row>
    <row r="449">
      <c r="A449" s="4" t="s">
        <v>3</v>
      </c>
      <c r="B449" s="12">
        <v>43388.0</v>
      </c>
      <c r="C449" s="12">
        <v>43394.0</v>
      </c>
      <c r="D449" s="4">
        <v>42.0</v>
      </c>
      <c r="E449" s="4">
        <v>2296.0</v>
      </c>
      <c r="F449" s="4">
        <v>0.0</v>
      </c>
      <c r="G449" s="4"/>
    </row>
    <row r="450">
      <c r="A450" s="4" t="s">
        <v>3</v>
      </c>
      <c r="B450" s="12">
        <v>43395.0</v>
      </c>
      <c r="C450" s="12">
        <v>43401.0</v>
      </c>
      <c r="D450" s="4">
        <v>43.0</v>
      </c>
      <c r="E450" s="4">
        <v>2296.0</v>
      </c>
      <c r="F450" s="4">
        <v>0.0</v>
      </c>
      <c r="G450" s="4"/>
    </row>
    <row r="451">
      <c r="A451" s="4" t="s">
        <v>3</v>
      </c>
      <c r="B451" s="12">
        <v>43402.0</v>
      </c>
      <c r="C451" s="12">
        <v>43408.0</v>
      </c>
      <c r="D451" s="4">
        <v>44.0</v>
      </c>
      <c r="E451" s="4">
        <v>2243.0</v>
      </c>
      <c r="F451" s="4">
        <v>0.0</v>
      </c>
      <c r="G451" s="4"/>
    </row>
    <row r="452">
      <c r="A452" s="4" t="s">
        <v>3</v>
      </c>
      <c r="B452" s="12">
        <v>43409.0</v>
      </c>
      <c r="C452" s="12">
        <v>43415.0</v>
      </c>
      <c r="D452" s="4">
        <v>45.0</v>
      </c>
      <c r="E452" s="4">
        <v>2244.0</v>
      </c>
      <c r="F452" s="4">
        <v>0.0</v>
      </c>
      <c r="G452" s="4"/>
    </row>
    <row r="453">
      <c r="A453" s="4" t="s">
        <v>3</v>
      </c>
      <c r="B453" s="12">
        <v>43416.0</v>
      </c>
      <c r="C453" s="12">
        <v>43422.0</v>
      </c>
      <c r="D453" s="4">
        <v>46.0</v>
      </c>
      <c r="E453" s="4">
        <v>2059.0</v>
      </c>
      <c r="F453" s="4">
        <v>0.0</v>
      </c>
      <c r="G453" s="4"/>
    </row>
    <row r="454">
      <c r="A454" s="4" t="s">
        <v>3</v>
      </c>
      <c r="B454" s="12">
        <v>43423.0</v>
      </c>
      <c r="C454" s="12">
        <v>43429.0</v>
      </c>
      <c r="D454" s="4">
        <v>47.0</v>
      </c>
      <c r="E454" s="4">
        <v>2015.0</v>
      </c>
      <c r="F454" s="4">
        <v>0.0</v>
      </c>
      <c r="G454" s="4"/>
    </row>
    <row r="455">
      <c r="A455" s="4" t="s">
        <v>3</v>
      </c>
      <c r="B455" s="12">
        <v>43430.0</v>
      </c>
      <c r="C455" s="12">
        <v>43436.0</v>
      </c>
      <c r="D455" s="4">
        <v>48.0</v>
      </c>
      <c r="E455" s="4">
        <v>2029.0</v>
      </c>
      <c r="F455" s="4">
        <v>0.0</v>
      </c>
      <c r="G455" s="4"/>
    </row>
    <row r="456">
      <c r="A456" s="4" t="s">
        <v>3</v>
      </c>
      <c r="B456" s="12">
        <v>43437.0</v>
      </c>
      <c r="C456" s="12">
        <v>43443.0</v>
      </c>
      <c r="D456" s="4">
        <v>49.0</v>
      </c>
      <c r="E456" s="4">
        <v>2147.0</v>
      </c>
      <c r="F456" s="4">
        <v>0.0</v>
      </c>
      <c r="G456" s="4"/>
    </row>
    <row r="457">
      <c r="A457" s="4" t="s">
        <v>3</v>
      </c>
      <c r="B457" s="12">
        <v>43444.0</v>
      </c>
      <c r="C457" s="12">
        <v>43450.0</v>
      </c>
      <c r="D457" s="4">
        <v>50.0</v>
      </c>
      <c r="E457" s="4">
        <v>2169.0</v>
      </c>
      <c r="F457" s="4">
        <v>0.0</v>
      </c>
      <c r="G457" s="4"/>
    </row>
    <row r="458">
      <c r="A458" s="4" t="s">
        <v>3</v>
      </c>
      <c r="B458" s="12">
        <v>43451.0</v>
      </c>
      <c r="C458" s="12">
        <v>43457.0</v>
      </c>
      <c r="D458" s="4">
        <v>51.0</v>
      </c>
      <c r="E458" s="4">
        <v>2181.0</v>
      </c>
      <c r="F458" s="4">
        <v>0.0</v>
      </c>
      <c r="G458" s="4"/>
    </row>
    <row r="459">
      <c r="A459" s="4" t="s">
        <v>3</v>
      </c>
      <c r="B459" s="12">
        <v>43458.0</v>
      </c>
      <c r="C459" s="12">
        <v>43464.0</v>
      </c>
      <c r="D459" s="4">
        <v>52.0</v>
      </c>
      <c r="E459" s="4">
        <v>2204.0</v>
      </c>
      <c r="F459" s="4">
        <v>0.0</v>
      </c>
      <c r="G459" s="4"/>
    </row>
    <row r="460">
      <c r="A460" s="4" t="s">
        <v>3</v>
      </c>
      <c r="B460" s="12">
        <v>43465.0</v>
      </c>
      <c r="C460" s="11">
        <v>43471.0</v>
      </c>
      <c r="D460" s="4">
        <v>1.0</v>
      </c>
      <c r="E460" s="4">
        <v>2238.0</v>
      </c>
      <c r="F460" s="4">
        <v>0.0</v>
      </c>
      <c r="G460" s="4"/>
    </row>
    <row r="461">
      <c r="A461" s="4" t="s">
        <v>3</v>
      </c>
      <c r="B461" s="11">
        <v>43472.0</v>
      </c>
      <c r="C461" s="11">
        <v>43478.0</v>
      </c>
      <c r="D461" s="4">
        <v>2.0</v>
      </c>
      <c r="E461" s="4">
        <v>2126.0</v>
      </c>
      <c r="F461" s="4">
        <v>0.0</v>
      </c>
      <c r="G461" s="4"/>
    </row>
    <row r="462">
      <c r="A462" s="4" t="s">
        <v>3</v>
      </c>
      <c r="B462" s="11">
        <v>43479.0</v>
      </c>
      <c r="C462" s="11">
        <v>43485.0</v>
      </c>
      <c r="D462" s="4">
        <v>3.0</v>
      </c>
      <c r="E462" s="4">
        <v>2132.0</v>
      </c>
      <c r="F462" s="4">
        <v>0.0</v>
      </c>
      <c r="G462" s="4"/>
    </row>
    <row r="463">
      <c r="A463" s="4" t="s">
        <v>3</v>
      </c>
      <c r="B463" s="11">
        <v>43486.0</v>
      </c>
      <c r="C463" s="11">
        <v>43492.0</v>
      </c>
      <c r="D463" s="4">
        <v>4.0</v>
      </c>
      <c r="E463" s="4">
        <v>2126.0</v>
      </c>
      <c r="F463" s="4">
        <v>0.0</v>
      </c>
      <c r="G463" s="4"/>
    </row>
    <row r="464">
      <c r="A464" s="4" t="s">
        <v>3</v>
      </c>
      <c r="B464" s="11">
        <v>43493.0</v>
      </c>
      <c r="C464" s="11">
        <v>43499.0</v>
      </c>
      <c r="D464" s="4">
        <v>5.0</v>
      </c>
      <c r="E464" s="4">
        <v>2345.0</v>
      </c>
      <c r="F464" s="4">
        <v>0.0</v>
      </c>
      <c r="G464" s="4"/>
    </row>
    <row r="465">
      <c r="A465" s="4" t="s">
        <v>3</v>
      </c>
      <c r="B465" s="11">
        <v>43500.0</v>
      </c>
      <c r="C465" s="11">
        <v>43506.0</v>
      </c>
      <c r="D465" s="4">
        <v>6.0</v>
      </c>
      <c r="E465" s="4">
        <v>2307.0</v>
      </c>
      <c r="F465" s="4">
        <v>0.0</v>
      </c>
      <c r="G465" s="4"/>
    </row>
    <row r="466">
      <c r="A466" s="4" t="s">
        <v>3</v>
      </c>
      <c r="B466" s="11">
        <v>43507.0</v>
      </c>
      <c r="C466" s="11">
        <v>43513.0</v>
      </c>
      <c r="D466" s="4">
        <v>7.0</v>
      </c>
      <c r="E466" s="4">
        <v>2251.0</v>
      </c>
      <c r="F466" s="4">
        <v>0.0</v>
      </c>
      <c r="G466" s="4"/>
    </row>
    <row r="467">
      <c r="A467" s="4" t="s">
        <v>3</v>
      </c>
      <c r="B467" s="11">
        <v>43514.0</v>
      </c>
      <c r="C467" s="11">
        <v>43520.0</v>
      </c>
      <c r="D467" s="4">
        <v>8.0</v>
      </c>
      <c r="E467" s="4">
        <v>2317.0</v>
      </c>
      <c r="F467" s="4">
        <v>0.0</v>
      </c>
      <c r="G467" s="4"/>
    </row>
    <row r="468">
      <c r="A468" s="4" t="s">
        <v>3</v>
      </c>
      <c r="B468" s="11">
        <v>43521.0</v>
      </c>
      <c r="C468" s="11">
        <v>43527.0</v>
      </c>
      <c r="D468" s="4">
        <v>9.0</v>
      </c>
      <c r="E468" s="4">
        <v>2372.0</v>
      </c>
      <c r="F468" s="4">
        <v>0.0</v>
      </c>
      <c r="G468" s="4"/>
    </row>
    <row r="469">
      <c r="A469" s="4" t="s">
        <v>3</v>
      </c>
      <c r="B469" s="11">
        <v>43528.0</v>
      </c>
      <c r="C469" s="11">
        <v>43534.0</v>
      </c>
      <c r="D469" s="4">
        <v>10.0</v>
      </c>
      <c r="E469" s="4">
        <v>2293.0</v>
      </c>
      <c r="F469" s="4">
        <v>0.0</v>
      </c>
      <c r="G469" s="4"/>
    </row>
    <row r="470">
      <c r="A470" s="4" t="s">
        <v>3</v>
      </c>
      <c r="B470" s="11">
        <v>43535.0</v>
      </c>
      <c r="C470" s="11">
        <v>43541.0</v>
      </c>
      <c r="D470" s="4">
        <v>11.0</v>
      </c>
      <c r="E470" s="4">
        <v>2252.0</v>
      </c>
      <c r="F470" s="4">
        <v>0.0</v>
      </c>
      <c r="G470" s="4"/>
    </row>
    <row r="471">
      <c r="A471" s="4" t="s">
        <v>3</v>
      </c>
      <c r="B471" s="11">
        <v>43542.0</v>
      </c>
      <c r="C471" s="11">
        <v>43548.0</v>
      </c>
      <c r="D471" s="4">
        <v>12.0</v>
      </c>
      <c r="E471" s="4">
        <v>2107.0</v>
      </c>
      <c r="F471" s="4">
        <v>0.0</v>
      </c>
      <c r="G471" s="4"/>
    </row>
    <row r="472">
      <c r="A472" s="4" t="s">
        <v>3</v>
      </c>
      <c r="B472" s="11">
        <v>43549.0</v>
      </c>
      <c r="C472" s="11">
        <v>43555.0</v>
      </c>
      <c r="D472" s="4">
        <v>13.0</v>
      </c>
      <c r="E472" s="4">
        <v>2110.0</v>
      </c>
      <c r="F472" s="4">
        <v>0.0</v>
      </c>
      <c r="G472" s="4"/>
    </row>
    <row r="473">
      <c r="A473" s="4" t="s">
        <v>3</v>
      </c>
      <c r="B473" s="11">
        <v>43556.0</v>
      </c>
      <c r="C473" s="11">
        <v>43562.0</v>
      </c>
      <c r="D473" s="4">
        <v>14.0</v>
      </c>
      <c r="E473" s="4">
        <v>2039.0</v>
      </c>
      <c r="F473" s="4">
        <v>0.0</v>
      </c>
      <c r="G473" s="4"/>
    </row>
    <row r="474">
      <c r="A474" s="4" t="s">
        <v>3</v>
      </c>
      <c r="B474" s="11">
        <v>43563.0</v>
      </c>
      <c r="C474" s="11">
        <v>43569.0</v>
      </c>
      <c r="D474" s="4">
        <v>15.0</v>
      </c>
      <c r="E474" s="4">
        <v>2096.0</v>
      </c>
      <c r="F474" s="4">
        <v>0.0</v>
      </c>
      <c r="G474" s="4"/>
    </row>
    <row r="475">
      <c r="A475" s="4" t="s">
        <v>3</v>
      </c>
      <c r="B475" s="11">
        <v>43570.0</v>
      </c>
      <c r="C475" s="11">
        <v>43576.0</v>
      </c>
      <c r="D475" s="4">
        <v>16.0</v>
      </c>
      <c r="E475" s="4">
        <v>2139.0</v>
      </c>
      <c r="F475" s="4">
        <v>0.0</v>
      </c>
      <c r="G475" s="4"/>
    </row>
    <row r="476">
      <c r="A476" s="4" t="s">
        <v>3</v>
      </c>
      <c r="B476" s="11">
        <v>43577.0</v>
      </c>
      <c r="C476" s="11">
        <v>43583.0</v>
      </c>
      <c r="D476" s="4">
        <v>17.0</v>
      </c>
      <c r="E476" s="4">
        <v>2023.0</v>
      </c>
      <c r="F476" s="4">
        <v>0.0</v>
      </c>
      <c r="G476" s="4"/>
    </row>
    <row r="477">
      <c r="A477" s="4" t="s">
        <v>3</v>
      </c>
      <c r="B477" s="11">
        <v>43584.0</v>
      </c>
      <c r="C477" s="11">
        <v>43590.0</v>
      </c>
      <c r="D477" s="4">
        <v>18.0</v>
      </c>
      <c r="E477" s="4">
        <v>2042.0</v>
      </c>
      <c r="F477" s="4">
        <v>0.0</v>
      </c>
      <c r="G477" s="4"/>
    </row>
    <row r="478">
      <c r="A478" s="4" t="s">
        <v>3</v>
      </c>
      <c r="B478" s="11">
        <v>43591.0</v>
      </c>
      <c r="C478" s="11">
        <v>43597.0</v>
      </c>
      <c r="D478" s="4">
        <v>19.0</v>
      </c>
      <c r="E478" s="4">
        <v>1981.0</v>
      </c>
      <c r="F478" s="4">
        <v>0.0</v>
      </c>
      <c r="G478" s="4"/>
    </row>
    <row r="479">
      <c r="A479" s="4" t="s">
        <v>3</v>
      </c>
      <c r="B479" s="11">
        <v>43598.0</v>
      </c>
      <c r="C479" s="11">
        <v>43604.0</v>
      </c>
      <c r="D479" s="4">
        <v>20.0</v>
      </c>
      <c r="E479" s="4">
        <v>2021.0</v>
      </c>
      <c r="F479" s="4">
        <v>0.0</v>
      </c>
      <c r="G479" s="4"/>
    </row>
    <row r="480">
      <c r="A480" s="4" t="s">
        <v>3</v>
      </c>
      <c r="B480" s="11">
        <v>43605.0</v>
      </c>
      <c r="C480" s="11">
        <v>43611.0</v>
      </c>
      <c r="D480" s="4">
        <v>21.0</v>
      </c>
      <c r="E480" s="4">
        <v>1995.0</v>
      </c>
      <c r="F480" s="4">
        <v>0.0</v>
      </c>
      <c r="G480" s="4"/>
    </row>
    <row r="481">
      <c r="A481" s="4" t="s">
        <v>3</v>
      </c>
      <c r="B481" s="11">
        <v>43612.0</v>
      </c>
      <c r="C481" s="11">
        <v>43618.0</v>
      </c>
      <c r="D481" s="4">
        <v>22.0</v>
      </c>
      <c r="E481" s="4">
        <v>2080.0</v>
      </c>
      <c r="F481" s="4">
        <v>0.0</v>
      </c>
      <c r="G481" s="4"/>
    </row>
    <row r="482">
      <c r="A482" s="4" t="s">
        <v>3</v>
      </c>
      <c r="B482" s="11">
        <v>43619.0</v>
      </c>
      <c r="C482" s="11">
        <v>43625.0</v>
      </c>
      <c r="D482" s="4">
        <v>23.0</v>
      </c>
      <c r="E482" s="4">
        <v>2124.0</v>
      </c>
      <c r="F482" s="4">
        <v>0.0</v>
      </c>
      <c r="G482" s="4"/>
    </row>
    <row r="483">
      <c r="A483" s="4" t="s">
        <v>3</v>
      </c>
      <c r="B483" s="11">
        <v>43626.0</v>
      </c>
      <c r="C483" s="11">
        <v>43632.0</v>
      </c>
      <c r="D483" s="4">
        <v>24.0</v>
      </c>
      <c r="E483" s="4">
        <v>2169.0</v>
      </c>
      <c r="F483" s="4">
        <v>0.0</v>
      </c>
      <c r="G483" s="4"/>
    </row>
    <row r="484">
      <c r="A484" s="4" t="s">
        <v>3</v>
      </c>
      <c r="B484" s="11">
        <v>43633.0</v>
      </c>
      <c r="C484" s="11">
        <v>43639.0</v>
      </c>
      <c r="D484" s="4">
        <v>25.0</v>
      </c>
      <c r="E484" s="4">
        <v>2257.0</v>
      </c>
      <c r="F484" s="4">
        <v>0.0</v>
      </c>
      <c r="G484" s="4"/>
    </row>
    <row r="485">
      <c r="A485" s="4" t="s">
        <v>3</v>
      </c>
      <c r="B485" s="11">
        <v>43640.0</v>
      </c>
      <c r="C485" s="11">
        <v>43646.0</v>
      </c>
      <c r="D485" s="4">
        <v>26.0</v>
      </c>
      <c r="E485" s="4">
        <v>2182.0</v>
      </c>
      <c r="F485" s="4">
        <v>0.0</v>
      </c>
      <c r="G485" s="4"/>
    </row>
    <row r="486">
      <c r="A486" s="4" t="s">
        <v>3</v>
      </c>
      <c r="B486" s="11">
        <v>43647.0</v>
      </c>
      <c r="C486" s="11">
        <v>43653.0</v>
      </c>
      <c r="D486" s="4">
        <v>27.0</v>
      </c>
      <c r="E486" s="4">
        <v>2234.0</v>
      </c>
      <c r="F486" s="4">
        <v>0.0</v>
      </c>
      <c r="G486" s="4"/>
    </row>
    <row r="487">
      <c r="A487" s="4" t="s">
        <v>3</v>
      </c>
      <c r="B487" s="11">
        <v>43654.0</v>
      </c>
      <c r="C487" s="11">
        <v>43660.0</v>
      </c>
      <c r="D487" s="4">
        <v>28.0</v>
      </c>
      <c r="E487" s="4">
        <v>2182.0</v>
      </c>
      <c r="F487" s="4">
        <v>0.0</v>
      </c>
      <c r="G487" s="4"/>
    </row>
    <row r="488">
      <c r="A488" s="4" t="s">
        <v>3</v>
      </c>
      <c r="B488" s="11">
        <v>43661.0</v>
      </c>
      <c r="C488" s="11">
        <v>43667.0</v>
      </c>
      <c r="D488" s="4">
        <v>29.0</v>
      </c>
      <c r="E488" s="4">
        <v>2255.0</v>
      </c>
      <c r="F488" s="4">
        <v>0.0</v>
      </c>
      <c r="G488" s="4"/>
    </row>
    <row r="489">
      <c r="A489" s="4" t="s">
        <v>3</v>
      </c>
      <c r="B489" s="11">
        <v>43668.0</v>
      </c>
      <c r="C489" s="11">
        <v>43674.0</v>
      </c>
      <c r="D489" s="4">
        <v>30.0</v>
      </c>
      <c r="E489" s="4">
        <v>2265.0</v>
      </c>
      <c r="F489" s="4">
        <v>0.0</v>
      </c>
      <c r="G489" s="4"/>
    </row>
    <row r="490">
      <c r="A490" s="4" t="s">
        <v>3</v>
      </c>
      <c r="B490" s="11">
        <v>43675.0</v>
      </c>
      <c r="C490" s="11">
        <v>43681.0</v>
      </c>
      <c r="D490" s="4">
        <v>31.0</v>
      </c>
      <c r="E490" s="4">
        <v>2231.0</v>
      </c>
      <c r="F490" s="4">
        <v>0.0</v>
      </c>
      <c r="G490" s="4"/>
    </row>
    <row r="491">
      <c r="A491" s="4" t="s">
        <v>3</v>
      </c>
      <c r="B491" s="11">
        <v>43682.0</v>
      </c>
      <c r="C491" s="11">
        <v>43688.0</v>
      </c>
      <c r="D491" s="4">
        <v>32.0</v>
      </c>
      <c r="E491" s="4">
        <v>2356.0</v>
      </c>
      <c r="F491" s="4">
        <v>0.0</v>
      </c>
      <c r="G491" s="4"/>
    </row>
    <row r="492">
      <c r="A492" s="4" t="s">
        <v>3</v>
      </c>
      <c r="B492" s="11">
        <v>43689.0</v>
      </c>
      <c r="C492" s="11">
        <v>43695.0</v>
      </c>
      <c r="D492" s="4">
        <v>33.0</v>
      </c>
      <c r="E492" s="4">
        <v>2206.0</v>
      </c>
      <c r="F492" s="4">
        <v>0.0</v>
      </c>
      <c r="G492" s="4"/>
    </row>
    <row r="493">
      <c r="A493" s="4" t="s">
        <v>3</v>
      </c>
      <c r="B493" s="11">
        <v>43696.0</v>
      </c>
      <c r="C493" s="11">
        <v>43702.0</v>
      </c>
      <c r="D493" s="4">
        <v>34.0</v>
      </c>
      <c r="E493" s="4">
        <v>2183.0</v>
      </c>
      <c r="F493" s="4">
        <v>0.0</v>
      </c>
      <c r="G493" s="4"/>
    </row>
    <row r="494">
      <c r="A494" s="4" t="s">
        <v>3</v>
      </c>
      <c r="B494" s="11">
        <v>43703.0</v>
      </c>
      <c r="C494" s="11">
        <v>43709.0</v>
      </c>
      <c r="D494" s="4">
        <v>35.0</v>
      </c>
      <c r="E494" s="4">
        <v>2296.0</v>
      </c>
      <c r="F494" s="4">
        <v>0.0</v>
      </c>
      <c r="G494" s="4"/>
    </row>
    <row r="495">
      <c r="A495" s="4" t="s">
        <v>3</v>
      </c>
      <c r="B495" s="11">
        <v>43710.0</v>
      </c>
      <c r="C495" s="11">
        <v>43716.0</v>
      </c>
      <c r="D495" s="4">
        <v>36.0</v>
      </c>
      <c r="E495" s="4">
        <v>2189.0</v>
      </c>
      <c r="F495" s="4">
        <v>0.0</v>
      </c>
      <c r="G495" s="4"/>
    </row>
    <row r="496">
      <c r="A496" s="4" t="s">
        <v>3</v>
      </c>
      <c r="B496" s="11">
        <v>43717.0</v>
      </c>
      <c r="C496" s="11">
        <v>43723.0</v>
      </c>
      <c r="D496" s="4">
        <v>37.0</v>
      </c>
      <c r="E496" s="4">
        <v>2243.0</v>
      </c>
      <c r="F496" s="4">
        <v>0.0</v>
      </c>
      <c r="G496" s="4"/>
    </row>
    <row r="497">
      <c r="A497" s="4" t="s">
        <v>3</v>
      </c>
      <c r="B497" s="11">
        <v>43724.0</v>
      </c>
      <c r="C497" s="11">
        <v>43730.0</v>
      </c>
      <c r="D497" s="4">
        <v>38.0</v>
      </c>
      <c r="E497" s="4">
        <v>2367.0</v>
      </c>
      <c r="F497" s="4">
        <v>0.0</v>
      </c>
      <c r="G497" s="4"/>
    </row>
    <row r="498">
      <c r="A498" s="4" t="s">
        <v>3</v>
      </c>
      <c r="B498" s="11">
        <v>43731.0</v>
      </c>
      <c r="C498" s="11">
        <v>43737.0</v>
      </c>
      <c r="D498" s="4">
        <v>39.0</v>
      </c>
      <c r="E498" s="4">
        <v>2243.0</v>
      </c>
      <c r="F498" s="4">
        <v>0.0</v>
      </c>
      <c r="G498" s="4"/>
    </row>
    <row r="499">
      <c r="A499" s="4" t="s">
        <v>3</v>
      </c>
      <c r="B499" s="11">
        <v>43738.0</v>
      </c>
      <c r="C499" s="12">
        <v>43744.0</v>
      </c>
      <c r="D499" s="4">
        <v>40.0</v>
      </c>
      <c r="E499" s="4">
        <v>2242.0</v>
      </c>
      <c r="F499" s="4">
        <v>0.0</v>
      </c>
      <c r="G499" s="4"/>
    </row>
    <row r="500">
      <c r="A500" s="4" t="s">
        <v>3</v>
      </c>
      <c r="B500" s="12">
        <v>43745.0</v>
      </c>
      <c r="C500" s="12">
        <v>43751.0</v>
      </c>
      <c r="D500" s="4">
        <v>41.0</v>
      </c>
      <c r="E500" s="4">
        <v>2212.0</v>
      </c>
      <c r="F500" s="4">
        <v>0.0</v>
      </c>
      <c r="G500" s="4"/>
    </row>
    <row r="501">
      <c r="A501" s="4" t="s">
        <v>3</v>
      </c>
      <c r="B501" s="12">
        <v>43752.0</v>
      </c>
      <c r="C501" s="12">
        <v>43758.0</v>
      </c>
      <c r="D501" s="4">
        <v>42.0</v>
      </c>
      <c r="E501" s="4">
        <v>2333.0</v>
      </c>
      <c r="F501" s="4">
        <v>0.0</v>
      </c>
      <c r="G501" s="4"/>
    </row>
    <row r="502">
      <c r="A502" s="4" t="s">
        <v>3</v>
      </c>
      <c r="B502" s="12">
        <v>43759.0</v>
      </c>
      <c r="C502" s="12">
        <v>43765.0</v>
      </c>
      <c r="D502" s="4">
        <v>43.0</v>
      </c>
      <c r="E502" s="4">
        <v>2220.0</v>
      </c>
      <c r="F502" s="4">
        <v>0.0</v>
      </c>
      <c r="G502" s="4"/>
    </row>
    <row r="503">
      <c r="A503" s="4" t="s">
        <v>3</v>
      </c>
      <c r="B503" s="12">
        <v>43766.0</v>
      </c>
      <c r="C503" s="12">
        <v>43772.0</v>
      </c>
      <c r="D503" s="4">
        <v>44.0</v>
      </c>
      <c r="E503" s="4">
        <v>2343.0</v>
      </c>
      <c r="F503" s="4">
        <v>0.0</v>
      </c>
      <c r="G503" s="4"/>
    </row>
    <row r="504">
      <c r="A504" s="4" t="s">
        <v>3</v>
      </c>
      <c r="B504" s="12">
        <v>43773.0</v>
      </c>
      <c r="C504" s="12">
        <v>43779.0</v>
      </c>
      <c r="D504" s="4">
        <v>45.0</v>
      </c>
      <c r="E504" s="4">
        <v>2263.0</v>
      </c>
      <c r="F504" s="4">
        <v>0.0</v>
      </c>
      <c r="G504" s="4"/>
    </row>
    <row r="505">
      <c r="A505" s="4" t="s">
        <v>3</v>
      </c>
      <c r="B505" s="12">
        <v>43780.0</v>
      </c>
      <c r="C505" s="12">
        <v>43786.0</v>
      </c>
      <c r="D505" s="4">
        <v>46.0</v>
      </c>
      <c r="E505" s="4">
        <v>2222.0</v>
      </c>
      <c r="F505" s="4">
        <v>0.0</v>
      </c>
      <c r="G505" s="4"/>
    </row>
    <row r="506">
      <c r="A506" s="4" t="s">
        <v>3</v>
      </c>
      <c r="B506" s="12">
        <v>43787.0</v>
      </c>
      <c r="C506" s="12">
        <v>43793.0</v>
      </c>
      <c r="D506" s="4">
        <v>47.0</v>
      </c>
      <c r="E506" s="4">
        <v>2198.0</v>
      </c>
      <c r="F506" s="4">
        <v>0.0</v>
      </c>
      <c r="G506" s="4"/>
    </row>
    <row r="507">
      <c r="A507" s="4" t="s">
        <v>3</v>
      </c>
      <c r="B507" s="12">
        <v>43794.0</v>
      </c>
      <c r="C507" s="12">
        <v>43800.0</v>
      </c>
      <c r="D507" s="4">
        <v>48.0</v>
      </c>
      <c r="E507" s="4">
        <v>2197.0</v>
      </c>
      <c r="F507" s="4">
        <v>0.0</v>
      </c>
      <c r="G507" s="4"/>
    </row>
    <row r="508">
      <c r="A508" s="4" t="s">
        <v>3</v>
      </c>
      <c r="B508" s="12">
        <v>43801.0</v>
      </c>
      <c r="C508" s="12">
        <v>43807.0</v>
      </c>
      <c r="D508" s="4">
        <v>49.0</v>
      </c>
      <c r="E508" s="4">
        <v>2251.0</v>
      </c>
      <c r="F508" s="4">
        <v>0.0</v>
      </c>
      <c r="G508" s="4"/>
    </row>
    <row r="509">
      <c r="A509" s="4" t="s">
        <v>3</v>
      </c>
      <c r="B509" s="12">
        <v>43808.0</v>
      </c>
      <c r="C509" s="12">
        <v>43814.0</v>
      </c>
      <c r="D509" s="4">
        <v>50.0</v>
      </c>
      <c r="E509" s="4">
        <v>2207.0</v>
      </c>
      <c r="F509" s="4">
        <v>0.0</v>
      </c>
      <c r="G509" s="4"/>
    </row>
    <row r="510">
      <c r="A510" s="4" t="s">
        <v>3</v>
      </c>
      <c r="B510" s="12">
        <v>43815.0</v>
      </c>
      <c r="C510" s="12">
        <v>43821.0</v>
      </c>
      <c r="D510" s="4">
        <v>51.0</v>
      </c>
      <c r="E510" s="4">
        <v>2172.0</v>
      </c>
      <c r="F510" s="4">
        <v>0.0</v>
      </c>
      <c r="G510" s="4"/>
    </row>
    <row r="511">
      <c r="A511" s="4" t="s">
        <v>3</v>
      </c>
      <c r="B511" s="12">
        <v>43822.0</v>
      </c>
      <c r="C511" s="12">
        <v>43828.0</v>
      </c>
      <c r="D511" s="4">
        <v>52.0</v>
      </c>
      <c r="E511" s="4">
        <v>2325.0</v>
      </c>
      <c r="F511" s="4">
        <v>0.0</v>
      </c>
      <c r="G511" s="4"/>
    </row>
    <row r="512">
      <c r="A512" s="4" t="s">
        <v>3</v>
      </c>
      <c r="B512" s="12">
        <v>43829.0</v>
      </c>
      <c r="C512" s="11">
        <v>43835.0</v>
      </c>
      <c r="D512" s="4">
        <v>1.0</v>
      </c>
      <c r="E512" s="4">
        <v>2407.0</v>
      </c>
      <c r="F512" s="4">
        <v>0.0</v>
      </c>
      <c r="G512" s="4"/>
    </row>
    <row r="513">
      <c r="A513" s="4" t="s">
        <v>3</v>
      </c>
      <c r="B513" s="11">
        <v>43836.0</v>
      </c>
      <c r="C513" s="11">
        <v>43842.0</v>
      </c>
      <c r="D513" s="4">
        <v>2.0</v>
      </c>
      <c r="E513" s="4">
        <v>2428.0</v>
      </c>
      <c r="F513" s="4">
        <v>0.0</v>
      </c>
      <c r="G513" s="4"/>
    </row>
    <row r="514">
      <c r="A514" s="4" t="s">
        <v>3</v>
      </c>
      <c r="B514" s="11">
        <v>43843.0</v>
      </c>
      <c r="C514" s="11">
        <v>43849.0</v>
      </c>
      <c r="D514" s="4">
        <v>3.0</v>
      </c>
      <c r="E514" s="4">
        <v>2329.0</v>
      </c>
      <c r="F514" s="4">
        <v>0.0</v>
      </c>
      <c r="G514" s="4"/>
    </row>
    <row r="515">
      <c r="A515" s="4" t="s">
        <v>3</v>
      </c>
      <c r="B515" s="11">
        <v>43850.0</v>
      </c>
      <c r="C515" s="11">
        <v>43856.0</v>
      </c>
      <c r="D515" s="4">
        <v>4.0</v>
      </c>
      <c r="E515" s="4">
        <v>2358.0</v>
      </c>
      <c r="F515" s="4">
        <v>0.0</v>
      </c>
      <c r="G515" s="4"/>
    </row>
    <row r="516">
      <c r="A516" s="4" t="s">
        <v>3</v>
      </c>
      <c r="B516" s="11">
        <v>43857.0</v>
      </c>
      <c r="C516" s="11">
        <v>43863.0</v>
      </c>
      <c r="D516" s="4">
        <v>5.0</v>
      </c>
      <c r="E516" s="4">
        <v>2255.0</v>
      </c>
      <c r="F516" s="4">
        <v>0.0</v>
      </c>
      <c r="G516" s="4"/>
    </row>
    <row r="517">
      <c r="A517" s="4" t="s">
        <v>3</v>
      </c>
      <c r="B517" s="11">
        <v>43864.0</v>
      </c>
      <c r="C517" s="11">
        <v>43870.0</v>
      </c>
      <c r="D517" s="4">
        <v>6.0</v>
      </c>
      <c r="E517" s="4">
        <v>2330.0</v>
      </c>
      <c r="F517" s="4">
        <v>0.0</v>
      </c>
      <c r="G517" s="4"/>
    </row>
    <row r="518">
      <c r="A518" s="4" t="s">
        <v>3</v>
      </c>
      <c r="B518" s="11">
        <v>43871.0</v>
      </c>
      <c r="C518" s="11">
        <v>43877.0</v>
      </c>
      <c r="D518" s="4">
        <v>7.0</v>
      </c>
      <c r="E518" s="4">
        <v>2354.0</v>
      </c>
      <c r="F518" s="4">
        <v>0.0</v>
      </c>
      <c r="G518" s="4"/>
    </row>
    <row r="519">
      <c r="A519" s="4" t="s">
        <v>3</v>
      </c>
      <c r="B519" s="11">
        <v>43878.0</v>
      </c>
      <c r="C519" s="11">
        <v>43884.0</v>
      </c>
      <c r="D519" s="4">
        <v>8.0</v>
      </c>
      <c r="E519" s="4">
        <v>2346.0</v>
      </c>
      <c r="F519" s="4">
        <v>0.0</v>
      </c>
      <c r="G519" s="4"/>
    </row>
    <row r="520">
      <c r="A520" s="4" t="s">
        <v>3</v>
      </c>
      <c r="B520" s="11">
        <v>43885.0</v>
      </c>
      <c r="C520" s="11">
        <v>43891.0</v>
      </c>
      <c r="D520" s="4">
        <v>9.0</v>
      </c>
      <c r="E520" s="4">
        <v>2417.0</v>
      </c>
      <c r="F520" s="4">
        <v>0.0</v>
      </c>
      <c r="G520" s="4"/>
    </row>
    <row r="521">
      <c r="A521" s="4" t="s">
        <v>3</v>
      </c>
      <c r="B521" s="11">
        <v>43892.0</v>
      </c>
      <c r="C521" s="11">
        <v>43898.0</v>
      </c>
      <c r="D521" s="4">
        <v>10.0</v>
      </c>
      <c r="E521" s="4">
        <v>2409.0</v>
      </c>
      <c r="F521" s="4">
        <v>2.0</v>
      </c>
      <c r="G521" s="4"/>
    </row>
    <row r="522">
      <c r="A522" s="4" t="s">
        <v>3</v>
      </c>
      <c r="B522" s="11">
        <v>43899.0</v>
      </c>
      <c r="C522" s="11">
        <v>43905.0</v>
      </c>
      <c r="D522" s="4">
        <v>11.0</v>
      </c>
      <c r="E522" s="4">
        <v>2469.0</v>
      </c>
      <c r="F522" s="4">
        <v>3.0</v>
      </c>
      <c r="G522" s="4"/>
    </row>
    <row r="523">
      <c r="A523" s="4" t="s">
        <v>3</v>
      </c>
      <c r="B523" s="11">
        <v>43906.0</v>
      </c>
      <c r="C523" s="11">
        <v>43912.0</v>
      </c>
      <c r="D523" s="4">
        <v>12.0</v>
      </c>
      <c r="E523" s="4">
        <v>2185.0</v>
      </c>
      <c r="F523" s="4">
        <v>29.0</v>
      </c>
      <c r="G523" s="4"/>
    </row>
    <row r="524">
      <c r="A524" s="4" t="s">
        <v>3</v>
      </c>
      <c r="B524" s="11">
        <v>43913.0</v>
      </c>
      <c r="C524" s="11">
        <v>43919.0</v>
      </c>
      <c r="D524" s="4">
        <v>13.0</v>
      </c>
      <c r="E524" s="4">
        <v>2150.0</v>
      </c>
      <c r="F524" s="4">
        <v>61.0</v>
      </c>
      <c r="G524" s="4"/>
    </row>
    <row r="525">
      <c r="A525" s="4" t="s">
        <v>3</v>
      </c>
      <c r="B525" s="11">
        <v>43920.0</v>
      </c>
      <c r="C525" s="11">
        <v>43926.0</v>
      </c>
      <c r="D525" s="4">
        <v>14.0</v>
      </c>
      <c r="E525" s="4">
        <v>2390.0</v>
      </c>
      <c r="F525" s="4">
        <v>222.0</v>
      </c>
      <c r="G525" s="4"/>
    </row>
    <row r="526">
      <c r="A526" s="4" t="s">
        <v>3</v>
      </c>
      <c r="B526" s="11">
        <v>43927.0</v>
      </c>
      <c r="C526" s="11">
        <v>43933.0</v>
      </c>
      <c r="D526" s="4">
        <v>15.0</v>
      </c>
      <c r="E526" s="4">
        <v>2514.0</v>
      </c>
      <c r="F526" s="4">
        <v>529.0</v>
      </c>
      <c r="G526" s="4"/>
    </row>
    <row r="527">
      <c r="A527" s="4" t="s">
        <v>3</v>
      </c>
      <c r="B527" s="11">
        <v>43934.0</v>
      </c>
      <c r="C527" s="11">
        <v>43940.0</v>
      </c>
      <c r="D527" s="4">
        <v>16.0</v>
      </c>
      <c r="E527" s="4">
        <v>3096.0</v>
      </c>
      <c r="F527" s="4">
        <v>940.0</v>
      </c>
      <c r="G527" s="4"/>
    </row>
    <row r="528">
      <c r="A528" s="4" t="s">
        <v>3</v>
      </c>
      <c r="B528" s="11">
        <v>43941.0</v>
      </c>
      <c r="C528" s="11">
        <v>43947.0</v>
      </c>
      <c r="D528" s="4">
        <v>17.0</v>
      </c>
      <c r="E528" s="4">
        <v>3881.0</v>
      </c>
      <c r="F528" s="4">
        <v>1702.0</v>
      </c>
      <c r="G528" s="4"/>
    </row>
    <row r="529">
      <c r="A529" s="4" t="s">
        <v>3</v>
      </c>
      <c r="B529" s="11">
        <v>43948.0</v>
      </c>
      <c r="C529" s="11">
        <v>43954.0</v>
      </c>
      <c r="D529" s="4">
        <v>18.0</v>
      </c>
      <c r="E529" s="4">
        <v>4752.0</v>
      </c>
      <c r="F529" s="4">
        <v>2516.0</v>
      </c>
      <c r="G529" s="4"/>
    </row>
    <row r="530">
      <c r="A530" s="4" t="s">
        <v>3</v>
      </c>
      <c r="B530" s="11">
        <v>43955.0</v>
      </c>
      <c r="C530" s="11">
        <v>43961.0</v>
      </c>
      <c r="D530" s="4">
        <v>19.0</v>
      </c>
      <c r="E530" s="4">
        <v>5451.0</v>
      </c>
      <c r="F530" s="4">
        <v>3254.0</v>
      </c>
      <c r="G530" s="4"/>
    </row>
    <row r="531">
      <c r="A531" s="4" t="s">
        <v>3</v>
      </c>
      <c r="B531" s="11">
        <v>43962.0</v>
      </c>
      <c r="C531" s="11">
        <v>43968.0</v>
      </c>
      <c r="D531" s="4">
        <v>20.0</v>
      </c>
      <c r="E531" s="4">
        <v>5967.0</v>
      </c>
      <c r="F531" s="4">
        <v>3577.0</v>
      </c>
      <c r="G531" s="4"/>
    </row>
    <row r="532">
      <c r="A532" s="4" t="s">
        <v>3</v>
      </c>
      <c r="B532" s="11">
        <v>43969.0</v>
      </c>
      <c r="C532" s="11">
        <v>43975.0</v>
      </c>
      <c r="D532" s="4">
        <v>21.0</v>
      </c>
      <c r="E532" s="4">
        <v>6347.0</v>
      </c>
      <c r="F532" s="4">
        <v>3809.0</v>
      </c>
      <c r="G532" s="4"/>
    </row>
    <row r="533">
      <c r="A533" s="4" t="s">
        <v>3</v>
      </c>
      <c r="B533" s="11">
        <v>43976.0</v>
      </c>
      <c r="C533" s="11">
        <v>43982.0</v>
      </c>
      <c r="D533" s="4">
        <v>22.0</v>
      </c>
      <c r="E533" s="4">
        <v>6554.0</v>
      </c>
      <c r="F533" s="4">
        <v>4066.0</v>
      </c>
      <c r="G533" s="4"/>
    </row>
    <row r="534">
      <c r="A534" s="4" t="s">
        <v>3</v>
      </c>
      <c r="B534" s="11">
        <v>43983.0</v>
      </c>
      <c r="C534" s="11">
        <v>43989.0</v>
      </c>
      <c r="D534" s="4">
        <v>23.0</v>
      </c>
      <c r="E534" s="4">
        <v>6647.0</v>
      </c>
      <c r="F534" s="4">
        <v>4124.0</v>
      </c>
      <c r="G534" s="4"/>
    </row>
    <row r="535">
      <c r="A535" s="4" t="s">
        <v>3</v>
      </c>
      <c r="B535" s="11">
        <v>43990.0</v>
      </c>
      <c r="C535" s="11">
        <v>43996.0</v>
      </c>
      <c r="D535" s="4">
        <v>24.0</v>
      </c>
      <c r="E535" s="4">
        <v>6725.0</v>
      </c>
      <c r="F535" s="4">
        <v>4176.0</v>
      </c>
      <c r="G535" s="4"/>
    </row>
    <row r="536">
      <c r="A536" s="4" t="s">
        <v>3</v>
      </c>
      <c r="B536" s="11">
        <v>43997.0</v>
      </c>
      <c r="C536" s="11">
        <v>44003.0</v>
      </c>
      <c r="D536" s="4">
        <v>25.0</v>
      </c>
      <c r="E536" s="4">
        <v>6593.0</v>
      </c>
      <c r="F536" s="4">
        <v>4330.0</v>
      </c>
      <c r="G536" s="4"/>
    </row>
    <row r="537">
      <c r="A537" s="4" t="s">
        <v>3</v>
      </c>
      <c r="B537" s="11">
        <v>44004.0</v>
      </c>
      <c r="C537" s="11">
        <v>44010.0</v>
      </c>
      <c r="D537" s="4">
        <v>26.0</v>
      </c>
      <c r="E537" s="4">
        <v>6159.0</v>
      </c>
      <c r="F537" s="4">
        <v>3530.0</v>
      </c>
      <c r="G537" s="4"/>
    </row>
    <row r="538">
      <c r="A538" s="4" t="s">
        <v>3</v>
      </c>
      <c r="B538" s="11">
        <v>44011.0</v>
      </c>
      <c r="C538" s="11">
        <v>44017.0</v>
      </c>
      <c r="D538" s="4">
        <v>27.0</v>
      </c>
      <c r="E538" s="4">
        <v>6237.0</v>
      </c>
      <c r="F538" s="4">
        <v>3755.0</v>
      </c>
      <c r="G538" s="4"/>
    </row>
    <row r="539">
      <c r="A539" s="4" t="s">
        <v>3</v>
      </c>
      <c r="B539" s="11">
        <v>44018.0</v>
      </c>
      <c r="C539" s="11">
        <v>44024.0</v>
      </c>
      <c r="D539" s="4">
        <v>28.0</v>
      </c>
      <c r="E539" s="4">
        <v>6493.0</v>
      </c>
      <c r="F539" s="4">
        <v>3903.0</v>
      </c>
      <c r="G539" s="4"/>
    </row>
    <row r="540">
      <c r="A540" s="4" t="s">
        <v>3</v>
      </c>
      <c r="B540" s="11">
        <v>44025.0</v>
      </c>
      <c r="C540" s="11">
        <v>44031.0</v>
      </c>
      <c r="D540" s="4">
        <v>29.0</v>
      </c>
      <c r="E540" s="4">
        <v>6763.0</v>
      </c>
      <c r="F540" s="4">
        <v>4901.0</v>
      </c>
      <c r="G540" s="4"/>
    </row>
    <row r="541">
      <c r="A541" s="4" t="s">
        <v>3</v>
      </c>
      <c r="B541" s="11">
        <v>44032.0</v>
      </c>
      <c r="C541" s="11">
        <v>44038.0</v>
      </c>
      <c r="D541" s="4">
        <v>30.0</v>
      </c>
      <c r="E541" s="4">
        <v>6778.0</v>
      </c>
      <c r="F541" s="4">
        <v>3480.0</v>
      </c>
      <c r="G541" s="4"/>
    </row>
    <row r="542">
      <c r="A542" s="4" t="s">
        <v>3</v>
      </c>
      <c r="B542" s="11">
        <v>44039.0</v>
      </c>
      <c r="C542" s="11">
        <v>44045.0</v>
      </c>
      <c r="D542" s="4">
        <v>31.0</v>
      </c>
      <c r="E542" s="4">
        <v>6918.0</v>
      </c>
      <c r="F542" s="4">
        <v>4376.0</v>
      </c>
      <c r="G542" s="4"/>
    </row>
    <row r="543">
      <c r="A543" s="4" t="s">
        <v>3</v>
      </c>
      <c r="B543" s="11">
        <v>44046.0</v>
      </c>
      <c r="C543" s="11">
        <v>44052.0</v>
      </c>
      <c r="D543" s="4">
        <v>32.0</v>
      </c>
      <c r="E543" s="4">
        <v>7120.0</v>
      </c>
      <c r="F543" s="4">
        <v>4433.0</v>
      </c>
      <c r="G543" s="4"/>
    </row>
    <row r="544">
      <c r="A544" s="4" t="s">
        <v>3</v>
      </c>
      <c r="B544" s="11">
        <v>44053.0</v>
      </c>
      <c r="C544" s="11">
        <v>44059.0</v>
      </c>
      <c r="D544" s="4">
        <v>33.0</v>
      </c>
      <c r="E544" s="4">
        <v>6717.0</v>
      </c>
      <c r="F544" s="4">
        <v>4322.0</v>
      </c>
      <c r="G544" s="4"/>
    </row>
    <row r="545">
      <c r="A545" s="4" t="s">
        <v>3</v>
      </c>
      <c r="B545" s="11">
        <v>44060.0</v>
      </c>
      <c r="C545" s="11">
        <v>44066.0</v>
      </c>
      <c r="D545" s="4">
        <v>34.0</v>
      </c>
      <c r="E545" s="4">
        <v>6128.0</v>
      </c>
      <c r="F545" s="4">
        <v>3786.0</v>
      </c>
      <c r="G545" s="4"/>
    </row>
    <row r="546">
      <c r="A546" s="4" t="s">
        <v>3</v>
      </c>
      <c r="B546" s="11">
        <v>44067.0</v>
      </c>
      <c r="C546" s="11">
        <v>44073.0</v>
      </c>
      <c r="D546" s="4">
        <v>35.0</v>
      </c>
      <c r="E546" s="4">
        <v>5578.0</v>
      </c>
      <c r="F546" s="4">
        <v>3401.0</v>
      </c>
      <c r="G546" s="4"/>
    </row>
    <row r="547">
      <c r="A547" s="4" t="s">
        <v>3</v>
      </c>
      <c r="B547" s="11">
        <v>44074.0</v>
      </c>
      <c r="C547" s="11">
        <v>44080.0</v>
      </c>
      <c r="D547" s="4">
        <v>36.0</v>
      </c>
      <c r="E547" s="4">
        <v>4730.0</v>
      </c>
      <c r="F547" s="4">
        <v>2674.0</v>
      </c>
      <c r="G547" s="4"/>
    </row>
    <row r="548">
      <c r="A548" s="4" t="s">
        <v>3</v>
      </c>
      <c r="B548" s="11">
        <v>44081.0</v>
      </c>
      <c r="C548" s="11">
        <v>44087.0</v>
      </c>
      <c r="D548" s="4">
        <v>37.0</v>
      </c>
      <c r="E548" s="4">
        <v>4275.0</v>
      </c>
      <c r="F548" s="4">
        <v>2214.0</v>
      </c>
      <c r="G548" s="4"/>
    </row>
    <row r="549">
      <c r="A549" s="4" t="s">
        <v>3</v>
      </c>
      <c r="B549" s="11">
        <v>44088.0</v>
      </c>
      <c r="C549" s="11">
        <v>44094.0</v>
      </c>
      <c r="D549" s="4">
        <v>38.0</v>
      </c>
      <c r="E549" s="4">
        <v>3885.0</v>
      </c>
      <c r="F549" s="4">
        <v>1889.0</v>
      </c>
      <c r="G549" s="4"/>
    </row>
    <row r="550">
      <c r="A550" s="4" t="s">
        <v>3</v>
      </c>
      <c r="B550" s="11">
        <v>44095.0</v>
      </c>
      <c r="C550" s="11">
        <v>44101.0</v>
      </c>
      <c r="D550" s="4">
        <v>39.0</v>
      </c>
      <c r="E550" s="4">
        <v>3483.0</v>
      </c>
      <c r="F550" s="4">
        <v>1591.0</v>
      </c>
      <c r="G550" s="4"/>
    </row>
    <row r="551">
      <c r="A551" s="4" t="s">
        <v>3</v>
      </c>
      <c r="B551" s="11">
        <v>44102.0</v>
      </c>
      <c r="C551" s="12">
        <v>44108.0</v>
      </c>
      <c r="D551" s="4">
        <v>40.0</v>
      </c>
      <c r="E551" s="4">
        <v>3235.0</v>
      </c>
      <c r="F551" s="4">
        <v>1213.0</v>
      </c>
      <c r="G551" s="4"/>
    </row>
    <row r="552">
      <c r="A552" s="4" t="s">
        <v>3</v>
      </c>
      <c r="B552" s="12">
        <v>44109.0</v>
      </c>
      <c r="C552" s="12">
        <v>44115.0</v>
      </c>
      <c r="D552" s="4">
        <v>41.0</v>
      </c>
      <c r="E552" s="4">
        <v>3147.0</v>
      </c>
      <c r="F552" s="4">
        <v>1170.0</v>
      </c>
      <c r="G552" s="4"/>
    </row>
    <row r="553">
      <c r="A553" s="4" t="s">
        <v>3</v>
      </c>
      <c r="B553" s="12">
        <v>44116.0</v>
      </c>
      <c r="C553" s="12">
        <v>44122.0</v>
      </c>
      <c r="D553" s="4">
        <v>42.0</v>
      </c>
      <c r="E553" s="4">
        <v>3001.0</v>
      </c>
      <c r="F553" s="4">
        <v>978.0</v>
      </c>
      <c r="G553" s="4"/>
    </row>
    <row r="554">
      <c r="A554" s="4" t="s">
        <v>3</v>
      </c>
      <c r="B554" s="12">
        <v>44123.0</v>
      </c>
      <c r="C554" s="12">
        <v>44129.0</v>
      </c>
      <c r="D554" s="4">
        <v>43.0</v>
      </c>
      <c r="E554" s="4">
        <v>2961.0</v>
      </c>
      <c r="F554" s="4">
        <v>860.0</v>
      </c>
      <c r="G554" s="4"/>
    </row>
    <row r="555">
      <c r="A555" s="4" t="s">
        <v>3</v>
      </c>
      <c r="B555" s="12">
        <v>44130.0</v>
      </c>
      <c r="C555" s="12">
        <v>44136.0</v>
      </c>
      <c r="D555" s="4">
        <v>44.0</v>
      </c>
      <c r="E555" s="4">
        <v>2794.0</v>
      </c>
      <c r="F555" s="4">
        <v>772.0</v>
      </c>
      <c r="G555" s="4"/>
    </row>
    <row r="556">
      <c r="A556" s="4" t="s">
        <v>3</v>
      </c>
      <c r="B556" s="12">
        <v>44137.0</v>
      </c>
      <c r="C556" s="12">
        <v>44143.0</v>
      </c>
      <c r="D556" s="4">
        <v>45.0</v>
      </c>
      <c r="E556" s="4">
        <v>2861.0</v>
      </c>
      <c r="F556" s="4">
        <v>739.0</v>
      </c>
      <c r="G556" s="4"/>
    </row>
    <row r="557">
      <c r="A557" s="4" t="s">
        <v>3</v>
      </c>
      <c r="B557" s="12">
        <v>44144.0</v>
      </c>
      <c r="C557" s="12">
        <v>44150.0</v>
      </c>
      <c r="D557" s="4">
        <v>46.0</v>
      </c>
      <c r="E557" s="4">
        <v>2850.0</v>
      </c>
      <c r="F557" s="4">
        <v>730.0</v>
      </c>
      <c r="G557" s="4"/>
    </row>
    <row r="558">
      <c r="A558" s="4" t="s">
        <v>3</v>
      </c>
      <c r="B558" s="12">
        <v>44151.0</v>
      </c>
      <c r="C558" s="12">
        <v>44157.0</v>
      </c>
      <c r="D558" s="4">
        <v>47.0</v>
      </c>
      <c r="E558" s="4">
        <v>2755.0</v>
      </c>
      <c r="F558" s="4">
        <v>646.0</v>
      </c>
      <c r="G558" s="4"/>
    </row>
    <row r="559">
      <c r="A559" s="4" t="s">
        <v>3</v>
      </c>
      <c r="B559" s="12">
        <v>44158.0</v>
      </c>
      <c r="C559" s="12">
        <v>44164.0</v>
      </c>
      <c r="D559" s="4">
        <v>48.0</v>
      </c>
      <c r="E559" s="4">
        <v>2635.0</v>
      </c>
      <c r="F559" s="4">
        <v>661.0</v>
      </c>
      <c r="G559" s="4"/>
    </row>
    <row r="560">
      <c r="A560" s="4" t="s">
        <v>3</v>
      </c>
      <c r="B560" s="12">
        <v>44165.0</v>
      </c>
      <c r="C560" s="12">
        <v>44171.0</v>
      </c>
      <c r="D560" s="4">
        <v>49.0</v>
      </c>
      <c r="E560" s="4">
        <v>2800.0</v>
      </c>
      <c r="F560" s="4">
        <v>686.0</v>
      </c>
      <c r="G560" s="4"/>
    </row>
    <row r="561">
      <c r="A561" s="4" t="s">
        <v>3</v>
      </c>
      <c r="B561" s="12">
        <v>44172.0</v>
      </c>
      <c r="C561" s="12">
        <v>44178.0</v>
      </c>
      <c r="D561" s="4">
        <v>50.0</v>
      </c>
      <c r="E561" s="4">
        <v>2964.0</v>
      </c>
      <c r="F561" s="4">
        <v>747.0</v>
      </c>
      <c r="G561" s="4"/>
    </row>
    <row r="562">
      <c r="A562" s="4" t="s">
        <v>3</v>
      </c>
      <c r="B562" s="12">
        <v>44179.0</v>
      </c>
      <c r="C562" s="12">
        <v>44185.0</v>
      </c>
      <c r="D562" s="4">
        <v>51.0</v>
      </c>
      <c r="E562" s="4">
        <v>3151.0</v>
      </c>
      <c r="F562" s="4">
        <v>816.0</v>
      </c>
      <c r="G562" s="4"/>
    </row>
    <row r="563">
      <c r="A563" s="4" t="s">
        <v>3</v>
      </c>
      <c r="B563" s="12">
        <v>44186.0</v>
      </c>
      <c r="C563" s="12">
        <v>44192.0</v>
      </c>
      <c r="D563" s="4">
        <v>52.0</v>
      </c>
      <c r="E563" s="4">
        <v>3253.0</v>
      </c>
      <c r="F563" s="4">
        <v>880.0</v>
      </c>
      <c r="G563" s="4"/>
    </row>
    <row r="564">
      <c r="A564" s="4" t="s">
        <v>3</v>
      </c>
      <c r="B564" s="12">
        <v>44193.0</v>
      </c>
      <c r="C564" s="11">
        <v>44199.0</v>
      </c>
      <c r="D564" s="4">
        <v>53.0</v>
      </c>
      <c r="E564" s="4">
        <v>3502.0</v>
      </c>
      <c r="F564" s="4">
        <v>1082.0</v>
      </c>
      <c r="G564" s="4"/>
    </row>
    <row r="565">
      <c r="A565" s="4" t="s">
        <v>3</v>
      </c>
      <c r="B565" s="11">
        <v>44200.0</v>
      </c>
      <c r="C565" s="11">
        <v>44206.0</v>
      </c>
      <c r="D565" s="4">
        <v>1.0</v>
      </c>
      <c r="E565" s="4">
        <v>3985.0</v>
      </c>
      <c r="F565" s="4">
        <v>1401.0</v>
      </c>
      <c r="G565" s="4"/>
    </row>
    <row r="566">
      <c r="A566" s="4" t="s">
        <v>3</v>
      </c>
      <c r="B566" s="11">
        <v>44207.0</v>
      </c>
      <c r="C566" s="11">
        <v>44213.0</v>
      </c>
      <c r="D566" s="4">
        <v>2.0</v>
      </c>
      <c r="E566" s="4">
        <v>4638.0</v>
      </c>
      <c r="F566" s="4">
        <v>2027.0</v>
      </c>
      <c r="G566" s="4"/>
    </row>
    <row r="567">
      <c r="A567" s="4" t="s">
        <v>3</v>
      </c>
      <c r="B567" s="11">
        <v>44214.0</v>
      </c>
      <c r="C567" s="11">
        <v>44220.0</v>
      </c>
      <c r="D567" s="4">
        <v>3.0</v>
      </c>
      <c r="E567" s="4">
        <v>5704.0</v>
      </c>
      <c r="F567" s="4">
        <v>2907.0</v>
      </c>
      <c r="G567" s="4"/>
    </row>
    <row r="568">
      <c r="A568" s="4" t="s">
        <v>3</v>
      </c>
      <c r="B568" s="11">
        <v>44221.0</v>
      </c>
      <c r="C568" s="11">
        <v>44227.0</v>
      </c>
      <c r="D568" s="4">
        <v>4.0</v>
      </c>
      <c r="E568" s="4">
        <v>6707.0</v>
      </c>
      <c r="F568" s="4">
        <v>3900.0</v>
      </c>
      <c r="G568" s="4"/>
    </row>
    <row r="569">
      <c r="A569" s="4" t="s">
        <v>3</v>
      </c>
      <c r="B569" s="11">
        <v>44228.0</v>
      </c>
      <c r="C569" s="11">
        <v>44234.0</v>
      </c>
      <c r="D569" s="4">
        <v>5.0</v>
      </c>
      <c r="E569" s="4">
        <v>7021.0</v>
      </c>
      <c r="F569" s="4">
        <v>4052.0</v>
      </c>
      <c r="G569" s="4"/>
    </row>
    <row r="570">
      <c r="A570" s="4" t="s">
        <v>3</v>
      </c>
      <c r="B570" s="11">
        <v>44235.0</v>
      </c>
      <c r="C570" s="11">
        <v>44241.0</v>
      </c>
      <c r="D570" s="4">
        <v>6.0</v>
      </c>
      <c r="E570" s="4">
        <v>7687.0</v>
      </c>
      <c r="F570" s="4">
        <v>4761.0</v>
      </c>
      <c r="G570" s="4"/>
    </row>
    <row r="571">
      <c r="A571" s="4" t="s">
        <v>3</v>
      </c>
      <c r="B571" s="11">
        <v>44242.0</v>
      </c>
      <c r="C571" s="11">
        <v>44248.0</v>
      </c>
      <c r="D571" s="4">
        <v>7.0</v>
      </c>
      <c r="E571" s="4">
        <v>7711.0</v>
      </c>
      <c r="F571" s="4">
        <v>5122.0</v>
      </c>
      <c r="G571" s="4"/>
    </row>
    <row r="572">
      <c r="A572" s="4" t="s">
        <v>3</v>
      </c>
      <c r="B572" s="11">
        <v>44249.0</v>
      </c>
      <c r="C572" s="11">
        <v>44255.0</v>
      </c>
      <c r="D572" s="4">
        <v>8.0</v>
      </c>
      <c r="E572" s="4">
        <v>7393.0</v>
      </c>
      <c r="F572" s="4">
        <v>4757.0</v>
      </c>
      <c r="G572" s="4"/>
    </row>
    <row r="573">
      <c r="A573" s="4" t="s">
        <v>3</v>
      </c>
      <c r="B573" s="11">
        <v>44256.0</v>
      </c>
      <c r="C573" s="11">
        <v>44262.0</v>
      </c>
      <c r="D573" s="4">
        <v>9.0</v>
      </c>
      <c r="E573" s="4">
        <v>7500.0</v>
      </c>
      <c r="F573" s="4">
        <v>4737.0</v>
      </c>
      <c r="G573" s="4"/>
    </row>
    <row r="574">
      <c r="A574" s="4" t="s">
        <v>3</v>
      </c>
      <c r="B574" s="11">
        <v>44263.0</v>
      </c>
      <c r="C574" s="11">
        <v>44269.0</v>
      </c>
      <c r="D574" s="4">
        <v>10.0</v>
      </c>
      <c r="E574" s="4">
        <v>7379.0</v>
      </c>
      <c r="F574" s="4">
        <v>4296.0</v>
      </c>
      <c r="G574" s="4"/>
    </row>
    <row r="575">
      <c r="A575" s="4" t="s">
        <v>3</v>
      </c>
      <c r="B575" s="11">
        <v>44270.0</v>
      </c>
      <c r="C575" s="11">
        <v>44276.0</v>
      </c>
      <c r="D575" s="4">
        <v>11.0</v>
      </c>
      <c r="E575" s="4">
        <v>7427.0</v>
      </c>
      <c r="F575" s="4">
        <v>4741.0</v>
      </c>
      <c r="G575" s="4"/>
    </row>
    <row r="576">
      <c r="A576" s="4" t="s">
        <v>3</v>
      </c>
      <c r="B576" s="11">
        <v>44277.0</v>
      </c>
      <c r="C576" s="11">
        <v>44283.0</v>
      </c>
      <c r="D576" s="4">
        <v>12.0</v>
      </c>
      <c r="E576" s="4">
        <v>7570.0</v>
      </c>
      <c r="F576" s="4">
        <v>4994.0</v>
      </c>
      <c r="G576" s="4"/>
    </row>
    <row r="577">
      <c r="A577" s="4" t="s">
        <v>3</v>
      </c>
      <c r="B577" s="11">
        <v>44284.0</v>
      </c>
      <c r="C577" s="11">
        <v>44290.0</v>
      </c>
      <c r="D577" s="4">
        <v>13.0</v>
      </c>
      <c r="E577" s="4">
        <v>7900.0</v>
      </c>
      <c r="F577" s="4">
        <v>5157.0</v>
      </c>
      <c r="G577" s="4"/>
    </row>
    <row r="578">
      <c r="A578" s="4" t="s">
        <v>3</v>
      </c>
      <c r="B578" s="11">
        <v>44291.0</v>
      </c>
      <c r="C578" s="11">
        <v>44297.0</v>
      </c>
      <c r="D578" s="4">
        <v>14.0</v>
      </c>
      <c r="E578" s="4">
        <v>8468.0</v>
      </c>
      <c r="F578" s="4">
        <v>5460.0</v>
      </c>
      <c r="G578" s="4"/>
    </row>
    <row r="579">
      <c r="A579" s="4" t="s">
        <v>3</v>
      </c>
      <c r="B579" s="11">
        <v>44298.0</v>
      </c>
      <c r="C579" s="11">
        <v>44304.0</v>
      </c>
      <c r="D579" s="4">
        <v>15.0</v>
      </c>
      <c r="E579" s="4">
        <v>8426.0</v>
      </c>
      <c r="F579" s="4">
        <v>5356.0</v>
      </c>
      <c r="G579" s="4"/>
    </row>
    <row r="580">
      <c r="A580" s="4" t="s">
        <v>3</v>
      </c>
      <c r="B580" s="11">
        <v>44305.0</v>
      </c>
      <c r="C580" s="11">
        <v>44311.0</v>
      </c>
      <c r="D580" s="4">
        <v>16.0</v>
      </c>
      <c r="E580" s="4">
        <v>8246.0</v>
      </c>
      <c r="F580" s="4">
        <v>5963.0</v>
      </c>
      <c r="G580" s="4"/>
    </row>
    <row r="581">
      <c r="A581" s="4" t="s">
        <v>3</v>
      </c>
      <c r="B581" s="11">
        <v>44312.0</v>
      </c>
      <c r="C581" s="11">
        <v>44318.0</v>
      </c>
      <c r="D581" s="4">
        <v>17.0</v>
      </c>
      <c r="E581" s="4">
        <v>7695.0</v>
      </c>
      <c r="F581" s="4">
        <v>4914.0</v>
      </c>
      <c r="G581" s="4"/>
    </row>
    <row r="582">
      <c r="A582" s="4" t="s">
        <v>3</v>
      </c>
      <c r="B582" s="11">
        <v>44319.0</v>
      </c>
      <c r="C582" s="11">
        <v>44325.0</v>
      </c>
      <c r="D582" s="4">
        <v>18.0</v>
      </c>
      <c r="E582" s="4">
        <v>7171.0</v>
      </c>
      <c r="F582" s="4">
        <v>4983.0</v>
      </c>
      <c r="G582" s="4"/>
    </row>
    <row r="583">
      <c r="A583" s="4" t="s">
        <v>3</v>
      </c>
      <c r="B583" s="11">
        <v>44326.0</v>
      </c>
      <c r="C583" s="11">
        <v>44332.0</v>
      </c>
      <c r="D583" s="4">
        <v>19.0</v>
      </c>
      <c r="E583" s="4">
        <v>6533.0</v>
      </c>
      <c r="F583" s="4">
        <v>4093.0</v>
      </c>
      <c r="G583" s="4"/>
    </row>
    <row r="584">
      <c r="A584" s="4" t="s">
        <v>3</v>
      </c>
      <c r="B584" s="11">
        <v>44333.0</v>
      </c>
      <c r="C584" s="11">
        <v>44339.0</v>
      </c>
      <c r="D584" s="4">
        <v>20.0</v>
      </c>
      <c r="E584" s="4">
        <v>6053.0</v>
      </c>
      <c r="F584" s="4">
        <v>3409.0</v>
      </c>
      <c r="G584" s="4"/>
    </row>
    <row r="585">
      <c r="A585" s="4" t="s">
        <v>3</v>
      </c>
      <c r="B585" s="11">
        <v>44340.0</v>
      </c>
      <c r="C585" s="11">
        <v>44346.0</v>
      </c>
      <c r="D585" s="4">
        <v>21.0</v>
      </c>
      <c r="E585" s="4">
        <v>5629.0</v>
      </c>
      <c r="F585" s="4">
        <v>2786.0</v>
      </c>
      <c r="G585" s="4"/>
    </row>
    <row r="586">
      <c r="A586" s="4" t="s">
        <v>3</v>
      </c>
      <c r="B586" s="11">
        <v>44347.0</v>
      </c>
      <c r="C586" s="11">
        <v>44353.0</v>
      </c>
      <c r="D586" s="4">
        <v>22.0</v>
      </c>
      <c r="E586" s="4">
        <v>5291.0</v>
      </c>
      <c r="F586" s="4">
        <v>2682.0</v>
      </c>
      <c r="G586" s="4"/>
    </row>
    <row r="587">
      <c r="A587" s="4" t="s">
        <v>3</v>
      </c>
      <c r="B587" s="11">
        <v>44354.0</v>
      </c>
      <c r="C587" s="11">
        <v>44360.0</v>
      </c>
      <c r="D587" s="4">
        <v>23.0</v>
      </c>
      <c r="E587" s="4">
        <v>4726.0</v>
      </c>
      <c r="F587" s="4">
        <v>2635.0</v>
      </c>
      <c r="G587" s="4"/>
    </row>
    <row r="588">
      <c r="A588" s="4" t="s">
        <v>3</v>
      </c>
      <c r="B588" s="11">
        <v>44361.0</v>
      </c>
      <c r="C588" s="11">
        <v>44367.0</v>
      </c>
      <c r="D588" s="4">
        <v>24.0</v>
      </c>
      <c r="E588" s="4">
        <v>4333.0</v>
      </c>
      <c r="F588" s="4">
        <v>1494.0</v>
      </c>
      <c r="G588" s="4"/>
    </row>
    <row r="589">
      <c r="A589" s="4" t="s">
        <v>3</v>
      </c>
      <c r="B589" s="11">
        <v>44368.0</v>
      </c>
      <c r="C589" s="11">
        <v>44374.0</v>
      </c>
      <c r="D589" s="4">
        <v>25.0</v>
      </c>
      <c r="E589" s="4">
        <v>4024.0</v>
      </c>
      <c r="F589" s="4">
        <v>1382.0</v>
      </c>
      <c r="G589" s="4"/>
    </row>
    <row r="590">
      <c r="A590" s="4" t="s">
        <v>3</v>
      </c>
      <c r="B590" s="11">
        <v>44375.0</v>
      </c>
      <c r="C590" s="11">
        <v>44381.0</v>
      </c>
      <c r="D590" s="4">
        <v>26.0</v>
      </c>
      <c r="E590" s="4">
        <v>3816.0</v>
      </c>
      <c r="F590" s="4">
        <v>1646.0</v>
      </c>
      <c r="G590" s="4"/>
    </row>
    <row r="591">
      <c r="A591" s="4" t="s">
        <v>3</v>
      </c>
      <c r="B591" s="11">
        <v>44382.0</v>
      </c>
      <c r="C591" s="11">
        <v>44388.0</v>
      </c>
      <c r="D591" s="4">
        <v>27.0</v>
      </c>
      <c r="E591" s="4">
        <v>3599.0</v>
      </c>
      <c r="F591" s="4">
        <v>1157.0</v>
      </c>
      <c r="G591" s="4"/>
    </row>
    <row r="592">
      <c r="A592" s="4" t="s">
        <v>3</v>
      </c>
      <c r="B592" s="11">
        <v>44389.0</v>
      </c>
      <c r="C592" s="11">
        <v>44395.0</v>
      </c>
      <c r="D592" s="4">
        <v>28.0</v>
      </c>
      <c r="E592" s="4">
        <v>3333.0</v>
      </c>
      <c r="F592" s="4">
        <v>759.0</v>
      </c>
      <c r="G592" s="4"/>
    </row>
    <row r="593">
      <c r="A593" s="4" t="s">
        <v>3</v>
      </c>
      <c r="B593" s="11">
        <v>44396.0</v>
      </c>
      <c r="C593" s="11">
        <v>44402.0</v>
      </c>
      <c r="D593" s="4">
        <v>29.0</v>
      </c>
      <c r="E593" s="4">
        <v>3250.0</v>
      </c>
      <c r="F593" s="4">
        <v>744.0</v>
      </c>
      <c r="G593" s="4"/>
    </row>
    <row r="594">
      <c r="A594" s="4" t="s">
        <v>3</v>
      </c>
      <c r="B594" s="11">
        <v>44403.0</v>
      </c>
      <c r="C594" s="11">
        <v>44409.0</v>
      </c>
      <c r="D594" s="4">
        <v>30.0</v>
      </c>
      <c r="E594" s="4">
        <v>3164.0</v>
      </c>
      <c r="F594" s="4">
        <v>548.0</v>
      </c>
      <c r="G594" s="4"/>
    </row>
    <row r="595">
      <c r="A595" s="4" t="s">
        <v>3</v>
      </c>
      <c r="B595" s="11">
        <v>44410.0</v>
      </c>
      <c r="C595" s="11">
        <v>44416.0</v>
      </c>
      <c r="D595" s="4">
        <v>31.0</v>
      </c>
      <c r="E595" s="4">
        <v>3062.0</v>
      </c>
      <c r="F595" s="4">
        <v>512.0</v>
      </c>
      <c r="G595" s="4"/>
    </row>
    <row r="596">
      <c r="A596" s="4" t="s">
        <v>3</v>
      </c>
      <c r="B596" s="11">
        <v>44417.0</v>
      </c>
      <c r="C596" s="11">
        <v>44423.0</v>
      </c>
      <c r="D596" s="4">
        <v>32.0</v>
      </c>
      <c r="E596" s="4">
        <v>3112.0</v>
      </c>
      <c r="F596" s="4">
        <v>443.0</v>
      </c>
      <c r="G596" s="4"/>
    </row>
    <row r="597">
      <c r="A597" s="4" t="s">
        <v>3</v>
      </c>
      <c r="B597" s="11">
        <v>44424.0</v>
      </c>
      <c r="C597" s="11">
        <v>44430.0</v>
      </c>
      <c r="D597" s="4">
        <v>33.0</v>
      </c>
      <c r="E597" s="4">
        <v>2936.0</v>
      </c>
      <c r="F597" s="4">
        <v>486.0</v>
      </c>
      <c r="G597" s="4"/>
    </row>
    <row r="598">
      <c r="A598" s="4" t="s">
        <v>3</v>
      </c>
      <c r="B598" s="11">
        <v>44431.0</v>
      </c>
      <c r="C598" s="11">
        <v>44437.0</v>
      </c>
      <c r="D598" s="4">
        <v>34.0</v>
      </c>
      <c r="E598" s="4">
        <v>3107.0</v>
      </c>
      <c r="F598" s="4">
        <v>236.0</v>
      </c>
      <c r="G598" s="4"/>
    </row>
    <row r="599">
      <c r="A599" s="4" t="s">
        <v>3</v>
      </c>
      <c r="B599" s="11">
        <v>44438.0</v>
      </c>
      <c r="C599" s="11">
        <v>44444.0</v>
      </c>
      <c r="D599" s="4">
        <v>35.0</v>
      </c>
      <c r="E599" s="4">
        <v>2983.0</v>
      </c>
      <c r="F599" s="4">
        <v>373.0</v>
      </c>
      <c r="G599" s="4"/>
    </row>
    <row r="600">
      <c r="A600" s="4" t="s">
        <v>3</v>
      </c>
      <c r="B600" s="11">
        <v>44445.0</v>
      </c>
      <c r="C600" s="11">
        <v>44451.0</v>
      </c>
      <c r="D600" s="4">
        <v>36.0</v>
      </c>
      <c r="E600" s="4">
        <v>2887.0</v>
      </c>
      <c r="F600" s="4">
        <v>276.0</v>
      </c>
      <c r="G600" s="4"/>
    </row>
    <row r="601">
      <c r="A601" s="4" t="s">
        <v>3</v>
      </c>
      <c r="B601" s="11">
        <v>44452.0</v>
      </c>
      <c r="C601" s="11">
        <v>44458.0</v>
      </c>
      <c r="D601" s="4">
        <v>37.0</v>
      </c>
      <c r="E601" s="4">
        <v>2890.0</v>
      </c>
      <c r="F601" s="4">
        <v>302.0</v>
      </c>
      <c r="G601" s="4"/>
    </row>
    <row r="602">
      <c r="A602" s="4" t="s">
        <v>3</v>
      </c>
      <c r="B602" s="11">
        <v>44459.0</v>
      </c>
      <c r="C602" s="11">
        <v>44465.0</v>
      </c>
      <c r="D602" s="4">
        <v>38.0</v>
      </c>
      <c r="E602" s="4">
        <v>2945.0</v>
      </c>
      <c r="F602" s="4">
        <v>226.0</v>
      </c>
      <c r="G602" s="4"/>
    </row>
    <row r="603">
      <c r="A603" s="4" t="s">
        <v>3</v>
      </c>
      <c r="B603" s="11">
        <v>44466.0</v>
      </c>
      <c r="C603" s="12">
        <v>44472.0</v>
      </c>
      <c r="D603" s="4">
        <v>39.0</v>
      </c>
      <c r="E603" s="4">
        <v>2875.0</v>
      </c>
      <c r="F603" s="4">
        <v>193.0</v>
      </c>
      <c r="G603" s="4"/>
    </row>
    <row r="604">
      <c r="A604" s="4" t="s">
        <v>3</v>
      </c>
      <c r="B604" s="12">
        <v>44473.0</v>
      </c>
      <c r="C604" s="12">
        <v>44479.0</v>
      </c>
      <c r="D604" s="4">
        <v>40.0</v>
      </c>
      <c r="E604" s="4">
        <v>2951.0</v>
      </c>
      <c r="F604" s="4">
        <v>190.0</v>
      </c>
      <c r="G604" s="4"/>
    </row>
    <row r="605">
      <c r="A605" s="4" t="s">
        <v>3</v>
      </c>
      <c r="B605" s="12">
        <v>44480.0</v>
      </c>
      <c r="C605" s="12">
        <v>44486.0</v>
      </c>
      <c r="D605" s="4">
        <v>41.0</v>
      </c>
      <c r="E605" s="4">
        <v>2855.0</v>
      </c>
      <c r="F605" s="4">
        <v>168.0</v>
      </c>
      <c r="G605" s="4"/>
    </row>
    <row r="606">
      <c r="A606" s="4" t="s">
        <v>3</v>
      </c>
      <c r="B606" s="12">
        <v>44487.0</v>
      </c>
      <c r="C606" s="12">
        <v>44493.0</v>
      </c>
      <c r="D606" s="4">
        <v>42.0</v>
      </c>
      <c r="E606" s="4">
        <v>2831.0</v>
      </c>
      <c r="F606" s="4">
        <v>209.0</v>
      </c>
      <c r="G606" s="4"/>
    </row>
    <row r="607">
      <c r="A607" s="4" t="s">
        <v>3</v>
      </c>
      <c r="B607" s="12">
        <v>44494.0</v>
      </c>
      <c r="C607" s="12">
        <v>44500.0</v>
      </c>
      <c r="D607" s="4">
        <v>43.0</v>
      </c>
      <c r="E607" s="4">
        <v>2754.0</v>
      </c>
      <c r="F607" s="4">
        <v>194.0</v>
      </c>
      <c r="G607" s="4"/>
    </row>
    <row r="608">
      <c r="A608" s="4" t="s">
        <v>3</v>
      </c>
      <c r="B608" s="12">
        <v>44501.0</v>
      </c>
      <c r="C608" s="12">
        <v>44507.0</v>
      </c>
      <c r="D608" s="4">
        <v>44.0</v>
      </c>
      <c r="E608" s="4">
        <v>2834.0</v>
      </c>
      <c r="F608" s="4">
        <v>184.0</v>
      </c>
      <c r="G608" s="4"/>
    </row>
    <row r="609">
      <c r="A609" s="4" t="s">
        <v>4</v>
      </c>
      <c r="B609" s="11">
        <v>42373.0</v>
      </c>
      <c r="C609" s="11">
        <v>42379.0</v>
      </c>
      <c r="D609" s="4">
        <v>1.0</v>
      </c>
      <c r="E609" s="4">
        <v>1884.0</v>
      </c>
      <c r="F609" s="4">
        <v>0.0</v>
      </c>
      <c r="G609" s="4"/>
    </row>
    <row r="610">
      <c r="A610" s="4" t="s">
        <v>4</v>
      </c>
      <c r="B610" s="11">
        <v>42380.0</v>
      </c>
      <c r="C610" s="11">
        <v>42386.0</v>
      </c>
      <c r="D610" s="4">
        <v>2.0</v>
      </c>
      <c r="E610" s="4">
        <v>1885.0</v>
      </c>
      <c r="F610" s="4">
        <v>0.0</v>
      </c>
      <c r="G610" s="4"/>
    </row>
    <row r="611">
      <c r="A611" s="4" t="s">
        <v>4</v>
      </c>
      <c r="B611" s="11">
        <v>42387.0</v>
      </c>
      <c r="C611" s="11">
        <v>42393.0</v>
      </c>
      <c r="D611" s="4">
        <v>3.0</v>
      </c>
      <c r="E611" s="4">
        <v>1916.0</v>
      </c>
      <c r="F611" s="4">
        <v>0.0</v>
      </c>
      <c r="G611" s="4"/>
    </row>
    <row r="612">
      <c r="A612" s="4" t="s">
        <v>4</v>
      </c>
      <c r="B612" s="11">
        <v>42394.0</v>
      </c>
      <c r="C612" s="11">
        <v>42400.0</v>
      </c>
      <c r="D612" s="4">
        <v>4.0</v>
      </c>
      <c r="E612" s="4">
        <v>1837.0</v>
      </c>
      <c r="F612" s="4">
        <v>0.0</v>
      </c>
      <c r="G612" s="4"/>
    </row>
    <row r="613">
      <c r="A613" s="4" t="s">
        <v>4</v>
      </c>
      <c r="B613" s="11">
        <v>42401.0</v>
      </c>
      <c r="C613" s="11">
        <v>42407.0</v>
      </c>
      <c r="D613" s="4">
        <v>5.0</v>
      </c>
      <c r="E613" s="4">
        <v>1912.0</v>
      </c>
      <c r="F613" s="4">
        <v>0.0</v>
      </c>
      <c r="G613" s="4"/>
    </row>
    <row r="614">
      <c r="A614" s="4" t="s">
        <v>4</v>
      </c>
      <c r="B614" s="11">
        <v>42408.0</v>
      </c>
      <c r="C614" s="11">
        <v>42414.0</v>
      </c>
      <c r="D614" s="4">
        <v>6.0</v>
      </c>
      <c r="E614" s="4">
        <v>1718.0</v>
      </c>
      <c r="F614" s="4">
        <v>0.0</v>
      </c>
      <c r="G614" s="4"/>
    </row>
    <row r="615">
      <c r="A615" s="4" t="s">
        <v>4</v>
      </c>
      <c r="B615" s="11">
        <v>42415.0</v>
      </c>
      <c r="C615" s="11">
        <v>42421.0</v>
      </c>
      <c r="D615" s="4">
        <v>7.0</v>
      </c>
      <c r="E615" s="4">
        <v>1760.0</v>
      </c>
      <c r="F615" s="4">
        <v>0.0</v>
      </c>
      <c r="G615" s="4"/>
    </row>
    <row r="616">
      <c r="A616" s="4" t="s">
        <v>4</v>
      </c>
      <c r="B616" s="11">
        <v>42422.0</v>
      </c>
      <c r="C616" s="11">
        <v>42428.0</v>
      </c>
      <c r="D616" s="4">
        <v>8.0</v>
      </c>
      <c r="E616" s="4">
        <v>1813.0</v>
      </c>
      <c r="F616" s="4">
        <v>0.0</v>
      </c>
      <c r="G616" s="4"/>
    </row>
    <row r="617">
      <c r="A617" s="4" t="s">
        <v>4</v>
      </c>
      <c r="B617" s="11">
        <v>42429.0</v>
      </c>
      <c r="C617" s="11">
        <v>42435.0</v>
      </c>
      <c r="D617" s="4">
        <v>9.0</v>
      </c>
      <c r="E617" s="4">
        <v>1756.0</v>
      </c>
      <c r="F617" s="4">
        <v>0.0</v>
      </c>
      <c r="G617" s="4"/>
    </row>
    <row r="618">
      <c r="A618" s="4" t="s">
        <v>4</v>
      </c>
      <c r="B618" s="11">
        <v>42436.0</v>
      </c>
      <c r="C618" s="11">
        <v>42442.0</v>
      </c>
      <c r="D618" s="4">
        <v>10.0</v>
      </c>
      <c r="E618" s="4">
        <v>1753.0</v>
      </c>
      <c r="F618" s="4">
        <v>0.0</v>
      </c>
      <c r="G618" s="4"/>
    </row>
    <row r="619">
      <c r="A619" s="4" t="s">
        <v>4</v>
      </c>
      <c r="B619" s="11">
        <v>42443.0</v>
      </c>
      <c r="C619" s="11">
        <v>42449.0</v>
      </c>
      <c r="D619" s="4">
        <v>11.0</v>
      </c>
      <c r="E619" s="4">
        <v>1771.0</v>
      </c>
      <c r="F619" s="4">
        <v>0.0</v>
      </c>
      <c r="G619" s="4"/>
    </row>
    <row r="620">
      <c r="A620" s="4" t="s">
        <v>4</v>
      </c>
      <c r="B620" s="11">
        <v>42450.0</v>
      </c>
      <c r="C620" s="11">
        <v>42456.0</v>
      </c>
      <c r="D620" s="4">
        <v>12.0</v>
      </c>
      <c r="E620" s="4">
        <v>1758.0</v>
      </c>
      <c r="F620" s="4">
        <v>0.0</v>
      </c>
      <c r="G620" s="4"/>
    </row>
    <row r="621">
      <c r="A621" s="4" t="s">
        <v>4</v>
      </c>
      <c r="B621" s="11">
        <v>42457.0</v>
      </c>
      <c r="C621" s="11">
        <v>42463.0</v>
      </c>
      <c r="D621" s="4">
        <v>13.0</v>
      </c>
      <c r="E621" s="4">
        <v>1757.0</v>
      </c>
      <c r="F621" s="4">
        <v>0.0</v>
      </c>
      <c r="G621" s="4"/>
    </row>
    <row r="622">
      <c r="A622" s="4" t="s">
        <v>4</v>
      </c>
      <c r="B622" s="11">
        <v>42464.0</v>
      </c>
      <c r="C622" s="11">
        <v>42470.0</v>
      </c>
      <c r="D622" s="4">
        <v>14.0</v>
      </c>
      <c r="E622" s="4">
        <v>1789.0</v>
      </c>
      <c r="F622" s="4">
        <v>0.0</v>
      </c>
      <c r="G622" s="4"/>
    </row>
    <row r="623">
      <c r="A623" s="4" t="s">
        <v>4</v>
      </c>
      <c r="B623" s="11">
        <v>42471.0</v>
      </c>
      <c r="C623" s="11">
        <v>42477.0</v>
      </c>
      <c r="D623" s="4">
        <v>15.0</v>
      </c>
      <c r="E623" s="4">
        <v>1945.0</v>
      </c>
      <c r="F623" s="4">
        <v>0.0</v>
      </c>
      <c r="G623" s="4"/>
    </row>
    <row r="624">
      <c r="A624" s="4" t="s">
        <v>4</v>
      </c>
      <c r="B624" s="11">
        <v>42478.0</v>
      </c>
      <c r="C624" s="11">
        <v>42484.0</v>
      </c>
      <c r="D624" s="4">
        <v>16.0</v>
      </c>
      <c r="E624" s="4">
        <v>1889.0</v>
      </c>
      <c r="F624" s="4">
        <v>0.0</v>
      </c>
      <c r="G624" s="4"/>
    </row>
    <row r="625">
      <c r="A625" s="4" t="s">
        <v>4</v>
      </c>
      <c r="B625" s="11">
        <v>42485.0</v>
      </c>
      <c r="C625" s="11">
        <v>42491.0</v>
      </c>
      <c r="D625" s="4">
        <v>17.0</v>
      </c>
      <c r="E625" s="4">
        <v>2018.0</v>
      </c>
      <c r="F625" s="4">
        <v>0.0</v>
      </c>
      <c r="G625" s="4"/>
    </row>
    <row r="626">
      <c r="A626" s="4" t="s">
        <v>4</v>
      </c>
      <c r="B626" s="11">
        <v>42492.0</v>
      </c>
      <c r="C626" s="11">
        <v>42498.0</v>
      </c>
      <c r="D626" s="4">
        <v>18.0</v>
      </c>
      <c r="E626" s="4">
        <v>1882.0</v>
      </c>
      <c r="F626" s="4">
        <v>0.0</v>
      </c>
      <c r="G626" s="4"/>
    </row>
    <row r="627">
      <c r="A627" s="4" t="s">
        <v>4</v>
      </c>
      <c r="B627" s="11">
        <v>42499.0</v>
      </c>
      <c r="C627" s="11">
        <v>42505.0</v>
      </c>
      <c r="D627" s="4">
        <v>19.0</v>
      </c>
      <c r="E627" s="4">
        <v>1965.0</v>
      </c>
      <c r="F627" s="4">
        <v>0.0</v>
      </c>
      <c r="G627" s="4"/>
    </row>
    <row r="628">
      <c r="A628" s="4" t="s">
        <v>4</v>
      </c>
      <c r="B628" s="11">
        <v>42506.0</v>
      </c>
      <c r="C628" s="11">
        <v>42512.0</v>
      </c>
      <c r="D628" s="4">
        <v>20.0</v>
      </c>
      <c r="E628" s="4">
        <v>1953.0</v>
      </c>
      <c r="F628" s="4">
        <v>0.0</v>
      </c>
      <c r="G628" s="4"/>
    </row>
    <row r="629">
      <c r="A629" s="4" t="s">
        <v>4</v>
      </c>
      <c r="B629" s="11">
        <v>42513.0</v>
      </c>
      <c r="C629" s="11">
        <v>42519.0</v>
      </c>
      <c r="D629" s="4">
        <v>21.0</v>
      </c>
      <c r="E629" s="4">
        <v>2044.0</v>
      </c>
      <c r="F629" s="4">
        <v>0.0</v>
      </c>
      <c r="G629" s="4"/>
    </row>
    <row r="630">
      <c r="A630" s="4" t="s">
        <v>4</v>
      </c>
      <c r="B630" s="11">
        <v>42520.0</v>
      </c>
      <c r="C630" s="11">
        <v>42526.0</v>
      </c>
      <c r="D630" s="4">
        <v>22.0</v>
      </c>
      <c r="E630" s="4">
        <v>2021.0</v>
      </c>
      <c r="F630" s="4">
        <v>0.0</v>
      </c>
      <c r="G630" s="4"/>
    </row>
    <row r="631">
      <c r="A631" s="4" t="s">
        <v>4</v>
      </c>
      <c r="B631" s="11">
        <v>42527.0</v>
      </c>
      <c r="C631" s="11">
        <v>42533.0</v>
      </c>
      <c r="D631" s="4">
        <v>23.0</v>
      </c>
      <c r="E631" s="4">
        <v>2175.0</v>
      </c>
      <c r="F631" s="4">
        <v>0.0</v>
      </c>
      <c r="G631" s="4"/>
    </row>
    <row r="632">
      <c r="A632" s="4" t="s">
        <v>4</v>
      </c>
      <c r="B632" s="11">
        <v>42534.0</v>
      </c>
      <c r="C632" s="11">
        <v>42540.0</v>
      </c>
      <c r="D632" s="4">
        <v>24.0</v>
      </c>
      <c r="E632" s="4">
        <v>2161.0</v>
      </c>
      <c r="F632" s="4">
        <v>0.0</v>
      </c>
      <c r="G632" s="4"/>
    </row>
    <row r="633">
      <c r="A633" s="4" t="s">
        <v>4</v>
      </c>
      <c r="B633" s="11">
        <v>42541.0</v>
      </c>
      <c r="C633" s="11">
        <v>42547.0</v>
      </c>
      <c r="D633" s="4">
        <v>25.0</v>
      </c>
      <c r="E633" s="4">
        <v>2339.0</v>
      </c>
      <c r="F633" s="4">
        <v>0.0</v>
      </c>
      <c r="G633" s="4"/>
    </row>
    <row r="634">
      <c r="A634" s="4" t="s">
        <v>4</v>
      </c>
      <c r="B634" s="11">
        <v>42548.0</v>
      </c>
      <c r="C634" s="11">
        <v>42554.0</v>
      </c>
      <c r="D634" s="4">
        <v>26.0</v>
      </c>
      <c r="E634" s="4">
        <v>2375.0</v>
      </c>
      <c r="F634" s="4">
        <v>0.0</v>
      </c>
      <c r="G634" s="4"/>
    </row>
    <row r="635">
      <c r="A635" s="4" t="s">
        <v>4</v>
      </c>
      <c r="B635" s="11">
        <v>42555.0</v>
      </c>
      <c r="C635" s="11">
        <v>42561.0</v>
      </c>
      <c r="D635" s="4">
        <v>27.0</v>
      </c>
      <c r="E635" s="4">
        <v>2381.0</v>
      </c>
      <c r="F635" s="4">
        <v>0.0</v>
      </c>
      <c r="G635" s="4"/>
    </row>
    <row r="636">
      <c r="A636" s="4" t="s">
        <v>4</v>
      </c>
      <c r="B636" s="11">
        <v>42562.0</v>
      </c>
      <c r="C636" s="11">
        <v>42568.0</v>
      </c>
      <c r="D636" s="4">
        <v>28.0</v>
      </c>
      <c r="E636" s="4">
        <v>2483.0</v>
      </c>
      <c r="F636" s="4">
        <v>0.0</v>
      </c>
      <c r="G636" s="4"/>
    </row>
    <row r="637">
      <c r="A637" s="4" t="s">
        <v>4</v>
      </c>
      <c r="B637" s="11">
        <v>42569.0</v>
      </c>
      <c r="C637" s="11">
        <v>42575.0</v>
      </c>
      <c r="D637" s="4">
        <v>29.0</v>
      </c>
      <c r="E637" s="4">
        <v>2526.0</v>
      </c>
      <c r="F637" s="4">
        <v>0.0</v>
      </c>
      <c r="G637" s="4"/>
    </row>
    <row r="638">
      <c r="A638" s="4" t="s">
        <v>4</v>
      </c>
      <c r="B638" s="11">
        <v>42576.0</v>
      </c>
      <c r="C638" s="11">
        <v>42582.0</v>
      </c>
      <c r="D638" s="4">
        <v>30.0</v>
      </c>
      <c r="E638" s="4">
        <v>2301.0</v>
      </c>
      <c r="F638" s="4">
        <v>0.0</v>
      </c>
      <c r="G638" s="4"/>
    </row>
    <row r="639">
      <c r="A639" s="4" t="s">
        <v>4</v>
      </c>
      <c r="B639" s="11">
        <v>42583.0</v>
      </c>
      <c r="C639" s="11">
        <v>42589.0</v>
      </c>
      <c r="D639" s="4">
        <v>31.0</v>
      </c>
      <c r="E639" s="4">
        <v>2232.0</v>
      </c>
      <c r="F639" s="4">
        <v>0.0</v>
      </c>
      <c r="G639" s="4"/>
    </row>
    <row r="640">
      <c r="A640" s="4" t="s">
        <v>4</v>
      </c>
      <c r="B640" s="11">
        <v>42590.0</v>
      </c>
      <c r="C640" s="11">
        <v>42596.0</v>
      </c>
      <c r="D640" s="4">
        <v>32.0</v>
      </c>
      <c r="E640" s="4">
        <v>2201.0</v>
      </c>
      <c r="F640" s="4">
        <v>0.0</v>
      </c>
      <c r="G640" s="4"/>
    </row>
    <row r="641">
      <c r="A641" s="4" t="s">
        <v>4</v>
      </c>
      <c r="B641" s="11">
        <v>42597.0</v>
      </c>
      <c r="C641" s="11">
        <v>42603.0</v>
      </c>
      <c r="D641" s="4">
        <v>33.0</v>
      </c>
      <c r="E641" s="4">
        <v>2203.0</v>
      </c>
      <c r="F641" s="4">
        <v>0.0</v>
      </c>
      <c r="G641" s="4"/>
    </row>
    <row r="642">
      <c r="A642" s="4" t="s">
        <v>4</v>
      </c>
      <c r="B642" s="11">
        <v>42604.0</v>
      </c>
      <c r="C642" s="11">
        <v>42610.0</v>
      </c>
      <c r="D642" s="4">
        <v>34.0</v>
      </c>
      <c r="E642" s="4">
        <v>2144.0</v>
      </c>
      <c r="F642" s="4">
        <v>0.0</v>
      </c>
      <c r="G642" s="4"/>
    </row>
    <row r="643">
      <c r="A643" s="4" t="s">
        <v>4</v>
      </c>
      <c r="B643" s="11">
        <v>42611.0</v>
      </c>
      <c r="C643" s="11">
        <v>42617.0</v>
      </c>
      <c r="D643" s="4">
        <v>35.0</v>
      </c>
      <c r="E643" s="4">
        <v>2115.0</v>
      </c>
      <c r="F643" s="4">
        <v>0.0</v>
      </c>
      <c r="G643" s="4"/>
    </row>
    <row r="644">
      <c r="A644" s="4" t="s">
        <v>4</v>
      </c>
      <c r="B644" s="11">
        <v>42618.0</v>
      </c>
      <c r="C644" s="11">
        <v>42624.0</v>
      </c>
      <c r="D644" s="4">
        <v>36.0</v>
      </c>
      <c r="E644" s="4">
        <v>2328.0</v>
      </c>
      <c r="F644" s="4">
        <v>0.0</v>
      </c>
      <c r="G644" s="4"/>
    </row>
    <row r="645">
      <c r="A645" s="4" t="s">
        <v>4</v>
      </c>
      <c r="B645" s="11">
        <v>42625.0</v>
      </c>
      <c r="C645" s="11">
        <v>42631.0</v>
      </c>
      <c r="D645" s="4">
        <v>37.0</v>
      </c>
      <c r="E645" s="4">
        <v>2086.0</v>
      </c>
      <c r="F645" s="4">
        <v>0.0</v>
      </c>
      <c r="G645" s="4"/>
    </row>
    <row r="646">
      <c r="A646" s="4" t="s">
        <v>4</v>
      </c>
      <c r="B646" s="11">
        <v>42632.0</v>
      </c>
      <c r="C646" s="11">
        <v>42638.0</v>
      </c>
      <c r="D646" s="4">
        <v>38.0</v>
      </c>
      <c r="E646" s="4">
        <v>2156.0</v>
      </c>
      <c r="F646" s="4">
        <v>0.0</v>
      </c>
      <c r="G646" s="4"/>
    </row>
    <row r="647">
      <c r="A647" s="4" t="s">
        <v>4</v>
      </c>
      <c r="B647" s="11">
        <v>42639.0</v>
      </c>
      <c r="C647" s="12">
        <v>42645.0</v>
      </c>
      <c r="D647" s="4">
        <v>39.0</v>
      </c>
      <c r="E647" s="4">
        <v>2072.0</v>
      </c>
      <c r="F647" s="4">
        <v>0.0</v>
      </c>
      <c r="G647" s="4"/>
    </row>
    <row r="648">
      <c r="A648" s="4" t="s">
        <v>4</v>
      </c>
      <c r="B648" s="12">
        <v>42646.0</v>
      </c>
      <c r="C648" s="12">
        <v>42652.0</v>
      </c>
      <c r="D648" s="4">
        <v>40.0</v>
      </c>
      <c r="E648" s="4">
        <v>1968.0</v>
      </c>
      <c r="F648" s="4">
        <v>0.0</v>
      </c>
      <c r="G648" s="4"/>
    </row>
    <row r="649">
      <c r="A649" s="4" t="s">
        <v>4</v>
      </c>
      <c r="B649" s="12">
        <v>42653.0</v>
      </c>
      <c r="C649" s="12">
        <v>42659.0</v>
      </c>
      <c r="D649" s="4">
        <v>41.0</v>
      </c>
      <c r="E649" s="4">
        <v>1926.0</v>
      </c>
      <c r="F649" s="4">
        <v>0.0</v>
      </c>
      <c r="G649" s="4"/>
    </row>
    <row r="650">
      <c r="A650" s="4" t="s">
        <v>4</v>
      </c>
      <c r="B650" s="12">
        <v>42660.0</v>
      </c>
      <c r="C650" s="12">
        <v>42666.0</v>
      </c>
      <c r="D650" s="4">
        <v>42.0</v>
      </c>
      <c r="E650" s="4">
        <v>1891.0</v>
      </c>
      <c r="F650" s="4">
        <v>0.0</v>
      </c>
      <c r="G650" s="4"/>
    </row>
    <row r="651">
      <c r="A651" s="4" t="s">
        <v>4</v>
      </c>
      <c r="B651" s="12">
        <v>42667.0</v>
      </c>
      <c r="C651" s="12">
        <v>42673.0</v>
      </c>
      <c r="D651" s="4">
        <v>43.0</v>
      </c>
      <c r="E651" s="4">
        <v>1906.0</v>
      </c>
      <c r="F651" s="4">
        <v>0.0</v>
      </c>
      <c r="G651" s="4"/>
    </row>
    <row r="652">
      <c r="A652" s="4" t="s">
        <v>4</v>
      </c>
      <c r="B652" s="12">
        <v>42674.0</v>
      </c>
      <c r="C652" s="12">
        <v>42680.0</v>
      </c>
      <c r="D652" s="4">
        <v>44.0</v>
      </c>
      <c r="E652" s="4">
        <v>1954.0</v>
      </c>
      <c r="F652" s="4">
        <v>0.0</v>
      </c>
      <c r="G652" s="4"/>
    </row>
    <row r="653">
      <c r="A653" s="4" t="s">
        <v>4</v>
      </c>
      <c r="B653" s="12">
        <v>42681.0</v>
      </c>
      <c r="C653" s="12">
        <v>42687.0</v>
      </c>
      <c r="D653" s="4">
        <v>45.0</v>
      </c>
      <c r="E653" s="4">
        <v>1810.0</v>
      </c>
      <c r="F653" s="4">
        <v>0.0</v>
      </c>
      <c r="G653" s="4"/>
    </row>
    <row r="654">
      <c r="A654" s="4" t="s">
        <v>4</v>
      </c>
      <c r="B654" s="12">
        <v>42688.0</v>
      </c>
      <c r="C654" s="12">
        <v>42694.0</v>
      </c>
      <c r="D654" s="4">
        <v>46.0</v>
      </c>
      <c r="E654" s="4">
        <v>1808.0</v>
      </c>
      <c r="F654" s="4">
        <v>0.0</v>
      </c>
      <c r="G654" s="4"/>
    </row>
    <row r="655">
      <c r="A655" s="4" t="s">
        <v>4</v>
      </c>
      <c r="B655" s="12">
        <v>42695.0</v>
      </c>
      <c r="C655" s="12">
        <v>42701.0</v>
      </c>
      <c r="D655" s="4">
        <v>47.0</v>
      </c>
      <c r="E655" s="4">
        <v>1838.0</v>
      </c>
      <c r="F655" s="4">
        <v>0.0</v>
      </c>
      <c r="G655" s="4"/>
    </row>
    <row r="656">
      <c r="A656" s="4" t="s">
        <v>4</v>
      </c>
      <c r="B656" s="12">
        <v>42702.0</v>
      </c>
      <c r="C656" s="12">
        <v>42708.0</v>
      </c>
      <c r="D656" s="4">
        <v>48.0</v>
      </c>
      <c r="E656" s="4">
        <v>1829.0</v>
      </c>
      <c r="F656" s="4">
        <v>0.0</v>
      </c>
      <c r="G656" s="4"/>
    </row>
    <row r="657">
      <c r="A657" s="4" t="s">
        <v>4</v>
      </c>
      <c r="B657" s="12">
        <v>42709.0</v>
      </c>
      <c r="C657" s="12">
        <v>42715.0</v>
      </c>
      <c r="D657" s="4">
        <v>49.0</v>
      </c>
      <c r="E657" s="4">
        <v>1809.0</v>
      </c>
      <c r="F657" s="4">
        <v>0.0</v>
      </c>
      <c r="G657" s="4"/>
    </row>
    <row r="658">
      <c r="A658" s="4" t="s">
        <v>4</v>
      </c>
      <c r="B658" s="12">
        <v>42716.0</v>
      </c>
      <c r="C658" s="12">
        <v>42722.0</v>
      </c>
      <c r="D658" s="4">
        <v>50.0</v>
      </c>
      <c r="E658" s="4">
        <v>1863.0</v>
      </c>
      <c r="F658" s="4">
        <v>0.0</v>
      </c>
      <c r="G658" s="4"/>
    </row>
    <row r="659">
      <c r="A659" s="4" t="s">
        <v>4</v>
      </c>
      <c r="B659" s="12">
        <v>42723.0</v>
      </c>
      <c r="C659" s="12">
        <v>42729.0</v>
      </c>
      <c r="D659" s="4">
        <v>51.0</v>
      </c>
      <c r="E659" s="4">
        <v>1827.0</v>
      </c>
      <c r="F659" s="4">
        <v>0.0</v>
      </c>
      <c r="G659" s="4"/>
    </row>
    <row r="660">
      <c r="A660" s="4" t="s">
        <v>4</v>
      </c>
      <c r="B660" s="12">
        <v>42730.0</v>
      </c>
      <c r="C660" s="11">
        <v>42736.0</v>
      </c>
      <c r="D660" s="4">
        <v>52.0</v>
      </c>
      <c r="E660" s="4">
        <v>1642.0</v>
      </c>
      <c r="F660" s="4">
        <v>0.0</v>
      </c>
      <c r="G660" s="4"/>
    </row>
    <row r="661">
      <c r="A661" s="4" t="s">
        <v>4</v>
      </c>
      <c r="B661" s="11">
        <v>42737.0</v>
      </c>
      <c r="C661" s="11">
        <v>42743.0</v>
      </c>
      <c r="D661" s="4">
        <v>1.0</v>
      </c>
      <c r="E661" s="4">
        <v>1878.0</v>
      </c>
      <c r="F661" s="4">
        <v>0.0</v>
      </c>
      <c r="G661" s="4"/>
    </row>
    <row r="662">
      <c r="A662" s="4" t="s">
        <v>4</v>
      </c>
      <c r="B662" s="11">
        <v>42744.0</v>
      </c>
      <c r="C662" s="11">
        <v>42750.0</v>
      </c>
      <c r="D662" s="4">
        <v>2.0</v>
      </c>
      <c r="E662" s="4">
        <v>1868.0</v>
      </c>
      <c r="F662" s="4">
        <v>0.0</v>
      </c>
      <c r="G662" s="4"/>
    </row>
    <row r="663">
      <c r="A663" s="4" t="s">
        <v>4</v>
      </c>
      <c r="B663" s="11">
        <v>42751.0</v>
      </c>
      <c r="C663" s="11">
        <v>42757.0</v>
      </c>
      <c r="D663" s="4">
        <v>3.0</v>
      </c>
      <c r="E663" s="4">
        <v>2034.0</v>
      </c>
      <c r="F663" s="4">
        <v>0.0</v>
      </c>
      <c r="G663" s="4"/>
    </row>
    <row r="664">
      <c r="A664" s="4" t="s">
        <v>4</v>
      </c>
      <c r="B664" s="11">
        <v>42758.0</v>
      </c>
      <c r="C664" s="11">
        <v>42764.0</v>
      </c>
      <c r="D664" s="4">
        <v>4.0</v>
      </c>
      <c r="E664" s="4">
        <v>2082.0</v>
      </c>
      <c r="F664" s="4">
        <v>0.0</v>
      </c>
      <c r="G664" s="4"/>
    </row>
    <row r="665">
      <c r="A665" s="4" t="s">
        <v>4</v>
      </c>
      <c r="B665" s="11">
        <v>42765.0</v>
      </c>
      <c r="C665" s="11">
        <v>42771.0</v>
      </c>
      <c r="D665" s="4">
        <v>5.0</v>
      </c>
      <c r="E665" s="4">
        <v>1891.0</v>
      </c>
      <c r="F665" s="4">
        <v>0.0</v>
      </c>
      <c r="G665" s="4"/>
    </row>
    <row r="666">
      <c r="A666" s="4" t="s">
        <v>4</v>
      </c>
      <c r="B666" s="11">
        <v>42772.0</v>
      </c>
      <c r="C666" s="11">
        <v>42778.0</v>
      </c>
      <c r="D666" s="4">
        <v>6.0</v>
      </c>
      <c r="E666" s="4">
        <v>1788.0</v>
      </c>
      <c r="F666" s="4">
        <v>0.0</v>
      </c>
      <c r="G666" s="4"/>
    </row>
    <row r="667">
      <c r="A667" s="4" t="s">
        <v>4</v>
      </c>
      <c r="B667" s="11">
        <v>42779.0</v>
      </c>
      <c r="C667" s="11">
        <v>42785.0</v>
      </c>
      <c r="D667" s="4">
        <v>7.0</v>
      </c>
      <c r="E667" s="4">
        <v>1813.0</v>
      </c>
      <c r="F667" s="4">
        <v>0.0</v>
      </c>
      <c r="G667" s="4"/>
    </row>
    <row r="668">
      <c r="A668" s="4" t="s">
        <v>4</v>
      </c>
      <c r="B668" s="11">
        <v>42786.0</v>
      </c>
      <c r="C668" s="11">
        <v>42792.0</v>
      </c>
      <c r="D668" s="4">
        <v>8.0</v>
      </c>
      <c r="E668" s="4">
        <v>1969.0</v>
      </c>
      <c r="F668" s="4">
        <v>0.0</v>
      </c>
      <c r="G668" s="4"/>
    </row>
    <row r="669">
      <c r="A669" s="4" t="s">
        <v>4</v>
      </c>
      <c r="B669" s="11">
        <v>42793.0</v>
      </c>
      <c r="C669" s="11">
        <v>42799.0</v>
      </c>
      <c r="D669" s="4">
        <v>9.0</v>
      </c>
      <c r="E669" s="4">
        <v>1730.0</v>
      </c>
      <c r="F669" s="4">
        <v>0.0</v>
      </c>
      <c r="G669" s="4"/>
    </row>
    <row r="670">
      <c r="A670" s="4" t="s">
        <v>4</v>
      </c>
      <c r="B670" s="11">
        <v>42800.0</v>
      </c>
      <c r="C670" s="11">
        <v>42806.0</v>
      </c>
      <c r="D670" s="4">
        <v>10.0</v>
      </c>
      <c r="E670" s="4">
        <v>1739.0</v>
      </c>
      <c r="F670" s="4">
        <v>0.0</v>
      </c>
      <c r="G670" s="4"/>
    </row>
    <row r="671">
      <c r="A671" s="4" t="s">
        <v>4</v>
      </c>
      <c r="B671" s="11">
        <v>42807.0</v>
      </c>
      <c r="C671" s="11">
        <v>42813.0</v>
      </c>
      <c r="D671" s="4">
        <v>11.0</v>
      </c>
      <c r="E671" s="4">
        <v>1754.0</v>
      </c>
      <c r="F671" s="4">
        <v>0.0</v>
      </c>
      <c r="G671" s="4"/>
    </row>
    <row r="672">
      <c r="A672" s="4" t="s">
        <v>4</v>
      </c>
      <c r="B672" s="11">
        <v>42814.0</v>
      </c>
      <c r="C672" s="11">
        <v>42820.0</v>
      </c>
      <c r="D672" s="4">
        <v>12.0</v>
      </c>
      <c r="E672" s="4">
        <v>1770.0</v>
      </c>
      <c r="F672" s="4">
        <v>0.0</v>
      </c>
      <c r="G672" s="4"/>
    </row>
    <row r="673">
      <c r="A673" s="4" t="s">
        <v>4</v>
      </c>
      <c r="B673" s="11">
        <v>42821.0</v>
      </c>
      <c r="C673" s="11">
        <v>42827.0</v>
      </c>
      <c r="D673" s="4">
        <v>13.0</v>
      </c>
      <c r="E673" s="4">
        <v>1800.0</v>
      </c>
      <c r="F673" s="4">
        <v>0.0</v>
      </c>
      <c r="G673" s="4"/>
    </row>
    <row r="674">
      <c r="A674" s="4" t="s">
        <v>4</v>
      </c>
      <c r="B674" s="11">
        <v>42828.0</v>
      </c>
      <c r="C674" s="11">
        <v>42834.0</v>
      </c>
      <c r="D674" s="4">
        <v>14.0</v>
      </c>
      <c r="E674" s="4">
        <v>1895.0</v>
      </c>
      <c r="F674" s="4">
        <v>0.0</v>
      </c>
      <c r="G674" s="4"/>
    </row>
    <row r="675">
      <c r="A675" s="4" t="s">
        <v>4</v>
      </c>
      <c r="B675" s="11">
        <v>42835.0</v>
      </c>
      <c r="C675" s="11">
        <v>42841.0</v>
      </c>
      <c r="D675" s="4">
        <v>15.0</v>
      </c>
      <c r="E675" s="4">
        <v>1949.0</v>
      </c>
      <c r="F675" s="4">
        <v>0.0</v>
      </c>
      <c r="G675" s="4"/>
    </row>
    <row r="676">
      <c r="A676" s="4" t="s">
        <v>4</v>
      </c>
      <c r="B676" s="11">
        <v>42842.0</v>
      </c>
      <c r="C676" s="11">
        <v>42848.0</v>
      </c>
      <c r="D676" s="4">
        <v>16.0</v>
      </c>
      <c r="E676" s="4">
        <v>1847.0</v>
      </c>
      <c r="F676" s="4">
        <v>0.0</v>
      </c>
      <c r="G676" s="4"/>
    </row>
    <row r="677">
      <c r="A677" s="4" t="s">
        <v>4</v>
      </c>
      <c r="B677" s="11">
        <v>42849.0</v>
      </c>
      <c r="C677" s="11">
        <v>42855.0</v>
      </c>
      <c r="D677" s="4">
        <v>17.0</v>
      </c>
      <c r="E677" s="4">
        <v>1970.0</v>
      </c>
      <c r="F677" s="4">
        <v>0.0</v>
      </c>
      <c r="G677" s="4"/>
    </row>
    <row r="678">
      <c r="A678" s="4" t="s">
        <v>4</v>
      </c>
      <c r="B678" s="11">
        <v>42856.0</v>
      </c>
      <c r="C678" s="11">
        <v>42862.0</v>
      </c>
      <c r="D678" s="4">
        <v>18.0</v>
      </c>
      <c r="E678" s="4">
        <v>1964.0</v>
      </c>
      <c r="F678" s="4">
        <v>0.0</v>
      </c>
      <c r="G678" s="4"/>
    </row>
    <row r="679">
      <c r="A679" s="4" t="s">
        <v>4</v>
      </c>
      <c r="B679" s="11">
        <v>42863.0</v>
      </c>
      <c r="C679" s="11">
        <v>42869.0</v>
      </c>
      <c r="D679" s="4">
        <v>19.0</v>
      </c>
      <c r="E679" s="4">
        <v>1921.0</v>
      </c>
      <c r="F679" s="4">
        <v>0.0</v>
      </c>
      <c r="G679" s="4"/>
    </row>
    <row r="680">
      <c r="A680" s="4" t="s">
        <v>4</v>
      </c>
      <c r="B680" s="11">
        <v>42870.0</v>
      </c>
      <c r="C680" s="11">
        <v>42876.0</v>
      </c>
      <c r="D680" s="4">
        <v>20.0</v>
      </c>
      <c r="E680" s="4">
        <v>2025.0</v>
      </c>
      <c r="F680" s="4">
        <v>0.0</v>
      </c>
      <c r="G680" s="4"/>
    </row>
    <row r="681">
      <c r="A681" s="4" t="s">
        <v>4</v>
      </c>
      <c r="B681" s="11">
        <v>42877.0</v>
      </c>
      <c r="C681" s="11">
        <v>42883.0</v>
      </c>
      <c r="D681" s="4">
        <v>21.0</v>
      </c>
      <c r="E681" s="4">
        <v>2210.0</v>
      </c>
      <c r="F681" s="4">
        <v>0.0</v>
      </c>
      <c r="G681" s="4"/>
    </row>
    <row r="682">
      <c r="A682" s="4" t="s">
        <v>4</v>
      </c>
      <c r="B682" s="11">
        <v>42884.0</v>
      </c>
      <c r="C682" s="11">
        <v>42890.0</v>
      </c>
      <c r="D682" s="4">
        <v>22.0</v>
      </c>
      <c r="E682" s="4">
        <v>2334.0</v>
      </c>
      <c r="F682" s="4">
        <v>0.0</v>
      </c>
      <c r="G682" s="4"/>
    </row>
    <row r="683">
      <c r="A683" s="4" t="s">
        <v>4</v>
      </c>
      <c r="B683" s="11">
        <v>42891.0</v>
      </c>
      <c r="C683" s="11">
        <v>42897.0</v>
      </c>
      <c r="D683" s="4">
        <v>23.0</v>
      </c>
      <c r="E683" s="4">
        <v>2376.0</v>
      </c>
      <c r="F683" s="4">
        <v>0.0</v>
      </c>
      <c r="G683" s="4"/>
    </row>
    <row r="684">
      <c r="A684" s="4" t="s">
        <v>4</v>
      </c>
      <c r="B684" s="11">
        <v>42898.0</v>
      </c>
      <c r="C684" s="11">
        <v>42904.0</v>
      </c>
      <c r="D684" s="4">
        <v>24.0</v>
      </c>
      <c r="E684" s="4">
        <v>2640.0</v>
      </c>
      <c r="F684" s="4">
        <v>0.0</v>
      </c>
      <c r="G684" s="4"/>
    </row>
    <row r="685">
      <c r="A685" s="4" t="s">
        <v>4</v>
      </c>
      <c r="B685" s="11">
        <v>42905.0</v>
      </c>
      <c r="C685" s="11">
        <v>42911.0</v>
      </c>
      <c r="D685" s="4">
        <v>25.0</v>
      </c>
      <c r="E685" s="4">
        <v>2639.0</v>
      </c>
      <c r="F685" s="4">
        <v>0.0</v>
      </c>
      <c r="G685" s="4"/>
    </row>
    <row r="686">
      <c r="A686" s="4" t="s">
        <v>4</v>
      </c>
      <c r="B686" s="11">
        <v>42912.0</v>
      </c>
      <c r="C686" s="11">
        <v>42918.0</v>
      </c>
      <c r="D686" s="4">
        <v>26.0</v>
      </c>
      <c r="E686" s="4">
        <v>2525.0</v>
      </c>
      <c r="F686" s="4">
        <v>0.0</v>
      </c>
      <c r="G686" s="4"/>
    </row>
    <row r="687">
      <c r="A687" s="4" t="s">
        <v>4</v>
      </c>
      <c r="B687" s="11">
        <v>42919.0</v>
      </c>
      <c r="C687" s="11">
        <v>42925.0</v>
      </c>
      <c r="D687" s="4">
        <v>27.0</v>
      </c>
      <c r="E687" s="4">
        <v>2387.0</v>
      </c>
      <c r="F687" s="4">
        <v>0.0</v>
      </c>
      <c r="G687" s="4"/>
    </row>
    <row r="688">
      <c r="A688" s="4" t="s">
        <v>4</v>
      </c>
      <c r="B688" s="11">
        <v>42926.0</v>
      </c>
      <c r="C688" s="11">
        <v>42932.0</v>
      </c>
      <c r="D688" s="4">
        <v>28.0</v>
      </c>
      <c r="E688" s="4">
        <v>2308.0</v>
      </c>
      <c r="F688" s="4">
        <v>0.0</v>
      </c>
      <c r="G688" s="4"/>
    </row>
    <row r="689">
      <c r="A689" s="4" t="s">
        <v>4</v>
      </c>
      <c r="B689" s="11">
        <v>42933.0</v>
      </c>
      <c r="C689" s="11">
        <v>42939.0</v>
      </c>
      <c r="D689" s="4">
        <v>29.0</v>
      </c>
      <c r="E689" s="4">
        <v>2419.0</v>
      </c>
      <c r="F689" s="4">
        <v>0.0</v>
      </c>
      <c r="G689" s="4"/>
    </row>
    <row r="690">
      <c r="A690" s="4" t="s">
        <v>4</v>
      </c>
      <c r="B690" s="11">
        <v>42940.0</v>
      </c>
      <c r="C690" s="11">
        <v>42946.0</v>
      </c>
      <c r="D690" s="4">
        <v>30.0</v>
      </c>
      <c r="E690" s="4">
        <v>2339.0</v>
      </c>
      <c r="F690" s="4">
        <v>0.0</v>
      </c>
      <c r="G690" s="4"/>
    </row>
    <row r="691">
      <c r="A691" s="4" t="s">
        <v>4</v>
      </c>
      <c r="B691" s="11">
        <v>42947.0</v>
      </c>
      <c r="C691" s="11">
        <v>42953.0</v>
      </c>
      <c r="D691" s="4">
        <v>31.0</v>
      </c>
      <c r="E691" s="4">
        <v>2289.0</v>
      </c>
      <c r="F691" s="4">
        <v>0.0</v>
      </c>
      <c r="G691" s="4"/>
    </row>
    <row r="692">
      <c r="A692" s="4" t="s">
        <v>4</v>
      </c>
      <c r="B692" s="11">
        <v>42954.0</v>
      </c>
      <c r="C692" s="11">
        <v>42960.0</v>
      </c>
      <c r="D692" s="4">
        <v>32.0</v>
      </c>
      <c r="E692" s="4">
        <v>2197.0</v>
      </c>
      <c r="F692" s="4">
        <v>0.0</v>
      </c>
      <c r="G692" s="4"/>
    </row>
    <row r="693">
      <c r="A693" s="4" t="s">
        <v>4</v>
      </c>
      <c r="B693" s="11">
        <v>42961.0</v>
      </c>
      <c r="C693" s="11">
        <v>42967.0</v>
      </c>
      <c r="D693" s="4">
        <v>33.0</v>
      </c>
      <c r="E693" s="4">
        <v>2175.0</v>
      </c>
      <c r="F693" s="4">
        <v>0.0</v>
      </c>
      <c r="G693" s="4"/>
    </row>
    <row r="694">
      <c r="A694" s="4" t="s">
        <v>4</v>
      </c>
      <c r="B694" s="11">
        <v>42968.0</v>
      </c>
      <c r="C694" s="11">
        <v>42974.0</v>
      </c>
      <c r="D694" s="4">
        <v>34.0</v>
      </c>
      <c r="E694" s="4">
        <v>2121.0</v>
      </c>
      <c r="F694" s="4">
        <v>0.0</v>
      </c>
      <c r="G694" s="4"/>
    </row>
    <row r="695">
      <c r="A695" s="4" t="s">
        <v>4</v>
      </c>
      <c r="B695" s="11">
        <v>42975.0</v>
      </c>
      <c r="C695" s="11">
        <v>42981.0</v>
      </c>
      <c r="D695" s="4">
        <v>35.0</v>
      </c>
      <c r="E695" s="4">
        <v>2146.0</v>
      </c>
      <c r="F695" s="4">
        <v>0.0</v>
      </c>
      <c r="G695" s="4"/>
    </row>
    <row r="696">
      <c r="A696" s="4" t="s">
        <v>4</v>
      </c>
      <c r="B696" s="11">
        <v>42982.0</v>
      </c>
      <c r="C696" s="11">
        <v>42988.0</v>
      </c>
      <c r="D696" s="4">
        <v>36.0</v>
      </c>
      <c r="E696" s="4">
        <v>2106.0</v>
      </c>
      <c r="F696" s="4">
        <v>0.0</v>
      </c>
      <c r="G696" s="4"/>
    </row>
    <row r="697">
      <c r="A697" s="4" t="s">
        <v>4</v>
      </c>
      <c r="B697" s="11">
        <v>42989.0</v>
      </c>
      <c r="C697" s="11">
        <v>42995.0</v>
      </c>
      <c r="D697" s="4">
        <v>37.0</v>
      </c>
      <c r="E697" s="4">
        <v>2181.0</v>
      </c>
      <c r="F697" s="4">
        <v>0.0</v>
      </c>
      <c r="G697" s="4"/>
    </row>
    <row r="698">
      <c r="A698" s="4" t="s">
        <v>4</v>
      </c>
      <c r="B698" s="11">
        <v>42996.0</v>
      </c>
      <c r="C698" s="11">
        <v>43002.0</v>
      </c>
      <c r="D698" s="4">
        <v>38.0</v>
      </c>
      <c r="E698" s="4">
        <v>2258.0</v>
      </c>
      <c r="F698" s="4">
        <v>0.0</v>
      </c>
      <c r="G698" s="4"/>
    </row>
    <row r="699">
      <c r="A699" s="4" t="s">
        <v>4</v>
      </c>
      <c r="B699" s="11">
        <v>43003.0</v>
      </c>
      <c r="C699" s="12">
        <v>43009.0</v>
      </c>
      <c r="D699" s="4">
        <v>39.0</v>
      </c>
      <c r="E699" s="4">
        <v>2102.0</v>
      </c>
      <c r="F699" s="4">
        <v>0.0</v>
      </c>
      <c r="G699" s="4"/>
    </row>
    <row r="700">
      <c r="A700" s="4" t="s">
        <v>4</v>
      </c>
      <c r="B700" s="12">
        <v>43010.0</v>
      </c>
      <c r="C700" s="12">
        <v>43016.0</v>
      </c>
      <c r="D700" s="4">
        <v>40.0</v>
      </c>
      <c r="E700" s="4">
        <v>2088.0</v>
      </c>
      <c r="F700" s="4">
        <v>0.0</v>
      </c>
      <c r="G700" s="4"/>
    </row>
    <row r="701">
      <c r="A701" s="4" t="s">
        <v>4</v>
      </c>
      <c r="B701" s="12">
        <v>43017.0</v>
      </c>
      <c r="C701" s="12">
        <v>43023.0</v>
      </c>
      <c r="D701" s="4">
        <v>41.0</v>
      </c>
      <c r="E701" s="4">
        <v>1987.0</v>
      </c>
      <c r="F701" s="4">
        <v>0.0</v>
      </c>
      <c r="G701" s="4"/>
    </row>
    <row r="702">
      <c r="A702" s="4" t="s">
        <v>4</v>
      </c>
      <c r="B702" s="12">
        <v>43024.0</v>
      </c>
      <c r="C702" s="12">
        <v>43030.0</v>
      </c>
      <c r="D702" s="4">
        <v>42.0</v>
      </c>
      <c r="E702" s="4">
        <v>1965.0</v>
      </c>
      <c r="F702" s="4">
        <v>0.0</v>
      </c>
      <c r="G702" s="4"/>
    </row>
    <row r="703">
      <c r="A703" s="4" t="s">
        <v>4</v>
      </c>
      <c r="B703" s="12">
        <v>43031.0</v>
      </c>
      <c r="C703" s="12">
        <v>43037.0</v>
      </c>
      <c r="D703" s="4">
        <v>43.0</v>
      </c>
      <c r="E703" s="4">
        <v>1871.0</v>
      </c>
      <c r="F703" s="4">
        <v>0.0</v>
      </c>
      <c r="G703" s="4"/>
    </row>
    <row r="704">
      <c r="A704" s="4" t="s">
        <v>4</v>
      </c>
      <c r="B704" s="12">
        <v>43038.0</v>
      </c>
      <c r="C704" s="12">
        <v>43044.0</v>
      </c>
      <c r="D704" s="4">
        <v>44.0</v>
      </c>
      <c r="E704" s="4">
        <v>1836.0</v>
      </c>
      <c r="F704" s="4">
        <v>0.0</v>
      </c>
      <c r="G704" s="4"/>
    </row>
    <row r="705">
      <c r="A705" s="4" t="s">
        <v>4</v>
      </c>
      <c r="B705" s="12">
        <v>43045.0</v>
      </c>
      <c r="C705" s="12">
        <v>43051.0</v>
      </c>
      <c r="D705" s="4">
        <v>45.0</v>
      </c>
      <c r="E705" s="4">
        <v>1977.0</v>
      </c>
      <c r="F705" s="4">
        <v>0.0</v>
      </c>
      <c r="G705" s="4"/>
    </row>
    <row r="706">
      <c r="A706" s="4" t="s">
        <v>4</v>
      </c>
      <c r="B706" s="12">
        <v>43052.0</v>
      </c>
      <c r="C706" s="12">
        <v>43058.0</v>
      </c>
      <c r="D706" s="4">
        <v>46.0</v>
      </c>
      <c r="E706" s="4">
        <v>1826.0</v>
      </c>
      <c r="F706" s="4">
        <v>0.0</v>
      </c>
      <c r="G706" s="4"/>
    </row>
    <row r="707">
      <c r="A707" s="4" t="s">
        <v>4</v>
      </c>
      <c r="B707" s="12">
        <v>43059.0</v>
      </c>
      <c r="C707" s="12">
        <v>43065.0</v>
      </c>
      <c r="D707" s="4">
        <v>47.0</v>
      </c>
      <c r="E707" s="4">
        <v>1936.0</v>
      </c>
      <c r="F707" s="4">
        <v>0.0</v>
      </c>
      <c r="G707" s="4"/>
    </row>
    <row r="708">
      <c r="A708" s="4" t="s">
        <v>4</v>
      </c>
      <c r="B708" s="12">
        <v>43066.0</v>
      </c>
      <c r="C708" s="12">
        <v>43072.0</v>
      </c>
      <c r="D708" s="4">
        <v>48.0</v>
      </c>
      <c r="E708" s="4">
        <v>1852.0</v>
      </c>
      <c r="F708" s="4">
        <v>0.0</v>
      </c>
      <c r="G708" s="4"/>
    </row>
    <row r="709">
      <c r="A709" s="4" t="s">
        <v>4</v>
      </c>
      <c r="B709" s="12">
        <v>43073.0</v>
      </c>
      <c r="C709" s="12">
        <v>43079.0</v>
      </c>
      <c r="D709" s="4">
        <v>49.0</v>
      </c>
      <c r="E709" s="4">
        <v>1862.0</v>
      </c>
      <c r="F709" s="4">
        <v>0.0</v>
      </c>
      <c r="G709" s="4"/>
    </row>
    <row r="710">
      <c r="A710" s="4" t="s">
        <v>4</v>
      </c>
      <c r="B710" s="12">
        <v>43080.0</v>
      </c>
      <c r="C710" s="12">
        <v>43086.0</v>
      </c>
      <c r="D710" s="4">
        <v>50.0</v>
      </c>
      <c r="E710" s="4">
        <v>1895.0</v>
      </c>
      <c r="F710" s="4">
        <v>0.0</v>
      </c>
      <c r="G710" s="4"/>
    </row>
    <row r="711">
      <c r="A711" s="4" t="s">
        <v>4</v>
      </c>
      <c r="B711" s="12">
        <v>43087.0</v>
      </c>
      <c r="C711" s="12">
        <v>43093.0</v>
      </c>
      <c r="D711" s="4">
        <v>51.0</v>
      </c>
      <c r="E711" s="4">
        <v>1804.0</v>
      </c>
      <c r="F711" s="4">
        <v>0.0</v>
      </c>
      <c r="G711" s="4"/>
    </row>
    <row r="712">
      <c r="A712" s="4" t="s">
        <v>4</v>
      </c>
      <c r="B712" s="12">
        <v>43094.0</v>
      </c>
      <c r="C712" s="12">
        <v>43100.0</v>
      </c>
      <c r="D712" s="4">
        <v>52.0</v>
      </c>
      <c r="E712" s="4">
        <v>1707.0</v>
      </c>
      <c r="F712" s="4">
        <v>0.0</v>
      </c>
      <c r="G712" s="4"/>
    </row>
    <row r="713">
      <c r="A713" s="4" t="s">
        <v>4</v>
      </c>
      <c r="B713" s="11">
        <v>43101.0</v>
      </c>
      <c r="C713" s="11">
        <v>43107.0</v>
      </c>
      <c r="D713" s="4">
        <v>1.0</v>
      </c>
      <c r="E713" s="4">
        <v>1946.0</v>
      </c>
      <c r="F713" s="4">
        <v>0.0</v>
      </c>
      <c r="G713" s="4"/>
    </row>
    <row r="714">
      <c r="A714" s="4" t="s">
        <v>4</v>
      </c>
      <c r="B714" s="11">
        <v>43108.0</v>
      </c>
      <c r="C714" s="11">
        <v>43114.0</v>
      </c>
      <c r="D714" s="4">
        <v>2.0</v>
      </c>
      <c r="E714" s="4">
        <v>1804.0</v>
      </c>
      <c r="F714" s="4">
        <v>0.0</v>
      </c>
      <c r="G714" s="4"/>
    </row>
    <row r="715">
      <c r="A715" s="4" t="s">
        <v>4</v>
      </c>
      <c r="B715" s="11">
        <v>43115.0</v>
      </c>
      <c r="C715" s="11">
        <v>43121.0</v>
      </c>
      <c r="D715" s="4">
        <v>3.0</v>
      </c>
      <c r="E715" s="4">
        <v>1804.0</v>
      </c>
      <c r="F715" s="4">
        <v>0.0</v>
      </c>
      <c r="G715" s="4"/>
    </row>
    <row r="716">
      <c r="A716" s="4" t="s">
        <v>4</v>
      </c>
      <c r="B716" s="11">
        <v>43122.0</v>
      </c>
      <c r="C716" s="11">
        <v>43128.0</v>
      </c>
      <c r="D716" s="4">
        <v>4.0</v>
      </c>
      <c r="E716" s="4">
        <v>1776.0</v>
      </c>
      <c r="F716" s="4">
        <v>0.0</v>
      </c>
      <c r="G716" s="4"/>
    </row>
    <row r="717">
      <c r="A717" s="4" t="s">
        <v>4</v>
      </c>
      <c r="B717" s="11">
        <v>43129.0</v>
      </c>
      <c r="C717" s="11">
        <v>43135.0</v>
      </c>
      <c r="D717" s="4">
        <v>5.0</v>
      </c>
      <c r="E717" s="4">
        <v>1895.0</v>
      </c>
      <c r="F717" s="4">
        <v>0.0</v>
      </c>
      <c r="G717" s="4"/>
    </row>
    <row r="718">
      <c r="A718" s="4" t="s">
        <v>4</v>
      </c>
      <c r="B718" s="11">
        <v>43136.0</v>
      </c>
      <c r="C718" s="11">
        <v>43142.0</v>
      </c>
      <c r="D718" s="4">
        <v>6.0</v>
      </c>
      <c r="E718" s="4">
        <v>1817.0</v>
      </c>
      <c r="F718" s="4">
        <v>0.0</v>
      </c>
      <c r="G718" s="4"/>
    </row>
    <row r="719">
      <c r="A719" s="4" t="s">
        <v>4</v>
      </c>
      <c r="B719" s="11">
        <v>43143.0</v>
      </c>
      <c r="C719" s="11">
        <v>43149.0</v>
      </c>
      <c r="D719" s="4">
        <v>7.0</v>
      </c>
      <c r="E719" s="4">
        <v>1885.0</v>
      </c>
      <c r="F719" s="4">
        <v>0.0</v>
      </c>
      <c r="G719" s="4"/>
    </row>
    <row r="720">
      <c r="A720" s="4" t="s">
        <v>4</v>
      </c>
      <c r="B720" s="11">
        <v>43150.0</v>
      </c>
      <c r="C720" s="11">
        <v>43156.0</v>
      </c>
      <c r="D720" s="4">
        <v>8.0</v>
      </c>
      <c r="E720" s="4">
        <v>1809.0</v>
      </c>
      <c r="F720" s="4">
        <v>0.0</v>
      </c>
      <c r="G720" s="4"/>
    </row>
    <row r="721">
      <c r="A721" s="4" t="s">
        <v>4</v>
      </c>
      <c r="B721" s="11">
        <v>43157.0</v>
      </c>
      <c r="C721" s="11">
        <v>43163.0</v>
      </c>
      <c r="D721" s="4">
        <v>9.0</v>
      </c>
      <c r="E721" s="4">
        <v>1782.0</v>
      </c>
      <c r="F721" s="4">
        <v>0.0</v>
      </c>
      <c r="G721" s="4"/>
    </row>
    <row r="722">
      <c r="A722" s="4" t="s">
        <v>4</v>
      </c>
      <c r="B722" s="11">
        <v>43164.0</v>
      </c>
      <c r="C722" s="11">
        <v>43170.0</v>
      </c>
      <c r="D722" s="4">
        <v>10.0</v>
      </c>
      <c r="E722" s="4">
        <v>1870.0</v>
      </c>
      <c r="F722" s="4">
        <v>0.0</v>
      </c>
      <c r="G722" s="4"/>
    </row>
    <row r="723">
      <c r="A723" s="4" t="s">
        <v>4</v>
      </c>
      <c r="B723" s="11">
        <v>43171.0</v>
      </c>
      <c r="C723" s="11">
        <v>43177.0</v>
      </c>
      <c r="D723" s="4">
        <v>11.0</v>
      </c>
      <c r="E723" s="4">
        <v>1789.0</v>
      </c>
      <c r="F723" s="4">
        <v>0.0</v>
      </c>
      <c r="G723" s="4"/>
    </row>
    <row r="724">
      <c r="A724" s="4" t="s">
        <v>4</v>
      </c>
      <c r="B724" s="11">
        <v>43178.0</v>
      </c>
      <c r="C724" s="11">
        <v>43184.0</v>
      </c>
      <c r="D724" s="4">
        <v>12.0</v>
      </c>
      <c r="E724" s="4">
        <v>1819.0</v>
      </c>
      <c r="F724" s="4">
        <v>0.0</v>
      </c>
      <c r="G724" s="4"/>
    </row>
    <row r="725">
      <c r="A725" s="4" t="s">
        <v>4</v>
      </c>
      <c r="B725" s="11">
        <v>43185.0</v>
      </c>
      <c r="C725" s="11">
        <v>43191.0</v>
      </c>
      <c r="D725" s="4">
        <v>13.0</v>
      </c>
      <c r="E725" s="4">
        <v>1961.0</v>
      </c>
      <c r="F725" s="4">
        <v>0.0</v>
      </c>
      <c r="G725" s="4"/>
    </row>
    <row r="726">
      <c r="A726" s="4" t="s">
        <v>4</v>
      </c>
      <c r="B726" s="11">
        <v>43192.0</v>
      </c>
      <c r="C726" s="11">
        <v>43198.0</v>
      </c>
      <c r="D726" s="4">
        <v>14.0</v>
      </c>
      <c r="E726" s="4">
        <v>1903.0</v>
      </c>
      <c r="F726" s="4">
        <v>0.0</v>
      </c>
      <c r="G726" s="4"/>
    </row>
    <row r="727">
      <c r="A727" s="4" t="s">
        <v>4</v>
      </c>
      <c r="B727" s="11">
        <v>43199.0</v>
      </c>
      <c r="C727" s="11">
        <v>43205.0</v>
      </c>
      <c r="D727" s="4">
        <v>15.0</v>
      </c>
      <c r="E727" s="4">
        <v>1939.0</v>
      </c>
      <c r="F727" s="4">
        <v>0.0</v>
      </c>
      <c r="G727" s="4"/>
    </row>
    <row r="728">
      <c r="A728" s="4" t="s">
        <v>4</v>
      </c>
      <c r="B728" s="11">
        <v>43206.0</v>
      </c>
      <c r="C728" s="11">
        <v>43212.0</v>
      </c>
      <c r="D728" s="4">
        <v>16.0</v>
      </c>
      <c r="E728" s="4">
        <v>1920.0</v>
      </c>
      <c r="F728" s="4">
        <v>0.0</v>
      </c>
      <c r="G728" s="4"/>
    </row>
    <row r="729">
      <c r="A729" s="4" t="s">
        <v>4</v>
      </c>
      <c r="B729" s="11">
        <v>43213.0</v>
      </c>
      <c r="C729" s="11">
        <v>43219.0</v>
      </c>
      <c r="D729" s="4">
        <v>17.0</v>
      </c>
      <c r="E729" s="4">
        <v>1917.0</v>
      </c>
      <c r="F729" s="4">
        <v>0.0</v>
      </c>
      <c r="G729" s="4"/>
    </row>
    <row r="730">
      <c r="A730" s="4" t="s">
        <v>4</v>
      </c>
      <c r="B730" s="11">
        <v>43220.0</v>
      </c>
      <c r="C730" s="11">
        <v>43226.0</v>
      </c>
      <c r="D730" s="4">
        <v>18.0</v>
      </c>
      <c r="E730" s="4">
        <v>1976.0</v>
      </c>
      <c r="F730" s="4">
        <v>0.0</v>
      </c>
      <c r="G730" s="4"/>
    </row>
    <row r="731">
      <c r="A731" s="4" t="s">
        <v>4</v>
      </c>
      <c r="B731" s="11">
        <v>43227.0</v>
      </c>
      <c r="C731" s="11">
        <v>43233.0</v>
      </c>
      <c r="D731" s="4">
        <v>19.0</v>
      </c>
      <c r="E731" s="4">
        <v>1864.0</v>
      </c>
      <c r="F731" s="4">
        <v>0.0</v>
      </c>
      <c r="G731" s="4"/>
    </row>
    <row r="732">
      <c r="A732" s="4" t="s">
        <v>4</v>
      </c>
      <c r="B732" s="11">
        <v>43234.0</v>
      </c>
      <c r="C732" s="11">
        <v>43240.0</v>
      </c>
      <c r="D732" s="4">
        <v>20.0</v>
      </c>
      <c r="E732" s="4">
        <v>2024.0</v>
      </c>
      <c r="F732" s="4">
        <v>0.0</v>
      </c>
      <c r="G732" s="4"/>
    </row>
    <row r="733">
      <c r="A733" s="4" t="s">
        <v>4</v>
      </c>
      <c r="B733" s="11">
        <v>43241.0</v>
      </c>
      <c r="C733" s="11">
        <v>43247.0</v>
      </c>
      <c r="D733" s="4">
        <v>21.0</v>
      </c>
      <c r="E733" s="4">
        <v>2088.0</v>
      </c>
      <c r="F733" s="4">
        <v>0.0</v>
      </c>
      <c r="G733" s="4"/>
    </row>
    <row r="734">
      <c r="A734" s="4" t="s">
        <v>4</v>
      </c>
      <c r="B734" s="11">
        <v>43248.0</v>
      </c>
      <c r="C734" s="11">
        <v>43254.0</v>
      </c>
      <c r="D734" s="4">
        <v>22.0</v>
      </c>
      <c r="E734" s="4">
        <v>2123.0</v>
      </c>
      <c r="F734" s="4">
        <v>0.0</v>
      </c>
      <c r="G734" s="4"/>
    </row>
    <row r="735">
      <c r="A735" s="4" t="s">
        <v>4</v>
      </c>
      <c r="B735" s="11">
        <v>43255.0</v>
      </c>
      <c r="C735" s="11">
        <v>43261.0</v>
      </c>
      <c r="D735" s="4">
        <v>23.0</v>
      </c>
      <c r="E735" s="4">
        <v>2368.0</v>
      </c>
      <c r="F735" s="4">
        <v>0.0</v>
      </c>
      <c r="G735" s="4"/>
    </row>
    <row r="736">
      <c r="A736" s="4" t="s">
        <v>4</v>
      </c>
      <c r="B736" s="11">
        <v>43262.0</v>
      </c>
      <c r="C736" s="11">
        <v>43268.0</v>
      </c>
      <c r="D736" s="4">
        <v>24.0</v>
      </c>
      <c r="E736" s="4">
        <v>2431.0</v>
      </c>
      <c r="F736" s="4">
        <v>0.0</v>
      </c>
      <c r="G736" s="4"/>
    </row>
    <row r="737">
      <c r="A737" s="4" t="s">
        <v>4</v>
      </c>
      <c r="B737" s="11">
        <v>43269.0</v>
      </c>
      <c r="C737" s="11">
        <v>43275.0</v>
      </c>
      <c r="D737" s="4">
        <v>25.0</v>
      </c>
      <c r="E737" s="4">
        <v>2247.0</v>
      </c>
      <c r="F737" s="4">
        <v>0.0</v>
      </c>
      <c r="G737" s="4"/>
    </row>
    <row r="738">
      <c r="A738" s="4" t="s">
        <v>4</v>
      </c>
      <c r="B738" s="11">
        <v>43276.0</v>
      </c>
      <c r="C738" s="11">
        <v>43282.0</v>
      </c>
      <c r="D738" s="4">
        <v>26.0</v>
      </c>
      <c r="E738" s="4">
        <v>2359.0</v>
      </c>
      <c r="F738" s="4">
        <v>0.0</v>
      </c>
      <c r="G738" s="4"/>
    </row>
    <row r="739">
      <c r="A739" s="4" t="s">
        <v>4</v>
      </c>
      <c r="B739" s="11">
        <v>43283.0</v>
      </c>
      <c r="C739" s="11">
        <v>43289.0</v>
      </c>
      <c r="D739" s="4">
        <v>27.0</v>
      </c>
      <c r="E739" s="4">
        <v>2334.0</v>
      </c>
      <c r="F739" s="4">
        <v>0.0</v>
      </c>
      <c r="G739" s="4"/>
    </row>
    <row r="740">
      <c r="A740" s="4" t="s">
        <v>4</v>
      </c>
      <c r="B740" s="11">
        <v>43290.0</v>
      </c>
      <c r="C740" s="11">
        <v>43296.0</v>
      </c>
      <c r="D740" s="4">
        <v>28.0</v>
      </c>
      <c r="E740" s="4">
        <v>2276.0</v>
      </c>
      <c r="F740" s="4">
        <v>0.0</v>
      </c>
      <c r="G740" s="4"/>
    </row>
    <row r="741">
      <c r="A741" s="4" t="s">
        <v>4</v>
      </c>
      <c r="B741" s="11">
        <v>43297.0</v>
      </c>
      <c r="C741" s="11">
        <v>43303.0</v>
      </c>
      <c r="D741" s="4">
        <v>29.0</v>
      </c>
      <c r="E741" s="4">
        <v>2334.0</v>
      </c>
      <c r="F741" s="4">
        <v>0.0</v>
      </c>
      <c r="G741" s="4"/>
    </row>
    <row r="742">
      <c r="A742" s="4" t="s">
        <v>4</v>
      </c>
      <c r="B742" s="11">
        <v>43304.0</v>
      </c>
      <c r="C742" s="11">
        <v>43310.0</v>
      </c>
      <c r="D742" s="4">
        <v>30.0</v>
      </c>
      <c r="E742" s="4">
        <v>2496.0</v>
      </c>
      <c r="F742" s="4">
        <v>0.0</v>
      </c>
      <c r="G742" s="4"/>
    </row>
    <row r="743">
      <c r="A743" s="4" t="s">
        <v>4</v>
      </c>
      <c r="B743" s="11">
        <v>43311.0</v>
      </c>
      <c r="C743" s="11">
        <v>43317.0</v>
      </c>
      <c r="D743" s="4">
        <v>31.0</v>
      </c>
      <c r="E743" s="4">
        <v>2514.0</v>
      </c>
      <c r="F743" s="4">
        <v>0.0</v>
      </c>
      <c r="G743" s="4"/>
    </row>
    <row r="744">
      <c r="A744" s="4" t="s">
        <v>4</v>
      </c>
      <c r="B744" s="11">
        <v>43318.0</v>
      </c>
      <c r="C744" s="11">
        <v>43324.0</v>
      </c>
      <c r="D744" s="4">
        <v>32.0</v>
      </c>
      <c r="E744" s="4">
        <v>2448.0</v>
      </c>
      <c r="F744" s="4">
        <v>0.0</v>
      </c>
      <c r="G744" s="4"/>
    </row>
    <row r="745">
      <c r="A745" s="4" t="s">
        <v>4</v>
      </c>
      <c r="B745" s="11">
        <v>43325.0</v>
      </c>
      <c r="C745" s="11">
        <v>43331.0</v>
      </c>
      <c r="D745" s="4">
        <v>33.0</v>
      </c>
      <c r="E745" s="4">
        <v>2306.0</v>
      </c>
      <c r="F745" s="4">
        <v>0.0</v>
      </c>
      <c r="G745" s="4"/>
    </row>
    <row r="746">
      <c r="A746" s="4" t="s">
        <v>4</v>
      </c>
      <c r="B746" s="11">
        <v>43332.0</v>
      </c>
      <c r="C746" s="11">
        <v>43338.0</v>
      </c>
      <c r="D746" s="4">
        <v>34.0</v>
      </c>
      <c r="E746" s="4">
        <v>2388.0</v>
      </c>
      <c r="F746" s="4">
        <v>0.0</v>
      </c>
      <c r="G746" s="4"/>
    </row>
    <row r="747">
      <c r="A747" s="4" t="s">
        <v>4</v>
      </c>
      <c r="B747" s="11">
        <v>43339.0</v>
      </c>
      <c r="C747" s="11">
        <v>43345.0</v>
      </c>
      <c r="D747" s="4">
        <v>35.0</v>
      </c>
      <c r="E747" s="4">
        <v>2178.0</v>
      </c>
      <c r="F747" s="4">
        <v>0.0</v>
      </c>
      <c r="G747" s="4"/>
    </row>
    <row r="748">
      <c r="A748" s="4" t="s">
        <v>4</v>
      </c>
      <c r="B748" s="11">
        <v>43346.0</v>
      </c>
      <c r="C748" s="11">
        <v>43352.0</v>
      </c>
      <c r="D748" s="4">
        <v>36.0</v>
      </c>
      <c r="E748" s="4">
        <v>2238.0</v>
      </c>
      <c r="F748" s="4">
        <v>0.0</v>
      </c>
      <c r="G748" s="4"/>
    </row>
    <row r="749">
      <c r="A749" s="4" t="s">
        <v>4</v>
      </c>
      <c r="B749" s="11">
        <v>43353.0</v>
      </c>
      <c r="C749" s="11">
        <v>43359.0</v>
      </c>
      <c r="D749" s="4">
        <v>37.0</v>
      </c>
      <c r="E749" s="4">
        <v>2140.0</v>
      </c>
      <c r="F749" s="4">
        <v>0.0</v>
      </c>
      <c r="G749" s="4"/>
    </row>
    <row r="750">
      <c r="A750" s="4" t="s">
        <v>4</v>
      </c>
      <c r="B750" s="11">
        <v>43360.0</v>
      </c>
      <c r="C750" s="11">
        <v>43366.0</v>
      </c>
      <c r="D750" s="4">
        <v>38.0</v>
      </c>
      <c r="E750" s="4">
        <v>2217.0</v>
      </c>
      <c r="F750" s="4">
        <v>0.0</v>
      </c>
      <c r="G750" s="4"/>
    </row>
    <row r="751">
      <c r="A751" s="4" t="s">
        <v>4</v>
      </c>
      <c r="B751" s="11">
        <v>43367.0</v>
      </c>
      <c r="C751" s="11">
        <v>43373.0</v>
      </c>
      <c r="D751" s="4">
        <v>39.0</v>
      </c>
      <c r="E751" s="4">
        <v>2046.0</v>
      </c>
      <c r="F751" s="4">
        <v>0.0</v>
      </c>
      <c r="G751" s="4"/>
    </row>
    <row r="752">
      <c r="A752" s="4" t="s">
        <v>4</v>
      </c>
      <c r="B752" s="12">
        <v>43374.0</v>
      </c>
      <c r="C752" s="12">
        <v>43380.0</v>
      </c>
      <c r="D752" s="4">
        <v>40.0</v>
      </c>
      <c r="E752" s="4">
        <v>2058.0</v>
      </c>
      <c r="F752" s="4">
        <v>0.0</v>
      </c>
      <c r="G752" s="4"/>
    </row>
    <row r="753">
      <c r="A753" s="4" t="s">
        <v>4</v>
      </c>
      <c r="B753" s="12">
        <v>43381.0</v>
      </c>
      <c r="C753" s="12">
        <v>43387.0</v>
      </c>
      <c r="D753" s="4">
        <v>41.0</v>
      </c>
      <c r="E753" s="4">
        <v>1986.0</v>
      </c>
      <c r="F753" s="4">
        <v>0.0</v>
      </c>
      <c r="G753" s="4"/>
    </row>
    <row r="754">
      <c r="A754" s="4" t="s">
        <v>4</v>
      </c>
      <c r="B754" s="12">
        <v>43388.0</v>
      </c>
      <c r="C754" s="12">
        <v>43394.0</v>
      </c>
      <c r="D754" s="4">
        <v>42.0</v>
      </c>
      <c r="E754" s="4">
        <v>2002.0</v>
      </c>
      <c r="F754" s="4">
        <v>0.0</v>
      </c>
      <c r="G754" s="4"/>
    </row>
    <row r="755">
      <c r="A755" s="4" t="s">
        <v>4</v>
      </c>
      <c r="B755" s="12">
        <v>43395.0</v>
      </c>
      <c r="C755" s="12">
        <v>43401.0</v>
      </c>
      <c r="D755" s="4">
        <v>43.0</v>
      </c>
      <c r="E755" s="4">
        <v>2030.0</v>
      </c>
      <c r="F755" s="4">
        <v>0.0</v>
      </c>
      <c r="G755" s="4"/>
    </row>
    <row r="756">
      <c r="A756" s="4" t="s">
        <v>4</v>
      </c>
      <c r="B756" s="12">
        <v>43402.0</v>
      </c>
      <c r="C756" s="12">
        <v>43408.0</v>
      </c>
      <c r="D756" s="4">
        <v>44.0</v>
      </c>
      <c r="E756" s="4">
        <v>1940.0</v>
      </c>
      <c r="F756" s="4">
        <v>0.0</v>
      </c>
      <c r="G756" s="4"/>
    </row>
    <row r="757">
      <c r="A757" s="4" t="s">
        <v>4</v>
      </c>
      <c r="B757" s="12">
        <v>43409.0</v>
      </c>
      <c r="C757" s="12">
        <v>43415.0</v>
      </c>
      <c r="D757" s="4">
        <v>45.0</v>
      </c>
      <c r="E757" s="4">
        <v>1960.0</v>
      </c>
      <c r="F757" s="4">
        <v>0.0</v>
      </c>
      <c r="G757" s="4"/>
    </row>
    <row r="758">
      <c r="A758" s="4" t="s">
        <v>4</v>
      </c>
      <c r="B758" s="12">
        <v>43416.0</v>
      </c>
      <c r="C758" s="12">
        <v>43422.0</v>
      </c>
      <c r="D758" s="4">
        <v>46.0</v>
      </c>
      <c r="E758" s="4">
        <v>1945.0</v>
      </c>
      <c r="F758" s="4">
        <v>0.0</v>
      </c>
      <c r="G758" s="4"/>
    </row>
    <row r="759">
      <c r="A759" s="4" t="s">
        <v>4</v>
      </c>
      <c r="B759" s="12">
        <v>43423.0</v>
      </c>
      <c r="C759" s="12">
        <v>43429.0</v>
      </c>
      <c r="D759" s="4">
        <v>47.0</v>
      </c>
      <c r="E759" s="4">
        <v>1992.0</v>
      </c>
      <c r="F759" s="4">
        <v>0.0</v>
      </c>
      <c r="G759" s="4"/>
    </row>
    <row r="760">
      <c r="A760" s="4" t="s">
        <v>4</v>
      </c>
      <c r="B760" s="12">
        <v>43430.0</v>
      </c>
      <c r="C760" s="12">
        <v>43436.0</v>
      </c>
      <c r="D760" s="4">
        <v>48.0</v>
      </c>
      <c r="E760" s="4">
        <v>1924.0</v>
      </c>
      <c r="F760" s="4">
        <v>0.0</v>
      </c>
      <c r="G760" s="4"/>
    </row>
    <row r="761">
      <c r="A761" s="4" t="s">
        <v>4</v>
      </c>
      <c r="B761" s="12">
        <v>43437.0</v>
      </c>
      <c r="C761" s="12">
        <v>43443.0</v>
      </c>
      <c r="D761" s="4">
        <v>49.0</v>
      </c>
      <c r="E761" s="4">
        <v>1852.0</v>
      </c>
      <c r="F761" s="4">
        <v>0.0</v>
      </c>
      <c r="G761" s="4"/>
    </row>
    <row r="762">
      <c r="A762" s="4" t="s">
        <v>4</v>
      </c>
      <c r="B762" s="12">
        <v>43444.0</v>
      </c>
      <c r="C762" s="12">
        <v>43450.0</v>
      </c>
      <c r="D762" s="4">
        <v>50.0</v>
      </c>
      <c r="E762" s="4">
        <v>1910.0</v>
      </c>
      <c r="F762" s="4">
        <v>0.0</v>
      </c>
      <c r="G762" s="4"/>
    </row>
    <row r="763">
      <c r="A763" s="4" t="s">
        <v>4</v>
      </c>
      <c r="B763" s="12">
        <v>43451.0</v>
      </c>
      <c r="C763" s="12">
        <v>43457.0</v>
      </c>
      <c r="D763" s="4">
        <v>51.0</v>
      </c>
      <c r="E763" s="4">
        <v>1941.0</v>
      </c>
      <c r="F763" s="4">
        <v>0.0</v>
      </c>
      <c r="G763" s="4"/>
    </row>
    <row r="764">
      <c r="A764" s="4" t="s">
        <v>4</v>
      </c>
      <c r="B764" s="12">
        <v>43458.0</v>
      </c>
      <c r="C764" s="12">
        <v>43464.0</v>
      </c>
      <c r="D764" s="4">
        <v>52.0</v>
      </c>
      <c r="E764" s="4">
        <v>1887.0</v>
      </c>
      <c r="F764" s="4">
        <v>0.0</v>
      </c>
      <c r="G764" s="4"/>
    </row>
    <row r="765">
      <c r="A765" s="4" t="s">
        <v>4</v>
      </c>
      <c r="B765" s="12">
        <v>43465.0</v>
      </c>
      <c r="C765" s="11">
        <v>43471.0</v>
      </c>
      <c r="D765" s="4">
        <v>1.0</v>
      </c>
      <c r="E765" s="4">
        <v>2020.0</v>
      </c>
      <c r="F765" s="4">
        <v>0.0</v>
      </c>
      <c r="G765" s="4"/>
    </row>
    <row r="766">
      <c r="A766" s="4" t="s">
        <v>4</v>
      </c>
      <c r="B766" s="11">
        <v>43472.0</v>
      </c>
      <c r="C766" s="11">
        <v>43478.0</v>
      </c>
      <c r="D766" s="4">
        <v>2.0</v>
      </c>
      <c r="E766" s="4">
        <v>1818.0</v>
      </c>
      <c r="F766" s="4">
        <v>0.0</v>
      </c>
      <c r="G766" s="4"/>
    </row>
    <row r="767">
      <c r="A767" s="4" t="s">
        <v>4</v>
      </c>
      <c r="B767" s="11">
        <v>43479.0</v>
      </c>
      <c r="C767" s="11">
        <v>43485.0</v>
      </c>
      <c r="D767" s="4">
        <v>3.0</v>
      </c>
      <c r="E767" s="4">
        <v>1819.0</v>
      </c>
      <c r="F767" s="4">
        <v>0.0</v>
      </c>
      <c r="G767" s="4"/>
    </row>
    <row r="768">
      <c r="A768" s="4" t="s">
        <v>4</v>
      </c>
      <c r="B768" s="11">
        <v>43486.0</v>
      </c>
      <c r="C768" s="11">
        <v>43492.0</v>
      </c>
      <c r="D768" s="4">
        <v>4.0</v>
      </c>
      <c r="E768" s="4">
        <v>1945.0</v>
      </c>
      <c r="F768" s="4">
        <v>0.0</v>
      </c>
      <c r="G768" s="4"/>
    </row>
    <row r="769">
      <c r="A769" s="4" t="s">
        <v>4</v>
      </c>
      <c r="B769" s="11">
        <v>43493.0</v>
      </c>
      <c r="C769" s="11">
        <v>43499.0</v>
      </c>
      <c r="D769" s="4">
        <v>5.0</v>
      </c>
      <c r="E769" s="4">
        <v>1961.0</v>
      </c>
      <c r="F769" s="4">
        <v>0.0</v>
      </c>
      <c r="G769" s="4"/>
    </row>
    <row r="770">
      <c r="A770" s="4" t="s">
        <v>4</v>
      </c>
      <c r="B770" s="11">
        <v>43500.0</v>
      </c>
      <c r="C770" s="11">
        <v>43506.0</v>
      </c>
      <c r="D770" s="4">
        <v>6.0</v>
      </c>
      <c r="E770" s="4">
        <v>2023.0</v>
      </c>
      <c r="F770" s="4">
        <v>0.0</v>
      </c>
      <c r="G770" s="4"/>
    </row>
    <row r="771">
      <c r="A771" s="4" t="s">
        <v>4</v>
      </c>
      <c r="B771" s="11">
        <v>43507.0</v>
      </c>
      <c r="C771" s="11">
        <v>43513.0</v>
      </c>
      <c r="D771" s="4">
        <v>7.0</v>
      </c>
      <c r="E771" s="4">
        <v>1875.0</v>
      </c>
      <c r="F771" s="4">
        <v>0.0</v>
      </c>
      <c r="G771" s="4"/>
    </row>
    <row r="772">
      <c r="A772" s="4" t="s">
        <v>4</v>
      </c>
      <c r="B772" s="11">
        <v>43514.0</v>
      </c>
      <c r="C772" s="11">
        <v>43520.0</v>
      </c>
      <c r="D772" s="4">
        <v>8.0</v>
      </c>
      <c r="E772" s="4">
        <v>1931.0</v>
      </c>
      <c r="F772" s="4">
        <v>0.0</v>
      </c>
      <c r="G772" s="4"/>
    </row>
    <row r="773">
      <c r="A773" s="4" t="s">
        <v>4</v>
      </c>
      <c r="B773" s="11">
        <v>43521.0</v>
      </c>
      <c r="C773" s="11">
        <v>43527.0</v>
      </c>
      <c r="D773" s="4">
        <v>9.0</v>
      </c>
      <c r="E773" s="4">
        <v>1862.0</v>
      </c>
      <c r="F773" s="4">
        <v>0.0</v>
      </c>
      <c r="G773" s="4"/>
    </row>
    <row r="774">
      <c r="A774" s="4" t="s">
        <v>4</v>
      </c>
      <c r="B774" s="11">
        <v>43528.0</v>
      </c>
      <c r="C774" s="11">
        <v>43534.0</v>
      </c>
      <c r="D774" s="4">
        <v>10.0</v>
      </c>
      <c r="E774" s="4">
        <v>1795.0</v>
      </c>
      <c r="F774" s="4">
        <v>0.0</v>
      </c>
      <c r="G774" s="4"/>
    </row>
    <row r="775">
      <c r="A775" s="4" t="s">
        <v>4</v>
      </c>
      <c r="B775" s="11">
        <v>43535.0</v>
      </c>
      <c r="C775" s="11">
        <v>43541.0</v>
      </c>
      <c r="D775" s="4">
        <v>11.0</v>
      </c>
      <c r="E775" s="4">
        <v>1867.0</v>
      </c>
      <c r="F775" s="4">
        <v>0.0</v>
      </c>
      <c r="G775" s="4"/>
    </row>
    <row r="776">
      <c r="A776" s="4" t="s">
        <v>4</v>
      </c>
      <c r="B776" s="11">
        <v>43542.0</v>
      </c>
      <c r="C776" s="11">
        <v>43548.0</v>
      </c>
      <c r="D776" s="4">
        <v>12.0</v>
      </c>
      <c r="E776" s="4">
        <v>1877.0</v>
      </c>
      <c r="F776" s="4">
        <v>0.0</v>
      </c>
      <c r="G776" s="4"/>
    </row>
    <row r="777">
      <c r="A777" s="4" t="s">
        <v>4</v>
      </c>
      <c r="B777" s="11">
        <v>43549.0</v>
      </c>
      <c r="C777" s="11">
        <v>43555.0</v>
      </c>
      <c r="D777" s="4">
        <v>13.0</v>
      </c>
      <c r="E777" s="4">
        <v>1848.0</v>
      </c>
      <c r="F777" s="4">
        <v>0.0</v>
      </c>
      <c r="G777" s="4"/>
    </row>
    <row r="778">
      <c r="A778" s="4" t="s">
        <v>4</v>
      </c>
      <c r="B778" s="11">
        <v>43556.0</v>
      </c>
      <c r="C778" s="11">
        <v>43562.0</v>
      </c>
      <c r="D778" s="4">
        <v>14.0</v>
      </c>
      <c r="E778" s="4">
        <v>1959.0</v>
      </c>
      <c r="F778" s="4">
        <v>0.0</v>
      </c>
      <c r="G778" s="4"/>
    </row>
    <row r="779">
      <c r="A779" s="4" t="s">
        <v>4</v>
      </c>
      <c r="B779" s="11">
        <v>43563.0</v>
      </c>
      <c r="C779" s="11">
        <v>43569.0</v>
      </c>
      <c r="D779" s="4">
        <v>15.0</v>
      </c>
      <c r="E779" s="4">
        <v>1973.0</v>
      </c>
      <c r="F779" s="4">
        <v>0.0</v>
      </c>
      <c r="G779" s="4"/>
    </row>
    <row r="780">
      <c r="A780" s="4" t="s">
        <v>4</v>
      </c>
      <c r="B780" s="11">
        <v>43570.0</v>
      </c>
      <c r="C780" s="11">
        <v>43576.0</v>
      </c>
      <c r="D780" s="4">
        <v>16.0</v>
      </c>
      <c r="E780" s="4">
        <v>1980.0</v>
      </c>
      <c r="F780" s="4">
        <v>0.0</v>
      </c>
      <c r="G780" s="4"/>
    </row>
    <row r="781">
      <c r="A781" s="4" t="s">
        <v>4</v>
      </c>
      <c r="B781" s="11">
        <v>43577.0</v>
      </c>
      <c r="C781" s="11">
        <v>43583.0</v>
      </c>
      <c r="D781" s="4">
        <v>17.0</v>
      </c>
      <c r="E781" s="4">
        <v>2033.0</v>
      </c>
      <c r="F781" s="4">
        <v>0.0</v>
      </c>
      <c r="G781" s="4"/>
    </row>
    <row r="782">
      <c r="A782" s="4" t="s">
        <v>4</v>
      </c>
      <c r="B782" s="11">
        <v>43584.0</v>
      </c>
      <c r="C782" s="11">
        <v>43590.0</v>
      </c>
      <c r="D782" s="4">
        <v>18.0</v>
      </c>
      <c r="E782" s="4">
        <v>2095.0</v>
      </c>
      <c r="F782" s="4">
        <v>0.0</v>
      </c>
      <c r="G782" s="4"/>
    </row>
    <row r="783">
      <c r="A783" s="4" t="s">
        <v>4</v>
      </c>
      <c r="B783" s="11">
        <v>43591.0</v>
      </c>
      <c r="C783" s="11">
        <v>43597.0</v>
      </c>
      <c r="D783" s="4">
        <v>19.0</v>
      </c>
      <c r="E783" s="4">
        <v>2072.0</v>
      </c>
      <c r="F783" s="4">
        <v>0.0</v>
      </c>
      <c r="G783" s="4"/>
    </row>
    <row r="784">
      <c r="A784" s="4" t="s">
        <v>4</v>
      </c>
      <c r="B784" s="11">
        <v>43598.0</v>
      </c>
      <c r="C784" s="11">
        <v>43604.0</v>
      </c>
      <c r="D784" s="4">
        <v>20.0</v>
      </c>
      <c r="E784" s="4">
        <v>2147.0</v>
      </c>
      <c r="F784" s="4">
        <v>0.0</v>
      </c>
      <c r="G784" s="4"/>
    </row>
    <row r="785">
      <c r="A785" s="4" t="s">
        <v>4</v>
      </c>
      <c r="B785" s="11">
        <v>43605.0</v>
      </c>
      <c r="C785" s="11">
        <v>43611.0</v>
      </c>
      <c r="D785" s="4">
        <v>21.0</v>
      </c>
      <c r="E785" s="4">
        <v>2364.0</v>
      </c>
      <c r="F785" s="4">
        <v>0.0</v>
      </c>
      <c r="G785" s="4"/>
    </row>
    <row r="786">
      <c r="A786" s="4" t="s">
        <v>4</v>
      </c>
      <c r="B786" s="11">
        <v>43612.0</v>
      </c>
      <c r="C786" s="11">
        <v>43618.0</v>
      </c>
      <c r="D786" s="4">
        <v>22.0</v>
      </c>
      <c r="E786" s="4">
        <v>2354.0</v>
      </c>
      <c r="F786" s="4">
        <v>0.0</v>
      </c>
      <c r="G786" s="4"/>
    </row>
    <row r="787">
      <c r="A787" s="4" t="s">
        <v>4</v>
      </c>
      <c r="B787" s="11">
        <v>43619.0</v>
      </c>
      <c r="C787" s="11">
        <v>43625.0</v>
      </c>
      <c r="D787" s="4">
        <v>23.0</v>
      </c>
      <c r="E787" s="4">
        <v>2324.0</v>
      </c>
      <c r="F787" s="4">
        <v>0.0</v>
      </c>
      <c r="G787" s="4"/>
    </row>
    <row r="788">
      <c r="A788" s="4" t="s">
        <v>4</v>
      </c>
      <c r="B788" s="11">
        <v>43626.0</v>
      </c>
      <c r="C788" s="11">
        <v>43632.0</v>
      </c>
      <c r="D788" s="4">
        <v>24.0</v>
      </c>
      <c r="E788" s="4">
        <v>2429.0</v>
      </c>
      <c r="F788" s="4">
        <v>0.0</v>
      </c>
      <c r="G788" s="4"/>
    </row>
    <row r="789">
      <c r="A789" s="4" t="s">
        <v>4</v>
      </c>
      <c r="B789" s="11">
        <v>43633.0</v>
      </c>
      <c r="C789" s="11">
        <v>43639.0</v>
      </c>
      <c r="D789" s="4">
        <v>25.0</v>
      </c>
      <c r="E789" s="4">
        <v>2477.0</v>
      </c>
      <c r="F789" s="4">
        <v>0.0</v>
      </c>
      <c r="G789" s="4"/>
    </row>
    <row r="790">
      <c r="A790" s="4" t="s">
        <v>4</v>
      </c>
      <c r="B790" s="11">
        <v>43640.0</v>
      </c>
      <c r="C790" s="11">
        <v>43646.0</v>
      </c>
      <c r="D790" s="4">
        <v>26.0</v>
      </c>
      <c r="E790" s="4">
        <v>2504.0</v>
      </c>
      <c r="F790" s="4">
        <v>0.0</v>
      </c>
      <c r="G790" s="4"/>
    </row>
    <row r="791">
      <c r="A791" s="4" t="s">
        <v>4</v>
      </c>
      <c r="B791" s="11">
        <v>43647.0</v>
      </c>
      <c r="C791" s="11">
        <v>43653.0</v>
      </c>
      <c r="D791" s="4">
        <v>27.0</v>
      </c>
      <c r="E791" s="4">
        <v>2458.0</v>
      </c>
      <c r="F791" s="4">
        <v>0.0</v>
      </c>
      <c r="G791" s="4"/>
    </row>
    <row r="792">
      <c r="A792" s="4" t="s">
        <v>4</v>
      </c>
      <c r="B792" s="11">
        <v>43654.0</v>
      </c>
      <c r="C792" s="11">
        <v>43660.0</v>
      </c>
      <c r="D792" s="4">
        <v>28.0</v>
      </c>
      <c r="E792" s="4">
        <v>2376.0</v>
      </c>
      <c r="F792" s="4">
        <v>0.0</v>
      </c>
      <c r="G792" s="4"/>
    </row>
    <row r="793">
      <c r="A793" s="4" t="s">
        <v>4</v>
      </c>
      <c r="B793" s="11">
        <v>43661.0</v>
      </c>
      <c r="C793" s="11">
        <v>43667.0</v>
      </c>
      <c r="D793" s="4">
        <v>29.0</v>
      </c>
      <c r="E793" s="4">
        <v>2420.0</v>
      </c>
      <c r="F793" s="4">
        <v>0.0</v>
      </c>
      <c r="G793" s="4"/>
    </row>
    <row r="794">
      <c r="A794" s="4" t="s">
        <v>4</v>
      </c>
      <c r="B794" s="11">
        <v>43668.0</v>
      </c>
      <c r="C794" s="11">
        <v>43674.0</v>
      </c>
      <c r="D794" s="4">
        <v>30.0</v>
      </c>
      <c r="E794" s="4">
        <v>2343.0</v>
      </c>
      <c r="F794" s="4">
        <v>0.0</v>
      </c>
      <c r="G794" s="4"/>
    </row>
    <row r="795">
      <c r="A795" s="4" t="s">
        <v>4</v>
      </c>
      <c r="B795" s="11">
        <v>43675.0</v>
      </c>
      <c r="C795" s="11">
        <v>43681.0</v>
      </c>
      <c r="D795" s="4">
        <v>31.0</v>
      </c>
      <c r="E795" s="4">
        <v>2341.0</v>
      </c>
      <c r="F795" s="4">
        <v>0.0</v>
      </c>
      <c r="G795" s="4"/>
    </row>
    <row r="796">
      <c r="A796" s="4" t="s">
        <v>4</v>
      </c>
      <c r="B796" s="11">
        <v>43682.0</v>
      </c>
      <c r="C796" s="11">
        <v>43688.0</v>
      </c>
      <c r="D796" s="4">
        <v>32.0</v>
      </c>
      <c r="E796" s="4">
        <v>2265.0</v>
      </c>
      <c r="F796" s="4">
        <v>0.0</v>
      </c>
      <c r="G796" s="4"/>
    </row>
    <row r="797">
      <c r="A797" s="4" t="s">
        <v>4</v>
      </c>
      <c r="B797" s="11">
        <v>43689.0</v>
      </c>
      <c r="C797" s="11">
        <v>43695.0</v>
      </c>
      <c r="D797" s="4">
        <v>33.0</v>
      </c>
      <c r="E797" s="4">
        <v>2296.0</v>
      </c>
      <c r="F797" s="4">
        <v>0.0</v>
      </c>
      <c r="G797" s="4"/>
    </row>
    <row r="798">
      <c r="A798" s="4" t="s">
        <v>4</v>
      </c>
      <c r="B798" s="11">
        <v>43696.0</v>
      </c>
      <c r="C798" s="11">
        <v>43702.0</v>
      </c>
      <c r="D798" s="4">
        <v>34.0</v>
      </c>
      <c r="E798" s="4">
        <v>2239.0</v>
      </c>
      <c r="F798" s="4">
        <v>0.0</v>
      </c>
      <c r="G798" s="4"/>
    </row>
    <row r="799">
      <c r="A799" s="4" t="s">
        <v>4</v>
      </c>
      <c r="B799" s="11">
        <v>43703.0</v>
      </c>
      <c r="C799" s="11">
        <v>43709.0</v>
      </c>
      <c r="D799" s="4">
        <v>35.0</v>
      </c>
      <c r="E799" s="4">
        <v>2181.0</v>
      </c>
      <c r="F799" s="4">
        <v>0.0</v>
      </c>
      <c r="G799" s="4"/>
    </row>
    <row r="800">
      <c r="A800" s="4" t="s">
        <v>4</v>
      </c>
      <c r="B800" s="11">
        <v>43710.0</v>
      </c>
      <c r="C800" s="11">
        <v>43716.0</v>
      </c>
      <c r="D800" s="4">
        <v>36.0</v>
      </c>
      <c r="E800" s="4">
        <v>2181.0</v>
      </c>
      <c r="F800" s="4">
        <v>0.0</v>
      </c>
      <c r="G800" s="4"/>
    </row>
    <row r="801">
      <c r="A801" s="4" t="s">
        <v>4</v>
      </c>
      <c r="B801" s="11">
        <v>43717.0</v>
      </c>
      <c r="C801" s="11">
        <v>43723.0</v>
      </c>
      <c r="D801" s="4">
        <v>37.0</v>
      </c>
      <c r="E801" s="4">
        <v>2210.0</v>
      </c>
      <c r="F801" s="4">
        <v>0.0</v>
      </c>
      <c r="G801" s="4"/>
    </row>
    <row r="802">
      <c r="A802" s="4" t="s">
        <v>4</v>
      </c>
      <c r="B802" s="11">
        <v>43724.0</v>
      </c>
      <c r="C802" s="11">
        <v>43730.0</v>
      </c>
      <c r="D802" s="4">
        <v>38.0</v>
      </c>
      <c r="E802" s="4">
        <v>2224.0</v>
      </c>
      <c r="F802" s="4">
        <v>0.0</v>
      </c>
      <c r="G802" s="4"/>
    </row>
    <row r="803">
      <c r="A803" s="4" t="s">
        <v>4</v>
      </c>
      <c r="B803" s="11">
        <v>43731.0</v>
      </c>
      <c r="C803" s="11">
        <v>43737.0</v>
      </c>
      <c r="D803" s="4">
        <v>39.0</v>
      </c>
      <c r="E803" s="4">
        <v>2270.0</v>
      </c>
      <c r="F803" s="4">
        <v>0.0</v>
      </c>
      <c r="G803" s="4"/>
    </row>
    <row r="804">
      <c r="A804" s="4" t="s">
        <v>4</v>
      </c>
      <c r="B804" s="11">
        <v>43738.0</v>
      </c>
      <c r="C804" s="12">
        <v>43744.0</v>
      </c>
      <c r="D804" s="4">
        <v>40.0</v>
      </c>
      <c r="E804" s="4">
        <v>2163.0</v>
      </c>
      <c r="F804" s="4">
        <v>0.0</v>
      </c>
      <c r="G804" s="4"/>
    </row>
    <row r="805">
      <c r="A805" s="4" t="s">
        <v>4</v>
      </c>
      <c r="B805" s="12">
        <v>43745.0</v>
      </c>
      <c r="C805" s="12">
        <v>43751.0</v>
      </c>
      <c r="D805" s="4">
        <v>41.0</v>
      </c>
      <c r="E805" s="4">
        <v>2123.0</v>
      </c>
      <c r="F805" s="4">
        <v>0.0</v>
      </c>
      <c r="G805" s="4"/>
    </row>
    <row r="806">
      <c r="A806" s="4" t="s">
        <v>4</v>
      </c>
      <c r="B806" s="12">
        <v>43752.0</v>
      </c>
      <c r="C806" s="12">
        <v>43758.0</v>
      </c>
      <c r="D806" s="4">
        <v>42.0</v>
      </c>
      <c r="E806" s="4">
        <v>2067.0</v>
      </c>
      <c r="F806" s="4">
        <v>0.0</v>
      </c>
      <c r="G806" s="4"/>
    </row>
    <row r="807">
      <c r="A807" s="4" t="s">
        <v>4</v>
      </c>
      <c r="B807" s="12">
        <v>43759.0</v>
      </c>
      <c r="C807" s="12">
        <v>43765.0</v>
      </c>
      <c r="D807" s="4">
        <v>43.0</v>
      </c>
      <c r="E807" s="4">
        <v>2025.0</v>
      </c>
      <c r="F807" s="4">
        <v>0.0</v>
      </c>
      <c r="G807" s="4"/>
    </row>
    <row r="808">
      <c r="A808" s="4" t="s">
        <v>4</v>
      </c>
      <c r="B808" s="12">
        <v>43766.0</v>
      </c>
      <c r="C808" s="12">
        <v>43772.0</v>
      </c>
      <c r="D808" s="4">
        <v>44.0</v>
      </c>
      <c r="E808" s="4">
        <v>2038.0</v>
      </c>
      <c r="F808" s="4">
        <v>0.0</v>
      </c>
      <c r="G808" s="4"/>
    </row>
    <row r="809">
      <c r="A809" s="4" t="s">
        <v>4</v>
      </c>
      <c r="B809" s="12">
        <v>43773.0</v>
      </c>
      <c r="C809" s="12">
        <v>43779.0</v>
      </c>
      <c r="D809" s="4">
        <v>45.0</v>
      </c>
      <c r="E809" s="4">
        <v>2039.0</v>
      </c>
      <c r="F809" s="4">
        <v>0.0</v>
      </c>
      <c r="G809" s="4"/>
    </row>
    <row r="810">
      <c r="A810" s="4" t="s">
        <v>4</v>
      </c>
      <c r="B810" s="12">
        <v>43780.0</v>
      </c>
      <c r="C810" s="12">
        <v>43786.0</v>
      </c>
      <c r="D810" s="4">
        <v>46.0</v>
      </c>
      <c r="E810" s="4">
        <v>2013.0</v>
      </c>
      <c r="F810" s="4">
        <v>0.0</v>
      </c>
      <c r="G810" s="4"/>
    </row>
    <row r="811">
      <c r="A811" s="4" t="s">
        <v>4</v>
      </c>
      <c r="B811" s="12">
        <v>43787.0</v>
      </c>
      <c r="C811" s="12">
        <v>43793.0</v>
      </c>
      <c r="D811" s="4">
        <v>47.0</v>
      </c>
      <c r="E811" s="4">
        <v>2003.0</v>
      </c>
      <c r="F811" s="4">
        <v>0.0</v>
      </c>
      <c r="G811" s="4"/>
    </row>
    <row r="812">
      <c r="A812" s="4" t="s">
        <v>4</v>
      </c>
      <c r="B812" s="12">
        <v>43794.0</v>
      </c>
      <c r="C812" s="12">
        <v>43800.0</v>
      </c>
      <c r="D812" s="4">
        <v>48.0</v>
      </c>
      <c r="E812" s="4">
        <v>1978.0</v>
      </c>
      <c r="F812" s="4">
        <v>0.0</v>
      </c>
      <c r="G812" s="4"/>
    </row>
    <row r="813">
      <c r="A813" s="4" t="s">
        <v>4</v>
      </c>
      <c r="B813" s="12">
        <v>43801.0</v>
      </c>
      <c r="C813" s="12">
        <v>43807.0</v>
      </c>
      <c r="D813" s="4">
        <v>49.0</v>
      </c>
      <c r="E813" s="4">
        <v>1878.0</v>
      </c>
      <c r="F813" s="4">
        <v>0.0</v>
      </c>
      <c r="G813" s="4"/>
    </row>
    <row r="814">
      <c r="A814" s="4" t="s">
        <v>4</v>
      </c>
      <c r="B814" s="12">
        <v>43808.0</v>
      </c>
      <c r="C814" s="12">
        <v>43814.0</v>
      </c>
      <c r="D814" s="4">
        <v>50.0</v>
      </c>
      <c r="E814" s="4">
        <v>1892.0</v>
      </c>
      <c r="F814" s="4">
        <v>0.0</v>
      </c>
      <c r="G814" s="4"/>
    </row>
    <row r="815">
      <c r="A815" s="4" t="s">
        <v>4</v>
      </c>
      <c r="B815" s="12">
        <v>43815.0</v>
      </c>
      <c r="C815" s="12">
        <v>43821.0</v>
      </c>
      <c r="D815" s="4">
        <v>51.0</v>
      </c>
      <c r="E815" s="4">
        <v>1963.0</v>
      </c>
      <c r="F815" s="4">
        <v>0.0</v>
      </c>
      <c r="G815" s="4"/>
    </row>
    <row r="816">
      <c r="A816" s="4" t="s">
        <v>4</v>
      </c>
      <c r="B816" s="12">
        <v>43822.0</v>
      </c>
      <c r="C816" s="12">
        <v>43828.0</v>
      </c>
      <c r="D816" s="4">
        <v>52.0</v>
      </c>
      <c r="E816" s="4">
        <v>2010.0</v>
      </c>
      <c r="F816" s="4">
        <v>0.0</v>
      </c>
      <c r="G816" s="4"/>
    </row>
    <row r="817">
      <c r="A817" s="4" t="s">
        <v>4</v>
      </c>
      <c r="B817" s="12">
        <v>43829.0</v>
      </c>
      <c r="C817" s="11">
        <v>43835.0</v>
      </c>
      <c r="D817" s="4">
        <v>1.0</v>
      </c>
      <c r="E817" s="4">
        <v>2108.0</v>
      </c>
      <c r="F817" s="4">
        <v>0.0</v>
      </c>
      <c r="G817" s="4"/>
    </row>
    <row r="818">
      <c r="A818" s="4" t="s">
        <v>4</v>
      </c>
      <c r="B818" s="11">
        <v>43836.0</v>
      </c>
      <c r="C818" s="11">
        <v>43842.0</v>
      </c>
      <c r="D818" s="4">
        <v>2.0</v>
      </c>
      <c r="E818" s="4">
        <v>2053.0</v>
      </c>
      <c r="F818" s="4">
        <v>0.0</v>
      </c>
      <c r="G818" s="4"/>
    </row>
    <row r="819">
      <c r="A819" s="4" t="s">
        <v>4</v>
      </c>
      <c r="B819" s="11">
        <v>43843.0</v>
      </c>
      <c r="C819" s="11">
        <v>43849.0</v>
      </c>
      <c r="D819" s="4">
        <v>3.0</v>
      </c>
      <c r="E819" s="4">
        <v>2057.0</v>
      </c>
      <c r="F819" s="4">
        <v>0.0</v>
      </c>
      <c r="G819" s="4"/>
    </row>
    <row r="820">
      <c r="A820" s="4" t="s">
        <v>4</v>
      </c>
      <c r="B820" s="11">
        <v>43850.0</v>
      </c>
      <c r="C820" s="11">
        <v>43856.0</v>
      </c>
      <c r="D820" s="4">
        <v>4.0</v>
      </c>
      <c r="E820" s="4">
        <v>1964.0</v>
      </c>
      <c r="F820" s="4">
        <v>0.0</v>
      </c>
      <c r="G820" s="4"/>
    </row>
    <row r="821">
      <c r="A821" s="4" t="s">
        <v>4</v>
      </c>
      <c r="B821" s="11">
        <v>43857.0</v>
      </c>
      <c r="C821" s="11">
        <v>43863.0</v>
      </c>
      <c r="D821" s="4">
        <v>5.0</v>
      </c>
      <c r="E821" s="4">
        <v>1970.0</v>
      </c>
      <c r="F821" s="4">
        <v>0.0</v>
      </c>
      <c r="G821" s="4"/>
    </row>
    <row r="822">
      <c r="A822" s="4" t="s">
        <v>4</v>
      </c>
      <c r="B822" s="11">
        <v>43864.0</v>
      </c>
      <c r="C822" s="11">
        <v>43870.0</v>
      </c>
      <c r="D822" s="4">
        <v>6.0</v>
      </c>
      <c r="E822" s="4">
        <v>1994.0</v>
      </c>
      <c r="F822" s="4">
        <v>0.0</v>
      </c>
      <c r="G822" s="4"/>
    </row>
    <row r="823">
      <c r="A823" s="4" t="s">
        <v>4</v>
      </c>
      <c r="B823" s="11">
        <v>43871.0</v>
      </c>
      <c r="C823" s="11">
        <v>43877.0</v>
      </c>
      <c r="D823" s="4">
        <v>7.0</v>
      </c>
      <c r="E823" s="4">
        <v>1909.0</v>
      </c>
      <c r="F823" s="4">
        <v>0.0</v>
      </c>
      <c r="G823" s="4"/>
    </row>
    <row r="824">
      <c r="A824" s="4" t="s">
        <v>4</v>
      </c>
      <c r="B824" s="11">
        <v>43878.0</v>
      </c>
      <c r="C824" s="11">
        <v>43884.0</v>
      </c>
      <c r="D824" s="4">
        <v>8.0</v>
      </c>
      <c r="E824" s="4">
        <v>1899.0</v>
      </c>
      <c r="F824" s="4">
        <v>0.0</v>
      </c>
      <c r="G824" s="4"/>
    </row>
    <row r="825">
      <c r="A825" s="4" t="s">
        <v>4</v>
      </c>
      <c r="B825" s="11">
        <v>43885.0</v>
      </c>
      <c r="C825" s="11">
        <v>43891.0</v>
      </c>
      <c r="D825" s="4">
        <v>9.0</v>
      </c>
      <c r="E825" s="4">
        <v>1884.0</v>
      </c>
      <c r="F825" s="4">
        <v>0.0</v>
      </c>
      <c r="G825" s="4"/>
    </row>
    <row r="826">
      <c r="A826" s="4" t="s">
        <v>4</v>
      </c>
      <c r="B826" s="11">
        <v>43892.0</v>
      </c>
      <c r="C826" s="11">
        <v>43898.0</v>
      </c>
      <c r="D826" s="4">
        <v>10.0</v>
      </c>
      <c r="E826" s="4">
        <v>1885.0</v>
      </c>
      <c r="F826" s="4">
        <v>0.0</v>
      </c>
      <c r="G826" s="4"/>
    </row>
    <row r="827">
      <c r="A827" s="4" t="s">
        <v>4</v>
      </c>
      <c r="B827" s="11">
        <v>43899.0</v>
      </c>
      <c r="C827" s="11">
        <v>43905.0</v>
      </c>
      <c r="D827" s="4">
        <v>11.0</v>
      </c>
      <c r="E827" s="4">
        <v>1928.0</v>
      </c>
      <c r="F827" s="4">
        <v>0.0</v>
      </c>
      <c r="G827" s="4"/>
    </row>
    <row r="828">
      <c r="A828" s="4" t="s">
        <v>4</v>
      </c>
      <c r="B828" s="11">
        <v>43906.0</v>
      </c>
      <c r="C828" s="11">
        <v>43912.0</v>
      </c>
      <c r="D828" s="4">
        <v>12.0</v>
      </c>
      <c r="E828" s="4">
        <v>2008.0</v>
      </c>
      <c r="F828" s="4">
        <v>1.0</v>
      </c>
      <c r="G828" s="4"/>
    </row>
    <row r="829">
      <c r="A829" s="4" t="s">
        <v>4</v>
      </c>
      <c r="B829" s="11">
        <v>43913.0</v>
      </c>
      <c r="C829" s="11">
        <v>43919.0</v>
      </c>
      <c r="D829" s="4">
        <v>13.0</v>
      </c>
      <c r="E829" s="4">
        <v>2006.0</v>
      </c>
      <c r="F829" s="4">
        <v>6.0</v>
      </c>
      <c r="G829" s="4"/>
    </row>
    <row r="830">
      <c r="A830" s="4" t="s">
        <v>4</v>
      </c>
      <c r="B830" s="11">
        <v>43920.0</v>
      </c>
      <c r="C830" s="11">
        <v>43926.0</v>
      </c>
      <c r="D830" s="4">
        <v>14.0</v>
      </c>
      <c r="E830" s="4">
        <v>2081.0</v>
      </c>
      <c r="F830" s="4">
        <v>27.0</v>
      </c>
      <c r="G830" s="4"/>
    </row>
    <row r="831">
      <c r="A831" s="4" t="s">
        <v>4</v>
      </c>
      <c r="B831" s="11">
        <v>43927.0</v>
      </c>
      <c r="C831" s="11">
        <v>43933.0</v>
      </c>
      <c r="D831" s="4">
        <v>15.0</v>
      </c>
      <c r="E831" s="4">
        <v>2010.0</v>
      </c>
      <c r="F831" s="4">
        <v>46.0</v>
      </c>
      <c r="G831" s="4"/>
    </row>
    <row r="832">
      <c r="A832" s="4" t="s">
        <v>4</v>
      </c>
      <c r="B832" s="11">
        <v>43934.0</v>
      </c>
      <c r="C832" s="11">
        <v>43940.0</v>
      </c>
      <c r="D832" s="4">
        <v>16.0</v>
      </c>
      <c r="E832" s="4">
        <v>2087.0</v>
      </c>
      <c r="F832" s="4">
        <v>53.0</v>
      </c>
      <c r="G832" s="4"/>
    </row>
    <row r="833">
      <c r="A833" s="4" t="s">
        <v>4</v>
      </c>
      <c r="B833" s="11">
        <v>43941.0</v>
      </c>
      <c r="C833" s="11">
        <v>43947.0</v>
      </c>
      <c r="D833" s="4">
        <v>17.0</v>
      </c>
      <c r="E833" s="4">
        <v>2095.0</v>
      </c>
      <c r="F833" s="4">
        <v>56.0</v>
      </c>
      <c r="G833" s="4"/>
    </row>
    <row r="834">
      <c r="A834" s="4" t="s">
        <v>4</v>
      </c>
      <c r="B834" s="11">
        <v>43948.0</v>
      </c>
      <c r="C834" s="11">
        <v>43954.0</v>
      </c>
      <c r="D834" s="4">
        <v>18.0</v>
      </c>
      <c r="E834" s="4">
        <v>2083.0</v>
      </c>
      <c r="F834" s="4">
        <v>71.0</v>
      </c>
      <c r="G834" s="4"/>
    </row>
    <row r="835">
      <c r="A835" s="4" t="s">
        <v>4</v>
      </c>
      <c r="B835" s="11">
        <v>43955.0</v>
      </c>
      <c r="C835" s="11">
        <v>43961.0</v>
      </c>
      <c r="D835" s="4">
        <v>19.0</v>
      </c>
      <c r="E835" s="4">
        <v>2342.0</v>
      </c>
      <c r="F835" s="4">
        <v>52.0</v>
      </c>
      <c r="G835" s="4"/>
    </row>
    <row r="836">
      <c r="A836" s="4" t="s">
        <v>4</v>
      </c>
      <c r="B836" s="11">
        <v>43962.0</v>
      </c>
      <c r="C836" s="11">
        <v>43968.0</v>
      </c>
      <c r="D836" s="4">
        <v>20.0</v>
      </c>
      <c r="E836" s="4">
        <v>2438.0</v>
      </c>
      <c r="F836" s="4">
        <v>138.0</v>
      </c>
      <c r="G836" s="4"/>
    </row>
    <row r="837">
      <c r="A837" s="4" t="s">
        <v>4</v>
      </c>
      <c r="B837" s="11">
        <v>43969.0</v>
      </c>
      <c r="C837" s="11">
        <v>43975.0</v>
      </c>
      <c r="D837" s="4">
        <v>21.0</v>
      </c>
      <c r="E837" s="4">
        <v>2933.0</v>
      </c>
      <c r="F837" s="4">
        <v>268.0</v>
      </c>
      <c r="G837" s="4"/>
    </row>
    <row r="838">
      <c r="A838" s="4" t="s">
        <v>4</v>
      </c>
      <c r="B838" s="11">
        <v>43976.0</v>
      </c>
      <c r="C838" s="11">
        <v>43982.0</v>
      </c>
      <c r="D838" s="4">
        <v>22.0</v>
      </c>
      <c r="E838" s="4">
        <v>3394.0</v>
      </c>
      <c r="F838" s="4">
        <v>336.0</v>
      </c>
      <c r="G838" s="4"/>
    </row>
    <row r="839">
      <c r="A839" s="4" t="s">
        <v>4</v>
      </c>
      <c r="B839" s="11">
        <v>43983.0</v>
      </c>
      <c r="C839" s="11">
        <v>43989.0</v>
      </c>
      <c r="D839" s="4">
        <v>23.0</v>
      </c>
      <c r="E839" s="4">
        <v>3899.0</v>
      </c>
      <c r="F839" s="4">
        <v>583.0</v>
      </c>
      <c r="G839" s="4"/>
    </row>
    <row r="840">
      <c r="A840" s="4" t="s">
        <v>4</v>
      </c>
      <c r="B840" s="11">
        <v>43990.0</v>
      </c>
      <c r="C840" s="11">
        <v>43996.0</v>
      </c>
      <c r="D840" s="4">
        <v>24.0</v>
      </c>
      <c r="E840" s="4">
        <v>3983.0</v>
      </c>
      <c r="F840" s="4">
        <v>1686.0</v>
      </c>
      <c r="G840" s="4"/>
    </row>
    <row r="841">
      <c r="A841" s="4" t="s">
        <v>4</v>
      </c>
      <c r="B841" s="11">
        <v>43997.0</v>
      </c>
      <c r="C841" s="11">
        <v>44003.0</v>
      </c>
      <c r="D841" s="4">
        <v>25.0</v>
      </c>
      <c r="E841" s="4">
        <v>3732.0</v>
      </c>
      <c r="F841" s="4">
        <v>1156.0</v>
      </c>
      <c r="G841" s="4"/>
    </row>
    <row r="842">
      <c r="A842" s="4" t="s">
        <v>4</v>
      </c>
      <c r="B842" s="11">
        <v>44004.0</v>
      </c>
      <c r="C842" s="11">
        <v>44010.0</v>
      </c>
      <c r="D842" s="4">
        <v>26.0</v>
      </c>
      <c r="E842" s="4">
        <v>3519.0</v>
      </c>
      <c r="F842" s="4">
        <v>1030.0</v>
      </c>
      <c r="G842" s="4"/>
    </row>
    <row r="843">
      <c r="A843" s="4" t="s">
        <v>4</v>
      </c>
      <c r="B843" s="11">
        <v>44011.0</v>
      </c>
      <c r="C843" s="11">
        <v>44017.0</v>
      </c>
      <c r="D843" s="4">
        <v>27.0</v>
      </c>
      <c r="E843" s="4">
        <v>3070.0</v>
      </c>
      <c r="F843" s="4">
        <v>799.0</v>
      </c>
      <c r="G843" s="4"/>
    </row>
    <row r="844">
      <c r="A844" s="4" t="s">
        <v>4</v>
      </c>
      <c r="B844" s="11">
        <v>44018.0</v>
      </c>
      <c r="C844" s="11">
        <v>44024.0</v>
      </c>
      <c r="D844" s="4">
        <v>28.0</v>
      </c>
      <c r="E844" s="4">
        <v>2967.0</v>
      </c>
      <c r="F844" s="4">
        <v>671.0</v>
      </c>
      <c r="G844" s="4"/>
    </row>
    <row r="845">
      <c r="A845" s="4" t="s">
        <v>4</v>
      </c>
      <c r="B845" s="11">
        <v>44025.0</v>
      </c>
      <c r="C845" s="11">
        <v>44031.0</v>
      </c>
      <c r="D845" s="4">
        <v>29.0</v>
      </c>
      <c r="E845" s="4">
        <v>2814.0</v>
      </c>
      <c r="F845" s="4">
        <v>1524.0</v>
      </c>
      <c r="G845" s="4"/>
    </row>
    <row r="846">
      <c r="A846" s="4" t="s">
        <v>4</v>
      </c>
      <c r="B846" s="11">
        <v>44032.0</v>
      </c>
      <c r="C846" s="11">
        <v>44038.0</v>
      </c>
      <c r="D846" s="4">
        <v>30.0</v>
      </c>
      <c r="E846" s="4">
        <v>2698.0</v>
      </c>
      <c r="F846" s="4">
        <v>609.0</v>
      </c>
      <c r="G846" s="4"/>
    </row>
    <row r="847">
      <c r="A847" s="4" t="s">
        <v>4</v>
      </c>
      <c r="B847" s="11">
        <v>44039.0</v>
      </c>
      <c r="C847" s="11">
        <v>44045.0</v>
      </c>
      <c r="D847" s="4">
        <v>31.0</v>
      </c>
      <c r="E847" s="4">
        <v>2653.0</v>
      </c>
      <c r="F847" s="4">
        <v>496.0</v>
      </c>
      <c r="G847" s="4"/>
    </row>
    <row r="848">
      <c r="A848" s="4" t="s">
        <v>4</v>
      </c>
      <c r="B848" s="11">
        <v>44046.0</v>
      </c>
      <c r="C848" s="11">
        <v>44052.0</v>
      </c>
      <c r="D848" s="4">
        <v>32.0</v>
      </c>
      <c r="E848" s="4">
        <v>2516.0</v>
      </c>
      <c r="F848" s="4">
        <v>469.0</v>
      </c>
      <c r="G848" s="4"/>
    </row>
    <row r="849">
      <c r="A849" s="4" t="s">
        <v>4</v>
      </c>
      <c r="B849" s="11">
        <v>44053.0</v>
      </c>
      <c r="C849" s="11">
        <v>44059.0</v>
      </c>
      <c r="D849" s="4">
        <v>33.0</v>
      </c>
      <c r="E849" s="4">
        <v>2431.0</v>
      </c>
      <c r="F849" s="4">
        <v>375.0</v>
      </c>
      <c r="G849" s="4"/>
    </row>
    <row r="850">
      <c r="A850" s="4" t="s">
        <v>4</v>
      </c>
      <c r="B850" s="11">
        <v>44060.0</v>
      </c>
      <c r="C850" s="11">
        <v>44066.0</v>
      </c>
      <c r="D850" s="4">
        <v>34.0</v>
      </c>
      <c r="E850" s="4">
        <v>2596.0</v>
      </c>
      <c r="F850" s="4">
        <v>400.0</v>
      </c>
      <c r="G850" s="4"/>
    </row>
    <row r="851">
      <c r="A851" s="4" t="s">
        <v>4</v>
      </c>
      <c r="B851" s="11">
        <v>44067.0</v>
      </c>
      <c r="C851" s="11">
        <v>44073.0</v>
      </c>
      <c r="D851" s="4">
        <v>35.0</v>
      </c>
      <c r="E851" s="4">
        <v>2479.0</v>
      </c>
      <c r="F851" s="4">
        <v>392.0</v>
      </c>
      <c r="G851" s="4"/>
    </row>
    <row r="852">
      <c r="A852" s="4" t="s">
        <v>4</v>
      </c>
      <c r="B852" s="11">
        <v>44074.0</v>
      </c>
      <c r="C852" s="11">
        <v>44080.0</v>
      </c>
      <c r="D852" s="4">
        <v>36.0</v>
      </c>
      <c r="E852" s="4">
        <v>2395.0</v>
      </c>
      <c r="F852" s="4">
        <v>348.0</v>
      </c>
      <c r="G852" s="4"/>
    </row>
    <row r="853">
      <c r="A853" s="4" t="s">
        <v>4</v>
      </c>
      <c r="B853" s="11">
        <v>44081.0</v>
      </c>
      <c r="C853" s="11">
        <v>44087.0</v>
      </c>
      <c r="D853" s="4">
        <v>37.0</v>
      </c>
      <c r="E853" s="4">
        <v>2405.0</v>
      </c>
      <c r="F853" s="4">
        <v>357.0</v>
      </c>
      <c r="G853" s="4"/>
    </row>
    <row r="854">
      <c r="A854" s="4" t="s">
        <v>4</v>
      </c>
      <c r="B854" s="11">
        <v>44088.0</v>
      </c>
      <c r="C854" s="11">
        <v>44094.0</v>
      </c>
      <c r="D854" s="4">
        <v>38.0</v>
      </c>
      <c r="E854" s="4">
        <v>2401.0</v>
      </c>
      <c r="F854" s="4">
        <v>337.0</v>
      </c>
      <c r="G854" s="4"/>
    </row>
    <row r="855">
      <c r="A855" s="4" t="s">
        <v>4</v>
      </c>
      <c r="B855" s="11">
        <v>44095.0</v>
      </c>
      <c r="C855" s="11">
        <v>44101.0</v>
      </c>
      <c r="D855" s="4">
        <v>39.0</v>
      </c>
      <c r="E855" s="4">
        <v>2364.0</v>
      </c>
      <c r="F855" s="4">
        <v>355.0</v>
      </c>
      <c r="G855" s="4"/>
    </row>
    <row r="856">
      <c r="A856" s="4" t="s">
        <v>4</v>
      </c>
      <c r="B856" s="11">
        <v>44102.0</v>
      </c>
      <c r="C856" s="12">
        <v>44108.0</v>
      </c>
      <c r="D856" s="4">
        <v>40.0</v>
      </c>
      <c r="E856" s="4">
        <v>2340.0</v>
      </c>
      <c r="F856" s="4">
        <v>338.0</v>
      </c>
      <c r="G856" s="4"/>
    </row>
    <row r="857">
      <c r="A857" s="4" t="s">
        <v>4</v>
      </c>
      <c r="B857" s="12">
        <v>44109.0</v>
      </c>
      <c r="C857" s="12">
        <v>44115.0</v>
      </c>
      <c r="D857" s="4">
        <v>41.0</v>
      </c>
      <c r="E857" s="4">
        <v>2396.0</v>
      </c>
      <c r="F857" s="4">
        <v>339.0</v>
      </c>
      <c r="G857" s="4"/>
    </row>
    <row r="858">
      <c r="A858" s="4" t="s">
        <v>4</v>
      </c>
      <c r="B858" s="12">
        <v>44116.0</v>
      </c>
      <c r="C858" s="12">
        <v>44122.0</v>
      </c>
      <c r="D858" s="4">
        <v>42.0</v>
      </c>
      <c r="E858" s="4">
        <v>2307.0</v>
      </c>
      <c r="F858" s="4">
        <v>317.0</v>
      </c>
      <c r="G858" s="4"/>
    </row>
    <row r="859">
      <c r="A859" s="4" t="s">
        <v>4</v>
      </c>
      <c r="B859" s="12">
        <v>44123.0</v>
      </c>
      <c r="C859" s="12">
        <v>44129.0</v>
      </c>
      <c r="D859" s="4">
        <v>43.0</v>
      </c>
      <c r="E859" s="4">
        <v>2304.0</v>
      </c>
      <c r="F859" s="4">
        <v>309.0</v>
      </c>
      <c r="G859" s="4"/>
    </row>
    <row r="860">
      <c r="A860" s="4" t="s">
        <v>4</v>
      </c>
      <c r="B860" s="12">
        <v>44130.0</v>
      </c>
      <c r="C860" s="12">
        <v>44136.0</v>
      </c>
      <c r="D860" s="4">
        <v>44.0</v>
      </c>
      <c r="E860" s="4">
        <v>2268.0</v>
      </c>
      <c r="F860" s="4">
        <v>303.0</v>
      </c>
      <c r="G860" s="4"/>
    </row>
    <row r="861">
      <c r="A861" s="4" t="s">
        <v>4</v>
      </c>
      <c r="B861" s="12">
        <v>44137.0</v>
      </c>
      <c r="C861" s="12">
        <v>44143.0</v>
      </c>
      <c r="D861" s="4">
        <v>45.0</v>
      </c>
      <c r="E861" s="4">
        <v>2239.0</v>
      </c>
      <c r="F861" s="4">
        <v>296.0</v>
      </c>
      <c r="G861" s="4"/>
    </row>
    <row r="862">
      <c r="A862" s="4" t="s">
        <v>4</v>
      </c>
      <c r="B862" s="12">
        <v>44144.0</v>
      </c>
      <c r="C862" s="12">
        <v>44150.0</v>
      </c>
      <c r="D862" s="4">
        <v>46.0</v>
      </c>
      <c r="E862" s="4">
        <v>2121.0</v>
      </c>
      <c r="F862" s="4">
        <v>276.0</v>
      </c>
      <c r="G862" s="4"/>
    </row>
    <row r="863">
      <c r="A863" s="4" t="s">
        <v>4</v>
      </c>
      <c r="B863" s="12">
        <v>44151.0</v>
      </c>
      <c r="C863" s="12">
        <v>44157.0</v>
      </c>
      <c r="D863" s="4">
        <v>47.0</v>
      </c>
      <c r="E863" s="4">
        <v>2184.0</v>
      </c>
      <c r="F863" s="4">
        <v>250.0</v>
      </c>
      <c r="G863" s="4"/>
    </row>
    <row r="864">
      <c r="A864" s="4" t="s">
        <v>4</v>
      </c>
      <c r="B864" s="12">
        <v>44158.0</v>
      </c>
      <c r="C864" s="12">
        <v>44164.0</v>
      </c>
      <c r="D864" s="4">
        <v>48.0</v>
      </c>
      <c r="E864" s="4">
        <v>2203.0</v>
      </c>
      <c r="F864" s="4">
        <v>287.0</v>
      </c>
      <c r="G864" s="4"/>
    </row>
    <row r="865">
      <c r="A865" s="4" t="s">
        <v>4</v>
      </c>
      <c r="B865" s="12">
        <v>44165.0</v>
      </c>
      <c r="C865" s="12">
        <v>44171.0</v>
      </c>
      <c r="D865" s="4">
        <v>49.0</v>
      </c>
      <c r="E865" s="4">
        <v>2174.0</v>
      </c>
      <c r="F865" s="4">
        <v>272.0</v>
      </c>
      <c r="G865" s="4"/>
    </row>
    <row r="866">
      <c r="A866" s="4" t="s">
        <v>4</v>
      </c>
      <c r="B866" s="12">
        <v>44172.0</v>
      </c>
      <c r="C866" s="12">
        <v>44178.0</v>
      </c>
      <c r="D866" s="4">
        <v>50.0</v>
      </c>
      <c r="E866" s="4">
        <v>2187.0</v>
      </c>
      <c r="F866" s="4">
        <v>258.0</v>
      </c>
      <c r="G866" s="4"/>
    </row>
    <row r="867">
      <c r="A867" s="4" t="s">
        <v>4</v>
      </c>
      <c r="B867" s="12">
        <v>44179.0</v>
      </c>
      <c r="C867" s="12">
        <v>44185.0</v>
      </c>
      <c r="D867" s="4">
        <v>51.0</v>
      </c>
      <c r="E867" s="4">
        <v>2155.0</v>
      </c>
      <c r="F867" s="4">
        <v>268.0</v>
      </c>
      <c r="G867" s="4"/>
    </row>
    <row r="868">
      <c r="A868" s="4" t="s">
        <v>4</v>
      </c>
      <c r="B868" s="12">
        <v>44186.0</v>
      </c>
      <c r="C868" s="12">
        <v>44192.0</v>
      </c>
      <c r="D868" s="4">
        <v>52.0</v>
      </c>
      <c r="E868" s="4">
        <v>2291.0</v>
      </c>
      <c r="F868" s="4">
        <v>289.0</v>
      </c>
      <c r="G868" s="4"/>
    </row>
    <row r="869">
      <c r="A869" s="4" t="s">
        <v>4</v>
      </c>
      <c r="B869" s="12">
        <v>44193.0</v>
      </c>
      <c r="C869" s="11">
        <v>44199.0</v>
      </c>
      <c r="D869" s="4">
        <v>53.0</v>
      </c>
      <c r="E869" s="4">
        <v>2236.0</v>
      </c>
      <c r="F869" s="4">
        <v>324.0</v>
      </c>
      <c r="G869" s="4"/>
    </row>
    <row r="870">
      <c r="A870" s="4" t="s">
        <v>4</v>
      </c>
      <c r="B870" s="11">
        <v>44200.0</v>
      </c>
      <c r="C870" s="11">
        <v>44206.0</v>
      </c>
      <c r="D870" s="4">
        <v>1.0</v>
      </c>
      <c r="E870" s="4">
        <v>2445.0</v>
      </c>
      <c r="F870" s="4">
        <v>329.0</v>
      </c>
      <c r="G870" s="4"/>
    </row>
    <row r="871">
      <c r="A871" s="4" t="s">
        <v>4</v>
      </c>
      <c r="B871" s="11">
        <v>44207.0</v>
      </c>
      <c r="C871" s="11">
        <v>44213.0</v>
      </c>
      <c r="D871" s="4">
        <v>2.0</v>
      </c>
      <c r="E871" s="4">
        <v>2438.0</v>
      </c>
      <c r="F871" s="4">
        <v>381.0</v>
      </c>
      <c r="G871" s="4"/>
    </row>
    <row r="872">
      <c r="A872" s="4" t="s">
        <v>4</v>
      </c>
      <c r="B872" s="11">
        <v>44214.0</v>
      </c>
      <c r="C872" s="11">
        <v>44220.0</v>
      </c>
      <c r="D872" s="4">
        <v>3.0</v>
      </c>
      <c r="E872" s="4">
        <v>2701.0</v>
      </c>
      <c r="F872" s="4">
        <v>456.0</v>
      </c>
      <c r="G872" s="4"/>
    </row>
    <row r="873">
      <c r="A873" s="4" t="s">
        <v>4</v>
      </c>
      <c r="B873" s="11">
        <v>44221.0</v>
      </c>
      <c r="C873" s="11">
        <v>44227.0</v>
      </c>
      <c r="D873" s="4">
        <v>4.0</v>
      </c>
      <c r="E873" s="4">
        <v>2557.0</v>
      </c>
      <c r="F873" s="4">
        <v>519.0</v>
      </c>
      <c r="G873" s="4"/>
    </row>
    <row r="874">
      <c r="A874" s="4" t="s">
        <v>4</v>
      </c>
      <c r="B874" s="11">
        <v>44228.0</v>
      </c>
      <c r="C874" s="11">
        <v>44234.0</v>
      </c>
      <c r="D874" s="4">
        <v>5.0</v>
      </c>
      <c r="E874" s="4">
        <v>2633.0</v>
      </c>
      <c r="F874" s="4">
        <v>522.0</v>
      </c>
      <c r="G874" s="4"/>
    </row>
    <row r="875">
      <c r="A875" s="4" t="s">
        <v>4</v>
      </c>
      <c r="B875" s="11">
        <v>44235.0</v>
      </c>
      <c r="C875" s="11">
        <v>44241.0</v>
      </c>
      <c r="D875" s="4">
        <v>6.0</v>
      </c>
      <c r="E875" s="4">
        <v>2506.0</v>
      </c>
      <c r="F875" s="4">
        <v>567.0</v>
      </c>
      <c r="G875" s="4"/>
    </row>
    <row r="876">
      <c r="A876" s="4" t="s">
        <v>4</v>
      </c>
      <c r="B876" s="11">
        <v>44242.0</v>
      </c>
      <c r="C876" s="11">
        <v>44248.0</v>
      </c>
      <c r="D876" s="4">
        <v>7.0</v>
      </c>
      <c r="E876" s="4">
        <v>2502.0</v>
      </c>
      <c r="F876" s="4">
        <v>501.0</v>
      </c>
      <c r="G876" s="4"/>
    </row>
    <row r="877">
      <c r="A877" s="4" t="s">
        <v>4</v>
      </c>
      <c r="B877" s="11">
        <v>44249.0</v>
      </c>
      <c r="C877" s="11">
        <v>44255.0</v>
      </c>
      <c r="D877" s="4">
        <v>8.0</v>
      </c>
      <c r="E877" s="4">
        <v>2606.0</v>
      </c>
      <c r="F877" s="4">
        <v>530.0</v>
      </c>
      <c r="G877" s="4"/>
    </row>
    <row r="878">
      <c r="A878" s="4" t="s">
        <v>4</v>
      </c>
      <c r="B878" s="11">
        <v>44256.0</v>
      </c>
      <c r="C878" s="11">
        <v>44262.0</v>
      </c>
      <c r="D878" s="4">
        <v>9.0</v>
      </c>
      <c r="E878" s="4">
        <v>2661.0</v>
      </c>
      <c r="F878" s="4">
        <v>505.0</v>
      </c>
      <c r="G878" s="4"/>
    </row>
    <row r="879">
      <c r="A879" s="4" t="s">
        <v>4</v>
      </c>
      <c r="B879" s="11">
        <v>44263.0</v>
      </c>
      <c r="C879" s="11">
        <v>44269.0</v>
      </c>
      <c r="D879" s="4">
        <v>10.0</v>
      </c>
      <c r="E879" s="4">
        <v>2656.0</v>
      </c>
      <c r="F879" s="4">
        <v>597.0</v>
      </c>
      <c r="G879" s="4"/>
    </row>
    <row r="880">
      <c r="A880" s="4" t="s">
        <v>4</v>
      </c>
      <c r="B880" s="11">
        <v>44270.0</v>
      </c>
      <c r="C880" s="11">
        <v>44276.0</v>
      </c>
      <c r="D880" s="4">
        <v>11.0</v>
      </c>
      <c r="E880" s="4">
        <v>2550.0</v>
      </c>
      <c r="F880" s="4">
        <v>605.0</v>
      </c>
      <c r="G880" s="4"/>
    </row>
    <row r="881">
      <c r="A881" s="4" t="s">
        <v>4</v>
      </c>
      <c r="B881" s="11">
        <v>44277.0</v>
      </c>
      <c r="C881" s="11">
        <v>44283.0</v>
      </c>
      <c r="D881" s="4">
        <v>12.0</v>
      </c>
      <c r="E881" s="4">
        <v>2741.0</v>
      </c>
      <c r="F881" s="4">
        <v>475.0</v>
      </c>
      <c r="G881" s="4"/>
    </row>
    <row r="882">
      <c r="A882" s="4" t="s">
        <v>4</v>
      </c>
      <c r="B882" s="11">
        <v>44284.0</v>
      </c>
      <c r="C882" s="11">
        <v>44290.0</v>
      </c>
      <c r="D882" s="4">
        <v>13.0</v>
      </c>
      <c r="E882" s="4">
        <v>2833.0</v>
      </c>
      <c r="F882" s="4">
        <v>890.0</v>
      </c>
      <c r="G882" s="4"/>
    </row>
    <row r="883">
      <c r="A883" s="4" t="s">
        <v>4</v>
      </c>
      <c r="B883" s="11">
        <v>44291.0</v>
      </c>
      <c r="C883" s="11">
        <v>44297.0</v>
      </c>
      <c r="D883" s="4">
        <v>14.0</v>
      </c>
      <c r="E883" s="4">
        <v>2849.0</v>
      </c>
      <c r="F883" s="4">
        <v>702.0</v>
      </c>
      <c r="G883" s="4"/>
    </row>
    <row r="884">
      <c r="A884" s="4" t="s">
        <v>4</v>
      </c>
      <c r="B884" s="11">
        <v>44298.0</v>
      </c>
      <c r="C884" s="11">
        <v>44304.0</v>
      </c>
      <c r="D884" s="4">
        <v>15.0</v>
      </c>
      <c r="E884" s="4">
        <v>2897.0</v>
      </c>
      <c r="F884" s="4">
        <v>831.0</v>
      </c>
      <c r="G884" s="4"/>
    </row>
    <row r="885">
      <c r="A885" s="4" t="s">
        <v>4</v>
      </c>
      <c r="B885" s="11">
        <v>44305.0</v>
      </c>
      <c r="C885" s="11">
        <v>44311.0</v>
      </c>
      <c r="D885" s="4">
        <v>16.0</v>
      </c>
      <c r="E885" s="4">
        <v>2664.0</v>
      </c>
      <c r="F885" s="4">
        <v>679.0</v>
      </c>
      <c r="G885" s="4"/>
    </row>
    <row r="886">
      <c r="A886" s="4" t="s">
        <v>4</v>
      </c>
      <c r="B886" s="11">
        <v>44312.0</v>
      </c>
      <c r="C886" s="11">
        <v>44318.0</v>
      </c>
      <c r="D886" s="4">
        <v>17.0</v>
      </c>
      <c r="E886" s="4">
        <v>2786.0</v>
      </c>
      <c r="F886" s="4">
        <v>705.0</v>
      </c>
      <c r="G886" s="4"/>
    </row>
    <row r="887">
      <c r="A887" s="4" t="s">
        <v>4</v>
      </c>
      <c r="B887" s="11">
        <v>44319.0</v>
      </c>
      <c r="C887" s="11">
        <v>44325.0</v>
      </c>
      <c r="D887" s="4">
        <v>18.0</v>
      </c>
      <c r="E887" s="4">
        <v>2731.0</v>
      </c>
      <c r="F887" s="4">
        <v>657.0</v>
      </c>
      <c r="G887" s="4"/>
    </row>
    <row r="888">
      <c r="A888" s="4" t="s">
        <v>4</v>
      </c>
      <c r="B888" s="11">
        <v>44326.0</v>
      </c>
      <c r="C888" s="11">
        <v>44332.0</v>
      </c>
      <c r="D888" s="4">
        <v>19.0</v>
      </c>
      <c r="E888" s="4">
        <v>2766.0</v>
      </c>
      <c r="F888" s="4">
        <v>614.0</v>
      </c>
      <c r="G888" s="4"/>
    </row>
    <row r="889">
      <c r="A889" s="4" t="s">
        <v>4</v>
      </c>
      <c r="B889" s="11">
        <v>44333.0</v>
      </c>
      <c r="C889" s="11">
        <v>44339.0</v>
      </c>
      <c r="D889" s="4">
        <v>20.0</v>
      </c>
      <c r="E889" s="4">
        <v>2936.0</v>
      </c>
      <c r="F889" s="4">
        <v>686.0</v>
      </c>
      <c r="G889" s="4"/>
    </row>
    <row r="890">
      <c r="A890" s="4" t="s">
        <v>4</v>
      </c>
      <c r="B890" s="11">
        <v>44340.0</v>
      </c>
      <c r="C890" s="11">
        <v>44346.0</v>
      </c>
      <c r="D890" s="4">
        <v>21.0</v>
      </c>
      <c r="E890" s="4">
        <v>3081.0</v>
      </c>
      <c r="F890" s="4">
        <v>650.0</v>
      </c>
      <c r="G890" s="4"/>
    </row>
    <row r="891">
      <c r="A891" s="4" t="s">
        <v>4</v>
      </c>
      <c r="B891" s="11">
        <v>44347.0</v>
      </c>
      <c r="C891" s="11">
        <v>44353.0</v>
      </c>
      <c r="D891" s="4">
        <v>22.0</v>
      </c>
      <c r="E891" s="4">
        <v>3014.0</v>
      </c>
      <c r="F891" s="4">
        <v>769.0</v>
      </c>
      <c r="G891" s="4"/>
    </row>
    <row r="892">
      <c r="A892" s="4" t="s">
        <v>4</v>
      </c>
      <c r="B892" s="11">
        <v>44354.0</v>
      </c>
      <c r="C892" s="11">
        <v>44360.0</v>
      </c>
      <c r="D892" s="4">
        <v>23.0</v>
      </c>
      <c r="E892" s="4">
        <v>3132.0</v>
      </c>
      <c r="F892" s="4">
        <v>770.0</v>
      </c>
      <c r="G892" s="4"/>
    </row>
    <row r="893">
      <c r="A893" s="4" t="s">
        <v>4</v>
      </c>
      <c r="B893" s="11">
        <v>44361.0</v>
      </c>
      <c r="C893" s="11">
        <v>44367.0</v>
      </c>
      <c r="D893" s="4">
        <v>24.0</v>
      </c>
      <c r="E893" s="4">
        <v>3180.0</v>
      </c>
      <c r="F893" s="4">
        <v>806.0</v>
      </c>
      <c r="G893" s="4"/>
    </row>
    <row r="894">
      <c r="A894" s="4" t="s">
        <v>4</v>
      </c>
      <c r="B894" s="11">
        <v>44368.0</v>
      </c>
      <c r="C894" s="11">
        <v>44374.0</v>
      </c>
      <c r="D894" s="4">
        <v>25.0</v>
      </c>
      <c r="E894" s="4">
        <v>3194.0</v>
      </c>
      <c r="F894" s="4">
        <v>785.0</v>
      </c>
      <c r="G894" s="4"/>
    </row>
    <row r="895">
      <c r="A895" s="4" t="s">
        <v>4</v>
      </c>
      <c r="B895" s="11">
        <v>44375.0</v>
      </c>
      <c r="C895" s="11">
        <v>44381.0</v>
      </c>
      <c r="D895" s="4">
        <v>26.0</v>
      </c>
      <c r="E895" s="4">
        <v>3326.0</v>
      </c>
      <c r="F895" s="4">
        <v>805.0</v>
      </c>
      <c r="G895" s="4"/>
    </row>
    <row r="896">
      <c r="A896" s="4" t="s">
        <v>4</v>
      </c>
      <c r="B896" s="11">
        <v>44382.0</v>
      </c>
      <c r="C896" s="11">
        <v>44388.0</v>
      </c>
      <c r="D896" s="4">
        <v>27.0</v>
      </c>
      <c r="E896" s="4">
        <v>3119.0</v>
      </c>
      <c r="F896" s="4">
        <v>774.0</v>
      </c>
      <c r="G896" s="4"/>
    </row>
    <row r="897">
      <c r="A897" s="4" t="s">
        <v>4</v>
      </c>
      <c r="B897" s="11">
        <v>44389.0</v>
      </c>
      <c r="C897" s="11">
        <v>44395.0</v>
      </c>
      <c r="D897" s="4">
        <v>28.0</v>
      </c>
      <c r="E897" s="4">
        <v>3042.0</v>
      </c>
      <c r="F897" s="4">
        <v>637.0</v>
      </c>
      <c r="G897" s="4"/>
    </row>
    <row r="898">
      <c r="A898" s="4" t="s">
        <v>4</v>
      </c>
      <c r="B898" s="11">
        <v>44396.0</v>
      </c>
      <c r="C898" s="11">
        <v>44402.0</v>
      </c>
      <c r="D898" s="4">
        <v>29.0</v>
      </c>
      <c r="E898" s="4">
        <v>2866.0</v>
      </c>
      <c r="F898" s="4">
        <v>512.0</v>
      </c>
      <c r="G898" s="4"/>
    </row>
    <row r="899">
      <c r="A899" s="4" t="s">
        <v>4</v>
      </c>
      <c r="B899" s="11">
        <v>44403.0</v>
      </c>
      <c r="C899" s="11">
        <v>44409.0</v>
      </c>
      <c r="D899" s="4">
        <v>30.0</v>
      </c>
      <c r="E899" s="4">
        <v>2745.0</v>
      </c>
      <c r="F899" s="4">
        <v>502.0</v>
      </c>
      <c r="G899" s="4"/>
    </row>
    <row r="900">
      <c r="A900" s="4" t="s">
        <v>4</v>
      </c>
      <c r="B900" s="11">
        <v>44410.0</v>
      </c>
      <c r="C900" s="11">
        <v>44416.0</v>
      </c>
      <c r="D900" s="4">
        <v>31.0</v>
      </c>
      <c r="E900" s="4">
        <v>2639.0</v>
      </c>
      <c r="F900" s="4">
        <v>488.0</v>
      </c>
      <c r="G900" s="4"/>
    </row>
    <row r="901">
      <c r="A901" s="4" t="s">
        <v>4</v>
      </c>
      <c r="B901" s="11">
        <v>44417.0</v>
      </c>
      <c r="C901" s="11">
        <v>44423.0</v>
      </c>
      <c r="D901" s="4">
        <v>32.0</v>
      </c>
      <c r="E901" s="4">
        <v>2625.0</v>
      </c>
      <c r="F901" s="4">
        <v>364.0</v>
      </c>
      <c r="G901" s="4"/>
    </row>
    <row r="902">
      <c r="A902" s="4" t="s">
        <v>4</v>
      </c>
      <c r="B902" s="11">
        <v>44424.0</v>
      </c>
      <c r="C902" s="11">
        <v>44430.0</v>
      </c>
      <c r="D902" s="4">
        <v>33.0</v>
      </c>
      <c r="E902" s="4">
        <v>2608.0</v>
      </c>
      <c r="F902" s="4">
        <v>270.0</v>
      </c>
      <c r="G902" s="4"/>
    </row>
    <row r="903">
      <c r="A903" s="4" t="s">
        <v>4</v>
      </c>
      <c r="B903" s="11">
        <v>44431.0</v>
      </c>
      <c r="C903" s="11">
        <v>44437.0</v>
      </c>
      <c r="D903" s="4">
        <v>34.0</v>
      </c>
      <c r="E903" s="4">
        <v>2357.0</v>
      </c>
      <c r="F903" s="4">
        <v>235.0</v>
      </c>
      <c r="G903" s="4"/>
    </row>
    <row r="904">
      <c r="A904" s="4" t="s">
        <v>4</v>
      </c>
      <c r="B904" s="11">
        <v>44438.0</v>
      </c>
      <c r="C904" s="11">
        <v>44444.0</v>
      </c>
      <c r="D904" s="4">
        <v>35.0</v>
      </c>
      <c r="E904" s="4">
        <v>2332.0</v>
      </c>
      <c r="F904" s="4">
        <v>205.0</v>
      </c>
      <c r="G904" s="4"/>
    </row>
    <row r="905">
      <c r="A905" s="4" t="s">
        <v>4</v>
      </c>
      <c r="B905" s="11">
        <v>44445.0</v>
      </c>
      <c r="C905" s="11">
        <v>44451.0</v>
      </c>
      <c r="D905" s="4">
        <v>36.0</v>
      </c>
      <c r="E905" s="4">
        <v>2394.0</v>
      </c>
      <c r="F905" s="4">
        <v>142.0</v>
      </c>
      <c r="G905" s="4"/>
    </row>
    <row r="906">
      <c r="A906" s="4" t="s">
        <v>4</v>
      </c>
      <c r="B906" s="11">
        <v>44452.0</v>
      </c>
      <c r="C906" s="11">
        <v>44458.0</v>
      </c>
      <c r="D906" s="4">
        <v>37.0</v>
      </c>
      <c r="E906" s="4">
        <v>2383.0</v>
      </c>
      <c r="F906" s="4">
        <v>127.0</v>
      </c>
      <c r="G906" s="4"/>
    </row>
    <row r="907">
      <c r="A907" s="4" t="s">
        <v>4</v>
      </c>
      <c r="B907" s="11">
        <v>44459.0</v>
      </c>
      <c r="C907" s="11">
        <v>44465.0</v>
      </c>
      <c r="D907" s="4">
        <v>38.0</v>
      </c>
      <c r="E907" s="4">
        <v>2354.0</v>
      </c>
      <c r="F907" s="4">
        <v>81.0</v>
      </c>
      <c r="G907" s="4"/>
    </row>
    <row r="908">
      <c r="A908" s="4" t="s">
        <v>4</v>
      </c>
      <c r="B908" s="11">
        <v>44466.0</v>
      </c>
      <c r="C908" s="12">
        <v>44472.0</v>
      </c>
      <c r="D908" s="4">
        <v>39.0</v>
      </c>
      <c r="E908" s="4">
        <v>2244.0</v>
      </c>
      <c r="F908" s="4">
        <v>54.0</v>
      </c>
      <c r="G908" s="4"/>
    </row>
    <row r="909">
      <c r="A909" s="4" t="s">
        <v>4</v>
      </c>
      <c r="B909" s="12">
        <v>44473.0</v>
      </c>
      <c r="C909" s="12">
        <v>44479.0</v>
      </c>
      <c r="D909" s="4">
        <v>40.0</v>
      </c>
      <c r="E909" s="4">
        <v>2316.0</v>
      </c>
      <c r="F909" s="4">
        <v>70.0</v>
      </c>
      <c r="G909" s="4"/>
    </row>
    <row r="910">
      <c r="A910" s="4" t="s">
        <v>4</v>
      </c>
      <c r="B910" s="12">
        <v>44480.0</v>
      </c>
      <c r="C910" s="12">
        <v>44486.0</v>
      </c>
      <c r="D910" s="4">
        <v>41.0</v>
      </c>
      <c r="E910" s="4">
        <v>2325.0</v>
      </c>
      <c r="F910" s="4">
        <v>45.0</v>
      </c>
      <c r="G910" s="4"/>
    </row>
    <row r="911">
      <c r="A911" s="4" t="s">
        <v>4</v>
      </c>
      <c r="B911" s="12">
        <v>44487.0</v>
      </c>
      <c r="C911" s="12">
        <v>44493.0</v>
      </c>
      <c r="D911" s="4">
        <v>42.0</v>
      </c>
      <c r="E911" s="4">
        <v>2112.0</v>
      </c>
      <c r="F911" s="4">
        <v>60.0</v>
      </c>
      <c r="G911" s="4"/>
    </row>
    <row r="912">
      <c r="A912" s="4" t="s">
        <v>5</v>
      </c>
      <c r="B912" s="12">
        <v>42002.0</v>
      </c>
      <c r="C912" s="11">
        <v>42008.0</v>
      </c>
      <c r="D912" s="4">
        <v>1.0</v>
      </c>
      <c r="E912" s="4">
        <v>4746.0</v>
      </c>
      <c r="F912" s="4">
        <v>0.0</v>
      </c>
      <c r="G912" s="4"/>
    </row>
    <row r="913">
      <c r="A913" s="4" t="s">
        <v>5</v>
      </c>
      <c r="B913" s="11">
        <v>42009.0</v>
      </c>
      <c r="C913" s="11">
        <v>42015.0</v>
      </c>
      <c r="D913" s="4">
        <v>2.0</v>
      </c>
      <c r="E913" s="4">
        <v>4588.0</v>
      </c>
      <c r="F913" s="4">
        <v>0.0</v>
      </c>
      <c r="G913" s="4"/>
    </row>
    <row r="914">
      <c r="A914" s="4" t="s">
        <v>5</v>
      </c>
      <c r="B914" s="11">
        <v>42016.0</v>
      </c>
      <c r="C914" s="11">
        <v>42022.0</v>
      </c>
      <c r="D914" s="4">
        <v>3.0</v>
      </c>
      <c r="E914" s="4">
        <v>4525.0</v>
      </c>
      <c r="F914" s="4">
        <v>0.0</v>
      </c>
      <c r="G914" s="4"/>
    </row>
    <row r="915">
      <c r="A915" s="4" t="s">
        <v>5</v>
      </c>
      <c r="B915" s="11">
        <v>42023.0</v>
      </c>
      <c r="C915" s="11">
        <v>42029.0</v>
      </c>
      <c r="D915" s="4">
        <v>4.0</v>
      </c>
      <c r="E915" s="4">
        <v>4280.0</v>
      </c>
      <c r="F915" s="4">
        <v>0.0</v>
      </c>
      <c r="G915" s="4"/>
    </row>
    <row r="916">
      <c r="A916" s="4" t="s">
        <v>5</v>
      </c>
      <c r="B916" s="11">
        <v>42030.0</v>
      </c>
      <c r="C916" s="11">
        <v>42036.0</v>
      </c>
      <c r="D916" s="4">
        <v>5.0</v>
      </c>
      <c r="E916" s="4">
        <v>4185.0</v>
      </c>
      <c r="F916" s="4">
        <v>0.0</v>
      </c>
      <c r="G916" s="4"/>
    </row>
    <row r="917">
      <c r="A917" s="4" t="s">
        <v>5</v>
      </c>
      <c r="B917" s="11">
        <v>42037.0</v>
      </c>
      <c r="C917" s="11">
        <v>42043.0</v>
      </c>
      <c r="D917" s="4">
        <v>6.0</v>
      </c>
      <c r="E917" s="4">
        <v>4090.0</v>
      </c>
      <c r="F917" s="4">
        <v>0.0</v>
      </c>
      <c r="G917" s="4"/>
    </row>
    <row r="918">
      <c r="A918" s="4" t="s">
        <v>5</v>
      </c>
      <c r="B918" s="11">
        <v>42044.0</v>
      </c>
      <c r="C918" s="11">
        <v>42050.0</v>
      </c>
      <c r="D918" s="4">
        <v>7.0</v>
      </c>
      <c r="E918" s="4">
        <v>4070.0</v>
      </c>
      <c r="F918" s="4">
        <v>0.0</v>
      </c>
      <c r="G918" s="4"/>
    </row>
    <row r="919">
      <c r="A919" s="4" t="s">
        <v>5</v>
      </c>
      <c r="B919" s="11">
        <v>42051.0</v>
      </c>
      <c r="C919" s="11">
        <v>42057.0</v>
      </c>
      <c r="D919" s="4">
        <v>8.0</v>
      </c>
      <c r="E919" s="4">
        <v>4104.0</v>
      </c>
      <c r="F919" s="4">
        <v>0.0</v>
      </c>
      <c r="G919" s="4"/>
    </row>
    <row r="920">
      <c r="A920" s="4" t="s">
        <v>5</v>
      </c>
      <c r="B920" s="11">
        <v>42058.0</v>
      </c>
      <c r="C920" s="11">
        <v>42064.0</v>
      </c>
      <c r="D920" s="4">
        <v>9.0</v>
      </c>
      <c r="E920" s="4">
        <v>4137.0</v>
      </c>
      <c r="F920" s="4">
        <v>0.0</v>
      </c>
      <c r="G920" s="4"/>
    </row>
    <row r="921">
      <c r="A921" s="4" t="s">
        <v>5</v>
      </c>
      <c r="B921" s="11">
        <v>42065.0</v>
      </c>
      <c r="C921" s="11">
        <v>42071.0</v>
      </c>
      <c r="D921" s="4">
        <v>10.0</v>
      </c>
      <c r="E921" s="4">
        <v>4109.0</v>
      </c>
      <c r="F921" s="4">
        <v>0.0</v>
      </c>
      <c r="G921" s="4"/>
    </row>
    <row r="922">
      <c r="A922" s="4" t="s">
        <v>5</v>
      </c>
      <c r="B922" s="11">
        <v>42072.0</v>
      </c>
      <c r="C922" s="11">
        <v>42078.0</v>
      </c>
      <c r="D922" s="4">
        <v>11.0</v>
      </c>
      <c r="E922" s="4">
        <v>4265.0</v>
      </c>
      <c r="F922" s="4">
        <v>0.0</v>
      </c>
      <c r="G922" s="4"/>
    </row>
    <row r="923">
      <c r="A923" s="4" t="s">
        <v>5</v>
      </c>
      <c r="B923" s="11">
        <v>42079.0</v>
      </c>
      <c r="C923" s="11">
        <v>42085.0</v>
      </c>
      <c r="D923" s="4">
        <v>12.0</v>
      </c>
      <c r="E923" s="4">
        <v>4071.0</v>
      </c>
      <c r="F923" s="4">
        <v>0.0</v>
      </c>
      <c r="G923" s="4"/>
    </row>
    <row r="924">
      <c r="A924" s="4" t="s">
        <v>5</v>
      </c>
      <c r="B924" s="11">
        <v>42086.0</v>
      </c>
      <c r="C924" s="11">
        <v>42092.0</v>
      </c>
      <c r="D924" s="4">
        <v>13.0</v>
      </c>
      <c r="E924" s="4">
        <v>4192.0</v>
      </c>
      <c r="F924" s="4">
        <v>0.0</v>
      </c>
      <c r="G924" s="4"/>
    </row>
    <row r="925">
      <c r="A925" s="4" t="s">
        <v>5</v>
      </c>
      <c r="B925" s="11">
        <v>42093.0</v>
      </c>
      <c r="C925" s="11">
        <v>42099.0</v>
      </c>
      <c r="D925" s="4">
        <v>14.0</v>
      </c>
      <c r="E925" s="4">
        <v>4067.0</v>
      </c>
      <c r="F925" s="4">
        <v>0.0</v>
      </c>
      <c r="G925" s="4"/>
    </row>
    <row r="926">
      <c r="A926" s="4" t="s">
        <v>5</v>
      </c>
      <c r="B926" s="11">
        <v>42100.0</v>
      </c>
      <c r="C926" s="11">
        <v>42106.0</v>
      </c>
      <c r="D926" s="4">
        <v>15.0</v>
      </c>
      <c r="E926" s="4">
        <v>4059.0</v>
      </c>
      <c r="F926" s="4">
        <v>0.0</v>
      </c>
      <c r="G926" s="4"/>
    </row>
    <row r="927">
      <c r="A927" s="4" t="s">
        <v>5</v>
      </c>
      <c r="B927" s="11">
        <v>42107.0</v>
      </c>
      <c r="C927" s="11">
        <v>42113.0</v>
      </c>
      <c r="D927" s="4">
        <v>16.0</v>
      </c>
      <c r="E927" s="4">
        <v>4063.0</v>
      </c>
      <c r="F927" s="4">
        <v>0.0</v>
      </c>
      <c r="G927" s="4"/>
    </row>
    <row r="928">
      <c r="A928" s="4" t="s">
        <v>5</v>
      </c>
      <c r="B928" s="11">
        <v>42114.0</v>
      </c>
      <c r="C928" s="11">
        <v>42120.0</v>
      </c>
      <c r="D928" s="4">
        <v>17.0</v>
      </c>
      <c r="E928" s="4">
        <v>4042.0</v>
      </c>
      <c r="F928" s="4">
        <v>0.0</v>
      </c>
      <c r="G928" s="4"/>
    </row>
    <row r="929">
      <c r="A929" s="4" t="s">
        <v>5</v>
      </c>
      <c r="B929" s="11">
        <v>42121.0</v>
      </c>
      <c r="C929" s="11">
        <v>42127.0</v>
      </c>
      <c r="D929" s="4">
        <v>18.0</v>
      </c>
      <c r="E929" s="4">
        <v>4186.0</v>
      </c>
      <c r="F929" s="4">
        <v>0.0</v>
      </c>
      <c r="G929" s="4"/>
    </row>
    <row r="930">
      <c r="A930" s="4" t="s">
        <v>5</v>
      </c>
      <c r="B930" s="11">
        <v>42128.0</v>
      </c>
      <c r="C930" s="11">
        <v>42134.0</v>
      </c>
      <c r="D930" s="4">
        <v>19.0</v>
      </c>
      <c r="E930" s="4">
        <v>4241.0</v>
      </c>
      <c r="F930" s="4">
        <v>0.0</v>
      </c>
      <c r="G930" s="4"/>
    </row>
    <row r="931">
      <c r="A931" s="4" t="s">
        <v>5</v>
      </c>
      <c r="B931" s="11">
        <v>42135.0</v>
      </c>
      <c r="C931" s="11">
        <v>42141.0</v>
      </c>
      <c r="D931" s="4">
        <v>20.0</v>
      </c>
      <c r="E931" s="4">
        <v>4277.0</v>
      </c>
      <c r="F931" s="4">
        <v>0.0</v>
      </c>
      <c r="G931" s="4"/>
    </row>
    <row r="932">
      <c r="A932" s="4" t="s">
        <v>5</v>
      </c>
      <c r="B932" s="11">
        <v>42142.0</v>
      </c>
      <c r="C932" s="11">
        <v>42148.0</v>
      </c>
      <c r="D932" s="4">
        <v>21.0</v>
      </c>
      <c r="E932" s="4">
        <v>4165.0</v>
      </c>
      <c r="F932" s="4">
        <v>0.0</v>
      </c>
      <c r="G932" s="4"/>
    </row>
    <row r="933">
      <c r="A933" s="4" t="s">
        <v>5</v>
      </c>
      <c r="B933" s="11">
        <v>42149.0</v>
      </c>
      <c r="C933" s="11">
        <v>42155.0</v>
      </c>
      <c r="D933" s="4">
        <v>22.0</v>
      </c>
      <c r="E933" s="4">
        <v>4024.0</v>
      </c>
      <c r="F933" s="4">
        <v>0.0</v>
      </c>
      <c r="G933" s="4"/>
    </row>
    <row r="934">
      <c r="A934" s="4" t="s">
        <v>5</v>
      </c>
      <c r="B934" s="11">
        <v>42156.0</v>
      </c>
      <c r="C934" s="11">
        <v>42162.0</v>
      </c>
      <c r="D934" s="4">
        <v>23.0</v>
      </c>
      <c r="E934" s="4">
        <v>4102.0</v>
      </c>
      <c r="F934" s="4">
        <v>0.0</v>
      </c>
      <c r="G934" s="4"/>
    </row>
    <row r="935">
      <c r="A935" s="4" t="s">
        <v>5</v>
      </c>
      <c r="B935" s="11">
        <v>42163.0</v>
      </c>
      <c r="C935" s="11">
        <v>42169.0</v>
      </c>
      <c r="D935" s="4">
        <v>24.0</v>
      </c>
      <c r="E935" s="4">
        <v>4142.0</v>
      </c>
      <c r="F935" s="4">
        <v>0.0</v>
      </c>
      <c r="G935" s="4"/>
    </row>
    <row r="936">
      <c r="A936" s="4" t="s">
        <v>5</v>
      </c>
      <c r="B936" s="11">
        <v>42170.0</v>
      </c>
      <c r="C936" s="11">
        <v>42176.0</v>
      </c>
      <c r="D936" s="4">
        <v>25.0</v>
      </c>
      <c r="E936" s="4">
        <v>4284.0</v>
      </c>
      <c r="F936" s="4">
        <v>0.0</v>
      </c>
      <c r="G936" s="4"/>
    </row>
    <row r="937">
      <c r="A937" s="4" t="s">
        <v>5</v>
      </c>
      <c r="B937" s="11">
        <v>42177.0</v>
      </c>
      <c r="C937" s="11">
        <v>42183.0</v>
      </c>
      <c r="D937" s="4">
        <v>26.0</v>
      </c>
      <c r="E937" s="4">
        <v>4343.0</v>
      </c>
      <c r="F937" s="4">
        <v>0.0</v>
      </c>
      <c r="G937" s="4"/>
    </row>
    <row r="938">
      <c r="A938" s="4" t="s">
        <v>5</v>
      </c>
      <c r="B938" s="11">
        <v>42184.0</v>
      </c>
      <c r="C938" s="11">
        <v>42190.0</v>
      </c>
      <c r="D938" s="4">
        <v>27.0</v>
      </c>
      <c r="E938" s="4">
        <v>4369.0</v>
      </c>
      <c r="F938" s="4">
        <v>0.0</v>
      </c>
      <c r="G938" s="4"/>
    </row>
    <row r="939">
      <c r="A939" s="4" t="s">
        <v>5</v>
      </c>
      <c r="B939" s="11">
        <v>42191.0</v>
      </c>
      <c r="C939" s="11">
        <v>42197.0</v>
      </c>
      <c r="D939" s="4">
        <v>28.0</v>
      </c>
      <c r="E939" s="4">
        <v>4334.0</v>
      </c>
      <c r="F939" s="4">
        <v>0.0</v>
      </c>
      <c r="G939" s="4"/>
    </row>
    <row r="940">
      <c r="A940" s="4" t="s">
        <v>5</v>
      </c>
      <c r="B940" s="11">
        <v>42198.0</v>
      </c>
      <c r="C940" s="11">
        <v>42204.0</v>
      </c>
      <c r="D940" s="4">
        <v>29.0</v>
      </c>
      <c r="E940" s="4">
        <v>4139.0</v>
      </c>
      <c r="F940" s="4">
        <v>0.0</v>
      </c>
      <c r="G940" s="4"/>
    </row>
    <row r="941">
      <c r="A941" s="4" t="s">
        <v>5</v>
      </c>
      <c r="B941" s="11">
        <v>42205.0</v>
      </c>
      <c r="C941" s="11">
        <v>42211.0</v>
      </c>
      <c r="D941" s="4">
        <v>30.0</v>
      </c>
      <c r="E941" s="4">
        <v>3970.0</v>
      </c>
      <c r="F941" s="4">
        <v>0.0</v>
      </c>
      <c r="G941" s="4"/>
    </row>
    <row r="942">
      <c r="A942" s="4" t="s">
        <v>5</v>
      </c>
      <c r="B942" s="11">
        <v>42212.0</v>
      </c>
      <c r="C942" s="11">
        <v>42218.0</v>
      </c>
      <c r="D942" s="4">
        <v>31.0</v>
      </c>
      <c r="E942" s="4">
        <v>4069.0</v>
      </c>
      <c r="F942" s="4">
        <v>0.0</v>
      </c>
      <c r="G942" s="4"/>
    </row>
    <row r="943">
      <c r="A943" s="4" t="s">
        <v>5</v>
      </c>
      <c r="B943" s="11">
        <v>42219.0</v>
      </c>
      <c r="C943" s="11">
        <v>42225.0</v>
      </c>
      <c r="D943" s="4">
        <v>32.0</v>
      </c>
      <c r="E943" s="4">
        <v>4296.0</v>
      </c>
      <c r="F943" s="4">
        <v>0.0</v>
      </c>
      <c r="G943" s="4"/>
    </row>
    <row r="944">
      <c r="A944" s="4" t="s">
        <v>5</v>
      </c>
      <c r="B944" s="11">
        <v>42226.0</v>
      </c>
      <c r="C944" s="11">
        <v>42232.0</v>
      </c>
      <c r="D944" s="4">
        <v>33.0</v>
      </c>
      <c r="E944" s="4">
        <v>4101.0</v>
      </c>
      <c r="F944" s="4">
        <v>0.0</v>
      </c>
      <c r="G944" s="4"/>
    </row>
    <row r="945">
      <c r="A945" s="4" t="s">
        <v>5</v>
      </c>
      <c r="B945" s="11">
        <v>42233.0</v>
      </c>
      <c r="C945" s="11">
        <v>42239.0</v>
      </c>
      <c r="D945" s="4">
        <v>34.0</v>
      </c>
      <c r="E945" s="4">
        <v>4000.0</v>
      </c>
      <c r="F945" s="4">
        <v>0.0</v>
      </c>
      <c r="G945" s="4"/>
    </row>
    <row r="946">
      <c r="A946" s="4" t="s">
        <v>5</v>
      </c>
      <c r="B946" s="11">
        <v>42240.0</v>
      </c>
      <c r="C946" s="11">
        <v>42246.0</v>
      </c>
      <c r="D946" s="4">
        <v>35.0</v>
      </c>
      <c r="E946" s="4">
        <v>4083.0</v>
      </c>
      <c r="F946" s="4">
        <v>0.0</v>
      </c>
      <c r="G946" s="4"/>
    </row>
    <row r="947">
      <c r="A947" s="4" t="s">
        <v>5</v>
      </c>
      <c r="B947" s="11">
        <v>42247.0</v>
      </c>
      <c r="C947" s="11">
        <v>42253.0</v>
      </c>
      <c r="D947" s="4">
        <v>36.0</v>
      </c>
      <c r="E947" s="4">
        <v>4233.0</v>
      </c>
      <c r="F947" s="4">
        <v>0.0</v>
      </c>
      <c r="G947" s="4"/>
    </row>
    <row r="948">
      <c r="A948" s="4" t="s">
        <v>5</v>
      </c>
      <c r="B948" s="11">
        <v>42254.0</v>
      </c>
      <c r="C948" s="11">
        <v>42260.0</v>
      </c>
      <c r="D948" s="4">
        <v>37.0</v>
      </c>
      <c r="E948" s="4">
        <v>4135.0</v>
      </c>
      <c r="F948" s="4">
        <v>0.0</v>
      </c>
      <c r="G948" s="4"/>
    </row>
    <row r="949">
      <c r="A949" s="4" t="s">
        <v>5</v>
      </c>
      <c r="B949" s="11">
        <v>42261.0</v>
      </c>
      <c r="C949" s="11">
        <v>42267.0</v>
      </c>
      <c r="D949" s="4">
        <v>38.0</v>
      </c>
      <c r="E949" s="4">
        <v>4203.0</v>
      </c>
      <c r="F949" s="4">
        <v>0.0</v>
      </c>
      <c r="G949" s="4"/>
    </row>
    <row r="950">
      <c r="A950" s="4" t="s">
        <v>5</v>
      </c>
      <c r="B950" s="11">
        <v>42268.0</v>
      </c>
      <c r="C950" s="11">
        <v>42274.0</v>
      </c>
      <c r="D950" s="4">
        <v>39.0</v>
      </c>
      <c r="E950" s="4">
        <v>4217.0</v>
      </c>
      <c r="F950" s="4">
        <v>0.0</v>
      </c>
      <c r="G950" s="4"/>
    </row>
    <row r="951">
      <c r="A951" s="4" t="s">
        <v>5</v>
      </c>
      <c r="B951" s="11">
        <v>42275.0</v>
      </c>
      <c r="C951" s="12">
        <v>42281.0</v>
      </c>
      <c r="D951" s="4">
        <v>40.0</v>
      </c>
      <c r="E951" s="4">
        <v>4232.0</v>
      </c>
      <c r="F951" s="4">
        <v>0.0</v>
      </c>
      <c r="G951" s="4"/>
    </row>
    <row r="952">
      <c r="A952" s="4" t="s">
        <v>5</v>
      </c>
      <c r="B952" s="12">
        <v>42282.0</v>
      </c>
      <c r="C952" s="12">
        <v>42288.0</v>
      </c>
      <c r="D952" s="4">
        <v>41.0</v>
      </c>
      <c r="E952" s="4">
        <v>4162.0</v>
      </c>
      <c r="F952" s="4">
        <v>0.0</v>
      </c>
      <c r="G952" s="4"/>
    </row>
    <row r="953">
      <c r="A953" s="4" t="s">
        <v>5</v>
      </c>
      <c r="B953" s="12">
        <v>42289.0</v>
      </c>
      <c r="C953" s="12">
        <v>42295.0</v>
      </c>
      <c r="D953" s="4">
        <v>42.0</v>
      </c>
      <c r="E953" s="4">
        <v>4045.0</v>
      </c>
      <c r="F953" s="4">
        <v>0.0</v>
      </c>
      <c r="G953" s="4"/>
    </row>
    <row r="954">
      <c r="A954" s="4" t="s">
        <v>5</v>
      </c>
      <c r="B954" s="12">
        <v>42296.0</v>
      </c>
      <c r="C954" s="12">
        <v>42302.0</v>
      </c>
      <c r="D954" s="4">
        <v>43.0</v>
      </c>
      <c r="E954" s="4">
        <v>4027.0</v>
      </c>
      <c r="F954" s="4">
        <v>0.0</v>
      </c>
      <c r="G954" s="4"/>
    </row>
    <row r="955">
      <c r="A955" s="4" t="s">
        <v>5</v>
      </c>
      <c r="B955" s="12">
        <v>42303.0</v>
      </c>
      <c r="C955" s="12">
        <v>42309.0</v>
      </c>
      <c r="D955" s="4">
        <v>44.0</v>
      </c>
      <c r="E955" s="4">
        <v>4238.0</v>
      </c>
      <c r="F955" s="4">
        <v>0.0</v>
      </c>
      <c r="G955" s="4"/>
    </row>
    <row r="956">
      <c r="A956" s="4" t="s">
        <v>5</v>
      </c>
      <c r="B956" s="12">
        <v>42310.0</v>
      </c>
      <c r="C956" s="12">
        <v>42316.0</v>
      </c>
      <c r="D956" s="4">
        <v>45.0</v>
      </c>
      <c r="E956" s="4">
        <v>4174.0</v>
      </c>
      <c r="F956" s="4">
        <v>0.0</v>
      </c>
      <c r="G956" s="4"/>
    </row>
    <row r="957">
      <c r="A957" s="4" t="s">
        <v>5</v>
      </c>
      <c r="B957" s="12">
        <v>42317.0</v>
      </c>
      <c r="C957" s="12">
        <v>42323.0</v>
      </c>
      <c r="D957" s="4">
        <v>46.0</v>
      </c>
      <c r="E957" s="4">
        <v>4363.0</v>
      </c>
      <c r="F957" s="4">
        <v>0.0</v>
      </c>
      <c r="G957" s="4"/>
    </row>
    <row r="958">
      <c r="A958" s="4" t="s">
        <v>5</v>
      </c>
      <c r="B958" s="12">
        <v>42324.0</v>
      </c>
      <c r="C958" s="12">
        <v>42330.0</v>
      </c>
      <c r="D958" s="4">
        <v>47.0</v>
      </c>
      <c r="E958" s="4">
        <v>4303.0</v>
      </c>
      <c r="F958" s="4">
        <v>0.0</v>
      </c>
      <c r="G958" s="4"/>
    </row>
    <row r="959">
      <c r="A959" s="4" t="s">
        <v>5</v>
      </c>
      <c r="B959" s="12">
        <v>42331.0</v>
      </c>
      <c r="C959" s="12">
        <v>42337.0</v>
      </c>
      <c r="D959" s="4">
        <v>48.0</v>
      </c>
      <c r="E959" s="4">
        <v>4289.0</v>
      </c>
      <c r="F959" s="4">
        <v>0.0</v>
      </c>
      <c r="G959" s="4"/>
    </row>
    <row r="960">
      <c r="A960" s="4" t="s">
        <v>5</v>
      </c>
      <c r="B960" s="12">
        <v>42338.0</v>
      </c>
      <c r="C960" s="12">
        <v>42344.0</v>
      </c>
      <c r="D960" s="4">
        <v>49.0</v>
      </c>
      <c r="E960" s="4">
        <v>4368.0</v>
      </c>
      <c r="F960" s="4">
        <v>0.0</v>
      </c>
      <c r="G960" s="4"/>
    </row>
    <row r="961">
      <c r="A961" s="4" t="s">
        <v>5</v>
      </c>
      <c r="B961" s="12">
        <v>42345.0</v>
      </c>
      <c r="C961" s="12">
        <v>42351.0</v>
      </c>
      <c r="D961" s="4">
        <v>50.0</v>
      </c>
      <c r="E961" s="4">
        <v>4324.0</v>
      </c>
      <c r="F961" s="4">
        <v>0.0</v>
      </c>
      <c r="G961" s="4"/>
    </row>
    <row r="962">
      <c r="A962" s="4" t="s">
        <v>5</v>
      </c>
      <c r="B962" s="12">
        <v>42352.0</v>
      </c>
      <c r="C962" s="12">
        <v>42358.0</v>
      </c>
      <c r="D962" s="4">
        <v>51.0</v>
      </c>
      <c r="E962" s="4">
        <v>4301.0</v>
      </c>
      <c r="F962" s="4">
        <v>0.0</v>
      </c>
      <c r="G962" s="4"/>
    </row>
    <row r="963">
      <c r="A963" s="4" t="s">
        <v>5</v>
      </c>
      <c r="B963" s="12">
        <v>42359.0</v>
      </c>
      <c r="C963" s="12">
        <v>42365.0</v>
      </c>
      <c r="D963" s="4">
        <v>52.0</v>
      </c>
      <c r="E963" s="4">
        <v>4553.0</v>
      </c>
      <c r="F963" s="4">
        <v>0.0</v>
      </c>
      <c r="G963" s="4"/>
    </row>
    <row r="964">
      <c r="A964" s="4" t="s">
        <v>5</v>
      </c>
      <c r="B964" s="12">
        <v>42366.0</v>
      </c>
      <c r="C964" s="11">
        <v>42372.0</v>
      </c>
      <c r="D964" s="4">
        <v>53.0</v>
      </c>
      <c r="E964" s="4">
        <v>4609.0</v>
      </c>
      <c r="F964" s="4">
        <v>0.0</v>
      </c>
      <c r="G964" s="4"/>
    </row>
    <row r="965">
      <c r="A965" s="4" t="s">
        <v>5</v>
      </c>
      <c r="B965" s="11">
        <v>42373.0</v>
      </c>
      <c r="C965" s="11">
        <v>42379.0</v>
      </c>
      <c r="D965" s="4">
        <v>1.0</v>
      </c>
      <c r="E965" s="4">
        <v>4474.0</v>
      </c>
      <c r="F965" s="4">
        <v>0.0</v>
      </c>
      <c r="G965" s="4"/>
    </row>
    <row r="966">
      <c r="A966" s="4" t="s">
        <v>5</v>
      </c>
      <c r="B966" s="11">
        <v>42380.0</v>
      </c>
      <c r="C966" s="11">
        <v>42386.0</v>
      </c>
      <c r="D966" s="4">
        <v>2.0</v>
      </c>
      <c r="E966" s="4">
        <v>4435.0</v>
      </c>
      <c r="F966" s="4">
        <v>0.0</v>
      </c>
      <c r="G966" s="4"/>
    </row>
    <row r="967">
      <c r="A967" s="4" t="s">
        <v>5</v>
      </c>
      <c r="B967" s="11">
        <v>42387.0</v>
      </c>
      <c r="C967" s="11">
        <v>42393.0</v>
      </c>
      <c r="D967" s="4">
        <v>3.0</v>
      </c>
      <c r="E967" s="4">
        <v>4389.0</v>
      </c>
      <c r="F967" s="4">
        <v>0.0</v>
      </c>
      <c r="G967" s="4"/>
    </row>
    <row r="968">
      <c r="A968" s="4" t="s">
        <v>5</v>
      </c>
      <c r="B968" s="11">
        <v>42394.0</v>
      </c>
      <c r="C968" s="11">
        <v>42400.0</v>
      </c>
      <c r="D968" s="4">
        <v>4.0</v>
      </c>
      <c r="E968" s="4">
        <v>4253.0</v>
      </c>
      <c r="F968" s="4">
        <v>0.0</v>
      </c>
      <c r="G968" s="4"/>
    </row>
    <row r="969">
      <c r="A969" s="4" t="s">
        <v>5</v>
      </c>
      <c r="B969" s="11">
        <v>42401.0</v>
      </c>
      <c r="C969" s="11">
        <v>42407.0</v>
      </c>
      <c r="D969" s="4">
        <v>5.0</v>
      </c>
      <c r="E969" s="4">
        <v>4183.0</v>
      </c>
      <c r="F969" s="4">
        <v>0.0</v>
      </c>
      <c r="G969" s="4"/>
    </row>
    <row r="970">
      <c r="A970" s="4" t="s">
        <v>5</v>
      </c>
      <c r="B970" s="11">
        <v>42408.0</v>
      </c>
      <c r="C970" s="11">
        <v>42414.0</v>
      </c>
      <c r="D970" s="4">
        <v>6.0</v>
      </c>
      <c r="E970" s="4">
        <v>4113.0</v>
      </c>
      <c r="F970" s="4">
        <v>0.0</v>
      </c>
      <c r="G970" s="4"/>
    </row>
    <row r="971">
      <c r="A971" s="4" t="s">
        <v>5</v>
      </c>
      <c r="B971" s="11">
        <v>42415.0</v>
      </c>
      <c r="C971" s="11">
        <v>42421.0</v>
      </c>
      <c r="D971" s="4">
        <v>7.0</v>
      </c>
      <c r="E971" s="4">
        <v>4131.0</v>
      </c>
      <c r="F971" s="4">
        <v>0.0</v>
      </c>
      <c r="G971" s="4"/>
    </row>
    <row r="972">
      <c r="A972" s="4" t="s">
        <v>5</v>
      </c>
      <c r="B972" s="11">
        <v>42422.0</v>
      </c>
      <c r="C972" s="11">
        <v>42428.0</v>
      </c>
      <c r="D972" s="4">
        <v>8.0</v>
      </c>
      <c r="E972" s="4">
        <v>4100.0</v>
      </c>
      <c r="F972" s="4">
        <v>0.0</v>
      </c>
      <c r="G972" s="4"/>
    </row>
    <row r="973">
      <c r="A973" s="4" t="s">
        <v>5</v>
      </c>
      <c r="B973" s="11">
        <v>42429.0</v>
      </c>
      <c r="C973" s="11">
        <v>42435.0</v>
      </c>
      <c r="D973" s="4">
        <v>9.0</v>
      </c>
      <c r="E973" s="4">
        <v>4190.0</v>
      </c>
      <c r="F973" s="4">
        <v>0.0</v>
      </c>
      <c r="G973" s="4"/>
    </row>
    <row r="974">
      <c r="A974" s="4" t="s">
        <v>5</v>
      </c>
      <c r="B974" s="11">
        <v>42436.0</v>
      </c>
      <c r="C974" s="11">
        <v>42442.0</v>
      </c>
      <c r="D974" s="4">
        <v>10.0</v>
      </c>
      <c r="E974" s="4">
        <v>4218.0</v>
      </c>
      <c r="F974" s="4">
        <v>0.0</v>
      </c>
      <c r="G974" s="4"/>
    </row>
    <row r="975">
      <c r="A975" s="4" t="s">
        <v>5</v>
      </c>
      <c r="B975" s="11">
        <v>42443.0</v>
      </c>
      <c r="C975" s="11">
        <v>42449.0</v>
      </c>
      <c r="D975" s="4">
        <v>11.0</v>
      </c>
      <c r="E975" s="4">
        <v>4228.0</v>
      </c>
      <c r="F975" s="4">
        <v>0.0</v>
      </c>
      <c r="G975" s="4"/>
    </row>
    <row r="976">
      <c r="A976" s="4" t="s">
        <v>5</v>
      </c>
      <c r="B976" s="11">
        <v>42450.0</v>
      </c>
      <c r="C976" s="11">
        <v>42456.0</v>
      </c>
      <c r="D976" s="4">
        <v>12.0</v>
      </c>
      <c r="E976" s="4">
        <v>4275.0</v>
      </c>
      <c r="F976" s="4">
        <v>0.0</v>
      </c>
      <c r="G976" s="4"/>
    </row>
    <row r="977">
      <c r="A977" s="4" t="s">
        <v>5</v>
      </c>
      <c r="B977" s="11">
        <v>42457.0</v>
      </c>
      <c r="C977" s="11">
        <v>42463.0</v>
      </c>
      <c r="D977" s="4">
        <v>13.0</v>
      </c>
      <c r="E977" s="4">
        <v>4092.0</v>
      </c>
      <c r="F977" s="4">
        <v>0.0</v>
      </c>
      <c r="G977" s="4"/>
    </row>
    <row r="978">
      <c r="A978" s="4" t="s">
        <v>5</v>
      </c>
      <c r="B978" s="11">
        <v>42464.0</v>
      </c>
      <c r="C978" s="11">
        <v>42470.0</v>
      </c>
      <c r="D978" s="4">
        <v>14.0</v>
      </c>
      <c r="E978" s="4">
        <v>4112.0</v>
      </c>
      <c r="F978" s="4">
        <v>0.0</v>
      </c>
      <c r="G978" s="4"/>
    </row>
    <row r="979">
      <c r="A979" s="4" t="s">
        <v>5</v>
      </c>
      <c r="B979" s="11">
        <v>42471.0</v>
      </c>
      <c r="C979" s="11">
        <v>42477.0</v>
      </c>
      <c r="D979" s="4">
        <v>15.0</v>
      </c>
      <c r="E979" s="4">
        <v>4153.0</v>
      </c>
      <c r="F979" s="4">
        <v>0.0</v>
      </c>
      <c r="G979" s="4"/>
    </row>
    <row r="980">
      <c r="A980" s="4" t="s">
        <v>5</v>
      </c>
      <c r="B980" s="11">
        <v>42478.0</v>
      </c>
      <c r="C980" s="11">
        <v>42484.0</v>
      </c>
      <c r="D980" s="4">
        <v>16.0</v>
      </c>
      <c r="E980" s="4">
        <v>4211.0</v>
      </c>
      <c r="F980" s="4">
        <v>0.0</v>
      </c>
      <c r="G980" s="4"/>
    </row>
    <row r="981">
      <c r="A981" s="4" t="s">
        <v>5</v>
      </c>
      <c r="B981" s="11">
        <v>42485.0</v>
      </c>
      <c r="C981" s="11">
        <v>42491.0</v>
      </c>
      <c r="D981" s="4">
        <v>17.0</v>
      </c>
      <c r="E981" s="4">
        <v>4110.0</v>
      </c>
      <c r="F981" s="4">
        <v>0.0</v>
      </c>
      <c r="G981" s="4"/>
    </row>
    <row r="982">
      <c r="A982" s="4" t="s">
        <v>5</v>
      </c>
      <c r="B982" s="11">
        <v>42492.0</v>
      </c>
      <c r="C982" s="11">
        <v>42498.0</v>
      </c>
      <c r="D982" s="4">
        <v>18.0</v>
      </c>
      <c r="E982" s="4">
        <v>4175.0</v>
      </c>
      <c r="F982" s="4">
        <v>0.0</v>
      </c>
      <c r="G982" s="4"/>
    </row>
    <row r="983">
      <c r="A983" s="4" t="s">
        <v>5</v>
      </c>
      <c r="B983" s="11">
        <v>42499.0</v>
      </c>
      <c r="C983" s="11">
        <v>42505.0</v>
      </c>
      <c r="D983" s="4">
        <v>19.0</v>
      </c>
      <c r="E983" s="4">
        <v>4320.0</v>
      </c>
      <c r="F983" s="4">
        <v>0.0</v>
      </c>
      <c r="G983" s="4"/>
    </row>
    <row r="984">
      <c r="A984" s="4" t="s">
        <v>5</v>
      </c>
      <c r="B984" s="11">
        <v>42506.0</v>
      </c>
      <c r="C984" s="11">
        <v>42512.0</v>
      </c>
      <c r="D984" s="4">
        <v>20.0</v>
      </c>
      <c r="E984" s="4">
        <v>4632.0</v>
      </c>
      <c r="F984" s="4">
        <v>0.0</v>
      </c>
      <c r="G984" s="4"/>
    </row>
    <row r="985">
      <c r="A985" s="4" t="s">
        <v>5</v>
      </c>
      <c r="B985" s="11">
        <v>42513.0</v>
      </c>
      <c r="C985" s="11">
        <v>42519.0</v>
      </c>
      <c r="D985" s="4">
        <v>21.0</v>
      </c>
      <c r="E985" s="4">
        <v>4532.0</v>
      </c>
      <c r="F985" s="4">
        <v>0.0</v>
      </c>
      <c r="G985" s="4"/>
    </row>
    <row r="986">
      <c r="A986" s="4" t="s">
        <v>5</v>
      </c>
      <c r="B986" s="11">
        <v>42520.0</v>
      </c>
      <c r="C986" s="11">
        <v>42526.0</v>
      </c>
      <c r="D986" s="4">
        <v>22.0</v>
      </c>
      <c r="E986" s="4">
        <v>4582.0</v>
      </c>
      <c r="F986" s="4">
        <v>0.0</v>
      </c>
      <c r="G986" s="4"/>
    </row>
    <row r="987">
      <c r="A987" s="4" t="s">
        <v>5</v>
      </c>
      <c r="B987" s="11">
        <v>42527.0</v>
      </c>
      <c r="C987" s="11">
        <v>42533.0</v>
      </c>
      <c r="D987" s="4">
        <v>23.0</v>
      </c>
      <c r="E987" s="4">
        <v>4561.0</v>
      </c>
      <c r="F987" s="4">
        <v>0.0</v>
      </c>
      <c r="G987" s="4"/>
    </row>
    <row r="988">
      <c r="A988" s="4" t="s">
        <v>5</v>
      </c>
      <c r="B988" s="11">
        <v>42534.0</v>
      </c>
      <c r="C988" s="11">
        <v>42540.0</v>
      </c>
      <c r="D988" s="4">
        <v>24.0</v>
      </c>
      <c r="E988" s="4">
        <v>4537.0</v>
      </c>
      <c r="F988" s="4">
        <v>0.0</v>
      </c>
      <c r="G988" s="4"/>
    </row>
    <row r="989">
      <c r="A989" s="4" t="s">
        <v>5</v>
      </c>
      <c r="B989" s="11">
        <v>42541.0</v>
      </c>
      <c r="C989" s="11">
        <v>42547.0</v>
      </c>
      <c r="D989" s="4">
        <v>25.0</v>
      </c>
      <c r="E989" s="4">
        <v>4503.0</v>
      </c>
      <c r="F989" s="4">
        <v>0.0</v>
      </c>
      <c r="G989" s="4"/>
    </row>
    <row r="990">
      <c r="A990" s="4" t="s">
        <v>5</v>
      </c>
      <c r="B990" s="11">
        <v>42548.0</v>
      </c>
      <c r="C990" s="11">
        <v>42554.0</v>
      </c>
      <c r="D990" s="4">
        <v>26.0</v>
      </c>
      <c r="E990" s="4">
        <v>4530.0</v>
      </c>
      <c r="F990" s="4">
        <v>0.0</v>
      </c>
      <c r="G990" s="4"/>
    </row>
    <row r="991">
      <c r="A991" s="4" t="s">
        <v>5</v>
      </c>
      <c r="B991" s="11">
        <v>42555.0</v>
      </c>
      <c r="C991" s="11">
        <v>42561.0</v>
      </c>
      <c r="D991" s="4">
        <v>27.0</v>
      </c>
      <c r="E991" s="4">
        <v>4349.0</v>
      </c>
      <c r="F991" s="4">
        <v>0.0</v>
      </c>
      <c r="G991" s="4"/>
    </row>
    <row r="992">
      <c r="A992" s="4" t="s">
        <v>5</v>
      </c>
      <c r="B992" s="11">
        <v>42562.0</v>
      </c>
      <c r="C992" s="11">
        <v>42568.0</v>
      </c>
      <c r="D992" s="4">
        <v>28.0</v>
      </c>
      <c r="E992" s="4">
        <v>4315.0</v>
      </c>
      <c r="F992" s="4">
        <v>0.0</v>
      </c>
      <c r="G992" s="4"/>
    </row>
    <row r="993">
      <c r="A993" s="4" t="s">
        <v>5</v>
      </c>
      <c r="B993" s="11">
        <v>42569.0</v>
      </c>
      <c r="C993" s="11">
        <v>42575.0</v>
      </c>
      <c r="D993" s="4">
        <v>29.0</v>
      </c>
      <c r="E993" s="4">
        <v>4088.0</v>
      </c>
      <c r="F993" s="4">
        <v>0.0</v>
      </c>
      <c r="G993" s="4"/>
    </row>
    <row r="994">
      <c r="A994" s="4" t="s">
        <v>5</v>
      </c>
      <c r="B994" s="11">
        <v>42576.0</v>
      </c>
      <c r="C994" s="11">
        <v>42582.0</v>
      </c>
      <c r="D994" s="4">
        <v>30.0</v>
      </c>
      <c r="E994" s="4">
        <v>4188.0</v>
      </c>
      <c r="F994" s="4">
        <v>0.0</v>
      </c>
      <c r="G994" s="4"/>
    </row>
    <row r="995">
      <c r="A995" s="4" t="s">
        <v>5</v>
      </c>
      <c r="B995" s="11">
        <v>42583.0</v>
      </c>
      <c r="C995" s="11">
        <v>42589.0</v>
      </c>
      <c r="D995" s="4">
        <v>31.0</v>
      </c>
      <c r="E995" s="4">
        <v>4175.0</v>
      </c>
      <c r="F995" s="4">
        <v>0.0</v>
      </c>
      <c r="G995" s="4"/>
    </row>
    <row r="996">
      <c r="A996" s="4" t="s">
        <v>5</v>
      </c>
      <c r="B996" s="11">
        <v>42590.0</v>
      </c>
      <c r="C996" s="11">
        <v>42596.0</v>
      </c>
      <c r="D996" s="4">
        <v>32.0</v>
      </c>
      <c r="E996" s="4">
        <v>4291.0</v>
      </c>
      <c r="F996" s="4">
        <v>0.0</v>
      </c>
      <c r="G996" s="4"/>
    </row>
    <row r="997">
      <c r="A997" s="4" t="s">
        <v>5</v>
      </c>
      <c r="B997" s="11">
        <v>42597.0</v>
      </c>
      <c r="C997" s="11">
        <v>42603.0</v>
      </c>
      <c r="D997" s="4">
        <v>33.0</v>
      </c>
      <c r="E997" s="4">
        <v>4176.0</v>
      </c>
      <c r="F997" s="4">
        <v>0.0</v>
      </c>
      <c r="G997" s="4"/>
    </row>
    <row r="998">
      <c r="A998" s="4" t="s">
        <v>5</v>
      </c>
      <c r="B998" s="11">
        <v>42604.0</v>
      </c>
      <c r="C998" s="11">
        <v>42610.0</v>
      </c>
      <c r="D998" s="4">
        <v>34.0</v>
      </c>
      <c r="E998" s="4">
        <v>4036.0</v>
      </c>
      <c r="F998" s="4">
        <v>0.0</v>
      </c>
      <c r="G998" s="4"/>
    </row>
    <row r="999">
      <c r="A999" s="4" t="s">
        <v>5</v>
      </c>
      <c r="B999" s="11">
        <v>42611.0</v>
      </c>
      <c r="C999" s="11">
        <v>42617.0</v>
      </c>
      <c r="D999" s="4">
        <v>35.0</v>
      </c>
      <c r="E999" s="4">
        <v>4123.0</v>
      </c>
      <c r="F999" s="4">
        <v>0.0</v>
      </c>
      <c r="G999" s="4"/>
    </row>
    <row r="1000">
      <c r="A1000" s="4" t="s">
        <v>5</v>
      </c>
      <c r="B1000" s="11">
        <v>42618.0</v>
      </c>
      <c r="C1000" s="11">
        <v>42624.0</v>
      </c>
      <c r="D1000" s="4">
        <v>36.0</v>
      </c>
      <c r="E1000" s="4">
        <v>4084.0</v>
      </c>
      <c r="F1000" s="4">
        <v>0.0</v>
      </c>
      <c r="G1000" s="4"/>
    </row>
    <row r="1001">
      <c r="A1001" s="4" t="s">
        <v>5</v>
      </c>
      <c r="B1001" s="11">
        <v>42625.0</v>
      </c>
      <c r="C1001" s="11">
        <v>42631.0</v>
      </c>
      <c r="D1001" s="4">
        <v>37.0</v>
      </c>
      <c r="E1001" s="4">
        <v>4021.0</v>
      </c>
      <c r="F1001" s="4">
        <v>0.0</v>
      </c>
      <c r="G1001" s="4"/>
    </row>
    <row r="1002">
      <c r="A1002" s="4" t="s">
        <v>5</v>
      </c>
      <c r="B1002" s="11">
        <v>42632.0</v>
      </c>
      <c r="C1002" s="11">
        <v>42638.0</v>
      </c>
      <c r="D1002" s="4">
        <v>38.0</v>
      </c>
      <c r="E1002" s="4">
        <v>4186.0</v>
      </c>
      <c r="F1002" s="4">
        <v>0.0</v>
      </c>
      <c r="G1002" s="4"/>
    </row>
    <row r="1003">
      <c r="A1003" s="4" t="s">
        <v>5</v>
      </c>
      <c r="B1003" s="11">
        <v>42639.0</v>
      </c>
      <c r="C1003" s="12">
        <v>42645.0</v>
      </c>
      <c r="D1003" s="4">
        <v>39.0</v>
      </c>
      <c r="E1003" s="4">
        <v>4025.0</v>
      </c>
      <c r="F1003" s="4">
        <v>0.0</v>
      </c>
      <c r="G1003" s="4"/>
    </row>
    <row r="1004">
      <c r="A1004" s="4" t="s">
        <v>5</v>
      </c>
      <c r="B1004" s="12">
        <v>42646.0</v>
      </c>
      <c r="C1004" s="12">
        <v>42652.0</v>
      </c>
      <c r="D1004" s="4">
        <v>40.0</v>
      </c>
      <c r="E1004" s="4">
        <v>4066.0</v>
      </c>
      <c r="F1004" s="4">
        <v>0.0</v>
      </c>
      <c r="G1004" s="4"/>
    </row>
    <row r="1005">
      <c r="A1005" s="4" t="s">
        <v>5</v>
      </c>
      <c r="B1005" s="12">
        <v>42653.0</v>
      </c>
      <c r="C1005" s="12">
        <v>42659.0</v>
      </c>
      <c r="D1005" s="4">
        <v>41.0</v>
      </c>
      <c r="E1005" s="4">
        <v>4171.0</v>
      </c>
      <c r="F1005" s="4">
        <v>0.0</v>
      </c>
      <c r="G1005" s="4"/>
    </row>
    <row r="1006">
      <c r="A1006" s="4" t="s">
        <v>5</v>
      </c>
      <c r="B1006" s="12">
        <v>42660.0</v>
      </c>
      <c r="C1006" s="12">
        <v>42666.0</v>
      </c>
      <c r="D1006" s="4">
        <v>42.0</v>
      </c>
      <c r="E1006" s="4">
        <v>4146.0</v>
      </c>
      <c r="F1006" s="4">
        <v>0.0</v>
      </c>
      <c r="G1006" s="4"/>
    </row>
    <row r="1007">
      <c r="A1007" s="4" t="s">
        <v>5</v>
      </c>
      <c r="B1007" s="12">
        <v>42667.0</v>
      </c>
      <c r="C1007" s="12">
        <v>42673.0</v>
      </c>
      <c r="D1007" s="4">
        <v>43.0</v>
      </c>
      <c r="E1007" s="4">
        <v>4073.0</v>
      </c>
      <c r="F1007" s="4">
        <v>0.0</v>
      </c>
      <c r="G1007" s="4"/>
    </row>
    <row r="1008">
      <c r="A1008" s="4" t="s">
        <v>5</v>
      </c>
      <c r="B1008" s="12">
        <v>42674.0</v>
      </c>
      <c r="C1008" s="12">
        <v>42680.0</v>
      </c>
      <c r="D1008" s="4">
        <v>44.0</v>
      </c>
      <c r="E1008" s="4">
        <v>4039.0</v>
      </c>
      <c r="F1008" s="4">
        <v>0.0</v>
      </c>
      <c r="G1008" s="4"/>
    </row>
    <row r="1009">
      <c r="A1009" s="4" t="s">
        <v>5</v>
      </c>
      <c r="B1009" s="12">
        <v>42681.0</v>
      </c>
      <c r="C1009" s="12">
        <v>42687.0</v>
      </c>
      <c r="D1009" s="4">
        <v>45.0</v>
      </c>
      <c r="E1009" s="4">
        <v>4173.0</v>
      </c>
      <c r="F1009" s="4">
        <v>0.0</v>
      </c>
      <c r="G1009" s="4"/>
    </row>
    <row r="1010">
      <c r="A1010" s="4" t="s">
        <v>5</v>
      </c>
      <c r="B1010" s="12">
        <v>42688.0</v>
      </c>
      <c r="C1010" s="12">
        <v>42694.0</v>
      </c>
      <c r="D1010" s="4">
        <v>46.0</v>
      </c>
      <c r="E1010" s="4">
        <v>4139.0</v>
      </c>
      <c r="F1010" s="4">
        <v>0.0</v>
      </c>
      <c r="G1010" s="4"/>
    </row>
    <row r="1011">
      <c r="A1011" s="4" t="s">
        <v>5</v>
      </c>
      <c r="B1011" s="12">
        <v>42695.0</v>
      </c>
      <c r="C1011" s="12">
        <v>42701.0</v>
      </c>
      <c r="D1011" s="4">
        <v>47.0</v>
      </c>
      <c r="E1011" s="4">
        <v>4263.0</v>
      </c>
      <c r="F1011" s="4">
        <v>0.0</v>
      </c>
      <c r="G1011" s="4"/>
    </row>
    <row r="1012">
      <c r="A1012" s="4" t="s">
        <v>5</v>
      </c>
      <c r="B1012" s="12">
        <v>42702.0</v>
      </c>
      <c r="C1012" s="12">
        <v>42708.0</v>
      </c>
      <c r="D1012" s="4">
        <v>48.0</v>
      </c>
      <c r="E1012" s="4">
        <v>4269.0</v>
      </c>
      <c r="F1012" s="4">
        <v>0.0</v>
      </c>
      <c r="G1012" s="4"/>
    </row>
    <row r="1013">
      <c r="A1013" s="4" t="s">
        <v>5</v>
      </c>
      <c r="B1013" s="12">
        <v>42709.0</v>
      </c>
      <c r="C1013" s="12">
        <v>42715.0</v>
      </c>
      <c r="D1013" s="4">
        <v>49.0</v>
      </c>
      <c r="E1013" s="4">
        <v>4455.0</v>
      </c>
      <c r="F1013" s="4">
        <v>0.0</v>
      </c>
      <c r="G1013" s="4"/>
    </row>
    <row r="1014">
      <c r="A1014" s="4" t="s">
        <v>5</v>
      </c>
      <c r="B1014" s="12">
        <v>42716.0</v>
      </c>
      <c r="C1014" s="12">
        <v>42722.0</v>
      </c>
      <c r="D1014" s="4">
        <v>50.0</v>
      </c>
      <c r="E1014" s="4">
        <v>4590.0</v>
      </c>
      <c r="F1014" s="4">
        <v>0.0</v>
      </c>
      <c r="G1014" s="4"/>
    </row>
    <row r="1015">
      <c r="A1015" s="4" t="s">
        <v>5</v>
      </c>
      <c r="B1015" s="12">
        <v>42723.0</v>
      </c>
      <c r="C1015" s="12">
        <v>42729.0</v>
      </c>
      <c r="D1015" s="4">
        <v>51.0</v>
      </c>
      <c r="E1015" s="4">
        <v>4586.0</v>
      </c>
      <c r="F1015" s="4">
        <v>0.0</v>
      </c>
      <c r="G1015" s="4"/>
    </row>
    <row r="1016">
      <c r="A1016" s="4" t="s">
        <v>5</v>
      </c>
      <c r="B1016" s="12">
        <v>42730.0</v>
      </c>
      <c r="C1016" s="11">
        <v>42736.0</v>
      </c>
      <c r="D1016" s="4">
        <v>52.0</v>
      </c>
      <c r="E1016" s="4">
        <v>4804.0</v>
      </c>
      <c r="F1016" s="4">
        <v>0.0</v>
      </c>
      <c r="G1016" s="4"/>
    </row>
    <row r="1017">
      <c r="A1017" s="4" t="s">
        <v>5</v>
      </c>
      <c r="B1017" s="11">
        <v>42737.0</v>
      </c>
      <c r="C1017" s="11">
        <v>42743.0</v>
      </c>
      <c r="D1017" s="4">
        <v>1.0</v>
      </c>
      <c r="E1017" s="4">
        <v>4755.0</v>
      </c>
      <c r="F1017" s="4">
        <v>0.0</v>
      </c>
      <c r="G1017" s="4"/>
    </row>
    <row r="1018">
      <c r="A1018" s="4" t="s">
        <v>5</v>
      </c>
      <c r="B1018" s="11">
        <v>42744.0</v>
      </c>
      <c r="C1018" s="11">
        <v>42750.0</v>
      </c>
      <c r="D1018" s="4">
        <v>2.0</v>
      </c>
      <c r="E1018" s="4">
        <v>4756.0</v>
      </c>
      <c r="F1018" s="4">
        <v>0.0</v>
      </c>
      <c r="G1018" s="4"/>
    </row>
    <row r="1019">
      <c r="A1019" s="4" t="s">
        <v>5</v>
      </c>
      <c r="B1019" s="11">
        <v>42751.0</v>
      </c>
      <c r="C1019" s="11">
        <v>42757.0</v>
      </c>
      <c r="D1019" s="4">
        <v>3.0</v>
      </c>
      <c r="E1019" s="4">
        <v>4635.0</v>
      </c>
      <c r="F1019" s="4">
        <v>0.0</v>
      </c>
      <c r="G1019" s="4"/>
    </row>
    <row r="1020">
      <c r="A1020" s="4" t="s">
        <v>5</v>
      </c>
      <c r="B1020" s="11">
        <v>42758.0</v>
      </c>
      <c r="C1020" s="11">
        <v>42764.0</v>
      </c>
      <c r="D1020" s="4">
        <v>4.0</v>
      </c>
      <c r="E1020" s="4">
        <v>4574.0</v>
      </c>
      <c r="F1020" s="4">
        <v>0.0</v>
      </c>
      <c r="G1020" s="4"/>
    </row>
    <row r="1021">
      <c r="A1021" s="4" t="s">
        <v>5</v>
      </c>
      <c r="B1021" s="11">
        <v>42765.0</v>
      </c>
      <c r="C1021" s="11">
        <v>42771.0</v>
      </c>
      <c r="D1021" s="4">
        <v>5.0</v>
      </c>
      <c r="E1021" s="4">
        <v>4392.0</v>
      </c>
      <c r="F1021" s="4">
        <v>0.0</v>
      </c>
      <c r="G1021" s="4"/>
    </row>
    <row r="1022">
      <c r="A1022" s="4" t="s">
        <v>5</v>
      </c>
      <c r="B1022" s="11">
        <v>42772.0</v>
      </c>
      <c r="C1022" s="11">
        <v>42778.0</v>
      </c>
      <c r="D1022" s="4">
        <v>6.0</v>
      </c>
      <c r="E1022" s="4">
        <v>4402.0</v>
      </c>
      <c r="F1022" s="4">
        <v>0.0</v>
      </c>
      <c r="G1022" s="4"/>
    </row>
    <row r="1023">
      <c r="A1023" s="4" t="s">
        <v>5</v>
      </c>
      <c r="B1023" s="11">
        <v>42779.0</v>
      </c>
      <c r="C1023" s="11">
        <v>42785.0</v>
      </c>
      <c r="D1023" s="4">
        <v>7.0</v>
      </c>
      <c r="E1023" s="4">
        <v>4231.0</v>
      </c>
      <c r="F1023" s="4">
        <v>0.0</v>
      </c>
      <c r="G1023" s="4"/>
    </row>
    <row r="1024">
      <c r="A1024" s="4" t="s">
        <v>5</v>
      </c>
      <c r="B1024" s="11">
        <v>42786.0</v>
      </c>
      <c r="C1024" s="11">
        <v>42792.0</v>
      </c>
      <c r="D1024" s="4">
        <v>8.0</v>
      </c>
      <c r="E1024" s="4">
        <v>4199.0</v>
      </c>
      <c r="F1024" s="4">
        <v>0.0</v>
      </c>
      <c r="G1024" s="4"/>
    </row>
    <row r="1025">
      <c r="A1025" s="4" t="s">
        <v>5</v>
      </c>
      <c r="B1025" s="11">
        <v>42793.0</v>
      </c>
      <c r="C1025" s="11">
        <v>42799.0</v>
      </c>
      <c r="D1025" s="4">
        <v>9.0</v>
      </c>
      <c r="E1025" s="4">
        <v>4173.0</v>
      </c>
      <c r="F1025" s="4">
        <v>0.0</v>
      </c>
      <c r="G1025" s="4"/>
    </row>
    <row r="1026">
      <c r="A1026" s="4" t="s">
        <v>5</v>
      </c>
      <c r="B1026" s="11">
        <v>42800.0</v>
      </c>
      <c r="C1026" s="11">
        <v>42806.0</v>
      </c>
      <c r="D1026" s="4">
        <v>10.0</v>
      </c>
      <c r="E1026" s="4">
        <v>4244.0</v>
      </c>
      <c r="F1026" s="4">
        <v>0.0</v>
      </c>
      <c r="G1026" s="4"/>
    </row>
    <row r="1027">
      <c r="A1027" s="4" t="s">
        <v>5</v>
      </c>
      <c r="B1027" s="11">
        <v>42807.0</v>
      </c>
      <c r="C1027" s="11">
        <v>42813.0</v>
      </c>
      <c r="D1027" s="4">
        <v>11.0</v>
      </c>
      <c r="E1027" s="4">
        <v>4156.0</v>
      </c>
      <c r="F1027" s="4">
        <v>0.0</v>
      </c>
      <c r="G1027" s="4"/>
    </row>
    <row r="1028">
      <c r="A1028" s="4" t="s">
        <v>5</v>
      </c>
      <c r="B1028" s="11">
        <v>42814.0</v>
      </c>
      <c r="C1028" s="11">
        <v>42820.0</v>
      </c>
      <c r="D1028" s="4">
        <v>12.0</v>
      </c>
      <c r="E1028" s="4">
        <v>4165.0</v>
      </c>
      <c r="F1028" s="4">
        <v>0.0</v>
      </c>
      <c r="G1028" s="4"/>
    </row>
    <row r="1029">
      <c r="A1029" s="4" t="s">
        <v>5</v>
      </c>
      <c r="B1029" s="11">
        <v>42821.0</v>
      </c>
      <c r="C1029" s="11">
        <v>42827.0</v>
      </c>
      <c r="D1029" s="4">
        <v>13.0</v>
      </c>
      <c r="E1029" s="4">
        <v>4539.0</v>
      </c>
      <c r="F1029" s="4">
        <v>0.0</v>
      </c>
      <c r="G1029" s="4"/>
    </row>
    <row r="1030">
      <c r="A1030" s="4" t="s">
        <v>5</v>
      </c>
      <c r="B1030" s="11">
        <v>42828.0</v>
      </c>
      <c r="C1030" s="11">
        <v>42834.0</v>
      </c>
      <c r="D1030" s="4">
        <v>14.0</v>
      </c>
      <c r="E1030" s="4">
        <v>4355.0</v>
      </c>
      <c r="F1030" s="4">
        <v>0.0</v>
      </c>
      <c r="G1030" s="4"/>
    </row>
    <row r="1031">
      <c r="A1031" s="4" t="s">
        <v>5</v>
      </c>
      <c r="B1031" s="11">
        <v>42835.0</v>
      </c>
      <c r="C1031" s="11">
        <v>42841.0</v>
      </c>
      <c r="D1031" s="4">
        <v>15.0</v>
      </c>
      <c r="E1031" s="4">
        <v>4183.0</v>
      </c>
      <c r="F1031" s="4">
        <v>0.0</v>
      </c>
      <c r="G1031" s="4"/>
    </row>
    <row r="1032">
      <c r="A1032" s="4" t="s">
        <v>5</v>
      </c>
      <c r="B1032" s="11">
        <v>42842.0</v>
      </c>
      <c r="C1032" s="11">
        <v>42848.0</v>
      </c>
      <c r="D1032" s="4">
        <v>16.0</v>
      </c>
      <c r="E1032" s="4">
        <v>4271.0</v>
      </c>
      <c r="F1032" s="4">
        <v>0.0</v>
      </c>
      <c r="G1032" s="4"/>
    </row>
    <row r="1033">
      <c r="A1033" s="4" t="s">
        <v>5</v>
      </c>
      <c r="B1033" s="11">
        <v>42849.0</v>
      </c>
      <c r="C1033" s="11">
        <v>42855.0</v>
      </c>
      <c r="D1033" s="4">
        <v>17.0</v>
      </c>
      <c r="E1033" s="4">
        <v>4302.0</v>
      </c>
      <c r="F1033" s="4">
        <v>0.0</v>
      </c>
      <c r="G1033" s="4"/>
    </row>
    <row r="1034">
      <c r="A1034" s="4" t="s">
        <v>5</v>
      </c>
      <c r="B1034" s="11">
        <v>42856.0</v>
      </c>
      <c r="C1034" s="11">
        <v>42862.0</v>
      </c>
      <c r="D1034" s="4">
        <v>18.0</v>
      </c>
      <c r="E1034" s="4">
        <v>4080.0</v>
      </c>
      <c r="F1034" s="4">
        <v>0.0</v>
      </c>
      <c r="G1034" s="4"/>
    </row>
    <row r="1035">
      <c r="A1035" s="4" t="s">
        <v>5</v>
      </c>
      <c r="B1035" s="11">
        <v>42863.0</v>
      </c>
      <c r="C1035" s="11">
        <v>42869.0</v>
      </c>
      <c r="D1035" s="4">
        <v>19.0</v>
      </c>
      <c r="E1035" s="4">
        <v>4196.0</v>
      </c>
      <c r="F1035" s="4">
        <v>0.0</v>
      </c>
      <c r="G1035" s="4"/>
    </row>
    <row r="1036">
      <c r="A1036" s="4" t="s">
        <v>5</v>
      </c>
      <c r="B1036" s="11">
        <v>42870.0</v>
      </c>
      <c r="C1036" s="11">
        <v>42876.0</v>
      </c>
      <c r="D1036" s="4">
        <v>20.0</v>
      </c>
      <c r="E1036" s="4">
        <v>4516.0</v>
      </c>
      <c r="F1036" s="4">
        <v>0.0</v>
      </c>
      <c r="G1036" s="4"/>
    </row>
    <row r="1037">
      <c r="A1037" s="4" t="s">
        <v>5</v>
      </c>
      <c r="B1037" s="11">
        <v>42877.0</v>
      </c>
      <c r="C1037" s="11">
        <v>42883.0</v>
      </c>
      <c r="D1037" s="4">
        <v>21.0</v>
      </c>
      <c r="E1037" s="4">
        <v>4370.0</v>
      </c>
      <c r="F1037" s="4">
        <v>0.0</v>
      </c>
      <c r="G1037" s="4"/>
    </row>
    <row r="1038">
      <c r="A1038" s="4" t="s">
        <v>5</v>
      </c>
      <c r="B1038" s="11">
        <v>42884.0</v>
      </c>
      <c r="C1038" s="11">
        <v>42890.0</v>
      </c>
      <c r="D1038" s="4">
        <v>22.0</v>
      </c>
      <c r="E1038" s="4">
        <v>4500.0</v>
      </c>
      <c r="F1038" s="4">
        <v>0.0</v>
      </c>
      <c r="G1038" s="4"/>
    </row>
    <row r="1039">
      <c r="A1039" s="4" t="s">
        <v>5</v>
      </c>
      <c r="B1039" s="11">
        <v>42891.0</v>
      </c>
      <c r="C1039" s="11">
        <v>42897.0</v>
      </c>
      <c r="D1039" s="4">
        <v>23.0</v>
      </c>
      <c r="E1039" s="4">
        <v>4342.0</v>
      </c>
      <c r="F1039" s="4">
        <v>0.0</v>
      </c>
      <c r="G1039" s="4"/>
    </row>
    <row r="1040">
      <c r="A1040" s="4" t="s">
        <v>5</v>
      </c>
      <c r="B1040" s="11">
        <v>42898.0</v>
      </c>
      <c r="C1040" s="11">
        <v>42904.0</v>
      </c>
      <c r="D1040" s="4">
        <v>24.0</v>
      </c>
      <c r="E1040" s="4">
        <v>4339.0</v>
      </c>
      <c r="F1040" s="4">
        <v>0.0</v>
      </c>
      <c r="G1040" s="4"/>
    </row>
    <row r="1041">
      <c r="A1041" s="4" t="s">
        <v>5</v>
      </c>
      <c r="B1041" s="11">
        <v>42905.0</v>
      </c>
      <c r="C1041" s="11">
        <v>42911.0</v>
      </c>
      <c r="D1041" s="4">
        <v>25.0</v>
      </c>
      <c r="E1041" s="4">
        <v>4171.0</v>
      </c>
      <c r="F1041" s="4">
        <v>0.0</v>
      </c>
      <c r="G1041" s="4"/>
    </row>
    <row r="1042">
      <c r="A1042" s="4" t="s">
        <v>5</v>
      </c>
      <c r="B1042" s="11">
        <v>42912.0</v>
      </c>
      <c r="C1042" s="11">
        <v>42918.0</v>
      </c>
      <c r="D1042" s="4">
        <v>26.0</v>
      </c>
      <c r="E1042" s="4">
        <v>4412.0</v>
      </c>
      <c r="F1042" s="4">
        <v>0.0</v>
      </c>
      <c r="G1042" s="4"/>
    </row>
    <row r="1043">
      <c r="A1043" s="4" t="s">
        <v>5</v>
      </c>
      <c r="B1043" s="11">
        <v>42919.0</v>
      </c>
      <c r="C1043" s="11">
        <v>42925.0</v>
      </c>
      <c r="D1043" s="4">
        <v>27.0</v>
      </c>
      <c r="E1043" s="4">
        <v>4418.0</v>
      </c>
      <c r="F1043" s="4">
        <v>0.0</v>
      </c>
      <c r="G1043" s="4"/>
    </row>
    <row r="1044">
      <c r="A1044" s="4" t="s">
        <v>5</v>
      </c>
      <c r="B1044" s="11">
        <v>42926.0</v>
      </c>
      <c r="C1044" s="11">
        <v>42932.0</v>
      </c>
      <c r="D1044" s="4">
        <v>28.0</v>
      </c>
      <c r="E1044" s="4">
        <v>4400.0</v>
      </c>
      <c r="F1044" s="4">
        <v>0.0</v>
      </c>
      <c r="G1044" s="4"/>
    </row>
    <row r="1045">
      <c r="A1045" s="4" t="s">
        <v>5</v>
      </c>
      <c r="B1045" s="11">
        <v>42933.0</v>
      </c>
      <c r="C1045" s="11">
        <v>42939.0</v>
      </c>
      <c r="D1045" s="4">
        <v>29.0</v>
      </c>
      <c r="E1045" s="4">
        <v>4339.0</v>
      </c>
      <c r="F1045" s="4">
        <v>0.0</v>
      </c>
      <c r="G1045" s="4"/>
    </row>
    <row r="1046">
      <c r="A1046" s="4" t="s">
        <v>5</v>
      </c>
      <c r="B1046" s="11">
        <v>42940.0</v>
      </c>
      <c r="C1046" s="11">
        <v>42946.0</v>
      </c>
      <c r="D1046" s="4">
        <v>30.0</v>
      </c>
      <c r="E1046" s="4">
        <v>4263.0</v>
      </c>
      <c r="F1046" s="4">
        <v>0.0</v>
      </c>
      <c r="G1046" s="4"/>
    </row>
    <row r="1047">
      <c r="A1047" s="4" t="s">
        <v>5</v>
      </c>
      <c r="B1047" s="11">
        <v>42947.0</v>
      </c>
      <c r="C1047" s="11">
        <v>42953.0</v>
      </c>
      <c r="D1047" s="4">
        <v>31.0</v>
      </c>
      <c r="E1047" s="4">
        <v>4390.0</v>
      </c>
      <c r="F1047" s="4">
        <v>0.0</v>
      </c>
      <c r="G1047" s="4"/>
    </row>
    <row r="1048">
      <c r="A1048" s="4" t="s">
        <v>5</v>
      </c>
      <c r="B1048" s="11">
        <v>42954.0</v>
      </c>
      <c r="C1048" s="11">
        <v>42960.0</v>
      </c>
      <c r="D1048" s="4">
        <v>32.0</v>
      </c>
      <c r="E1048" s="4">
        <v>4278.0</v>
      </c>
      <c r="F1048" s="4">
        <v>0.0</v>
      </c>
      <c r="G1048" s="4"/>
    </row>
    <row r="1049">
      <c r="A1049" s="4" t="s">
        <v>5</v>
      </c>
      <c r="B1049" s="11">
        <v>42961.0</v>
      </c>
      <c r="C1049" s="11">
        <v>42967.0</v>
      </c>
      <c r="D1049" s="4">
        <v>33.0</v>
      </c>
      <c r="E1049" s="4">
        <v>4389.0</v>
      </c>
      <c r="F1049" s="4">
        <v>0.0</v>
      </c>
      <c r="G1049" s="4"/>
    </row>
    <row r="1050">
      <c r="A1050" s="4" t="s">
        <v>5</v>
      </c>
      <c r="B1050" s="11">
        <v>42968.0</v>
      </c>
      <c r="C1050" s="11">
        <v>42974.0</v>
      </c>
      <c r="D1050" s="4">
        <v>34.0</v>
      </c>
      <c r="E1050" s="4">
        <v>4234.0</v>
      </c>
      <c r="F1050" s="4">
        <v>0.0</v>
      </c>
      <c r="G1050" s="4"/>
    </row>
    <row r="1051">
      <c r="A1051" s="4" t="s">
        <v>5</v>
      </c>
      <c r="B1051" s="11">
        <v>42975.0</v>
      </c>
      <c r="C1051" s="11">
        <v>42981.0</v>
      </c>
      <c r="D1051" s="4">
        <v>35.0</v>
      </c>
      <c r="E1051" s="4">
        <v>4253.0</v>
      </c>
      <c r="F1051" s="4">
        <v>0.0</v>
      </c>
      <c r="G1051" s="4"/>
    </row>
    <row r="1052">
      <c r="A1052" s="4" t="s">
        <v>5</v>
      </c>
      <c r="B1052" s="11">
        <v>42982.0</v>
      </c>
      <c r="C1052" s="11">
        <v>42988.0</v>
      </c>
      <c r="D1052" s="4">
        <v>36.0</v>
      </c>
      <c r="E1052" s="4">
        <v>4256.0</v>
      </c>
      <c r="F1052" s="4">
        <v>0.0</v>
      </c>
      <c r="G1052" s="4"/>
    </row>
    <row r="1053">
      <c r="A1053" s="4" t="s">
        <v>5</v>
      </c>
      <c r="B1053" s="11">
        <v>42989.0</v>
      </c>
      <c r="C1053" s="11">
        <v>42995.0</v>
      </c>
      <c r="D1053" s="4">
        <v>37.0</v>
      </c>
      <c r="E1053" s="4">
        <v>4373.0</v>
      </c>
      <c r="F1053" s="4">
        <v>0.0</v>
      </c>
      <c r="G1053" s="4"/>
    </row>
    <row r="1054">
      <c r="A1054" s="4" t="s">
        <v>5</v>
      </c>
      <c r="B1054" s="11">
        <v>42996.0</v>
      </c>
      <c r="C1054" s="11">
        <v>43002.0</v>
      </c>
      <c r="D1054" s="4">
        <v>38.0</v>
      </c>
      <c r="E1054" s="4">
        <v>4387.0</v>
      </c>
      <c r="F1054" s="4">
        <v>0.0</v>
      </c>
      <c r="G1054" s="4"/>
    </row>
    <row r="1055">
      <c r="A1055" s="4" t="s">
        <v>5</v>
      </c>
      <c r="B1055" s="11">
        <v>43003.0</v>
      </c>
      <c r="C1055" s="12">
        <v>43009.0</v>
      </c>
      <c r="D1055" s="4">
        <v>39.0</v>
      </c>
      <c r="E1055" s="4">
        <v>4290.0</v>
      </c>
      <c r="F1055" s="4">
        <v>0.0</v>
      </c>
      <c r="G1055" s="4"/>
    </row>
    <row r="1056">
      <c r="A1056" s="4" t="s">
        <v>5</v>
      </c>
      <c r="B1056" s="12">
        <v>43010.0</v>
      </c>
      <c r="C1056" s="12">
        <v>43016.0</v>
      </c>
      <c r="D1056" s="4">
        <v>40.0</v>
      </c>
      <c r="E1056" s="4">
        <v>4317.0</v>
      </c>
      <c r="F1056" s="4">
        <v>0.0</v>
      </c>
      <c r="G1056" s="4"/>
    </row>
    <row r="1057">
      <c r="A1057" s="4" t="s">
        <v>5</v>
      </c>
      <c r="B1057" s="12">
        <v>43017.0</v>
      </c>
      <c r="C1057" s="12">
        <v>43023.0</v>
      </c>
      <c r="D1057" s="4">
        <v>41.0</v>
      </c>
      <c r="E1057" s="4">
        <v>4402.0</v>
      </c>
      <c r="F1057" s="4">
        <v>0.0</v>
      </c>
      <c r="G1057" s="4"/>
    </row>
    <row r="1058">
      <c r="A1058" s="4" t="s">
        <v>5</v>
      </c>
      <c r="B1058" s="12">
        <v>43024.0</v>
      </c>
      <c r="C1058" s="12">
        <v>43030.0</v>
      </c>
      <c r="D1058" s="4">
        <v>42.0</v>
      </c>
      <c r="E1058" s="4">
        <v>4454.0</v>
      </c>
      <c r="F1058" s="4">
        <v>0.0</v>
      </c>
      <c r="G1058" s="4"/>
    </row>
    <row r="1059">
      <c r="A1059" s="4" t="s">
        <v>5</v>
      </c>
      <c r="B1059" s="12">
        <v>43031.0</v>
      </c>
      <c r="C1059" s="12">
        <v>43037.0</v>
      </c>
      <c r="D1059" s="4">
        <v>43.0</v>
      </c>
      <c r="E1059" s="4">
        <v>4177.0</v>
      </c>
      <c r="F1059" s="4">
        <v>0.0</v>
      </c>
      <c r="G1059" s="4"/>
    </row>
    <row r="1060">
      <c r="A1060" s="4" t="s">
        <v>5</v>
      </c>
      <c r="B1060" s="12">
        <v>43038.0</v>
      </c>
      <c r="C1060" s="12">
        <v>43044.0</v>
      </c>
      <c r="D1060" s="4">
        <v>44.0</v>
      </c>
      <c r="E1060" s="4">
        <v>4310.0</v>
      </c>
      <c r="F1060" s="4">
        <v>0.0</v>
      </c>
      <c r="G1060" s="4"/>
    </row>
    <row r="1061">
      <c r="A1061" s="4" t="s">
        <v>5</v>
      </c>
      <c r="B1061" s="12">
        <v>43045.0</v>
      </c>
      <c r="C1061" s="12">
        <v>43051.0</v>
      </c>
      <c r="D1061" s="4">
        <v>45.0</v>
      </c>
      <c r="E1061" s="4">
        <v>4440.0</v>
      </c>
      <c r="F1061" s="4">
        <v>0.0</v>
      </c>
      <c r="G1061" s="4"/>
    </row>
    <row r="1062">
      <c r="A1062" s="4" t="s">
        <v>5</v>
      </c>
      <c r="B1062" s="12">
        <v>43052.0</v>
      </c>
      <c r="C1062" s="12">
        <v>43058.0</v>
      </c>
      <c r="D1062" s="4">
        <v>46.0</v>
      </c>
      <c r="E1062" s="4">
        <v>4239.0</v>
      </c>
      <c r="F1062" s="4">
        <v>0.0</v>
      </c>
      <c r="G1062" s="4"/>
    </row>
    <row r="1063">
      <c r="A1063" s="4" t="s">
        <v>5</v>
      </c>
      <c r="B1063" s="12">
        <v>43059.0</v>
      </c>
      <c r="C1063" s="12">
        <v>43065.0</v>
      </c>
      <c r="D1063" s="4">
        <v>47.0</v>
      </c>
      <c r="E1063" s="4">
        <v>4306.0</v>
      </c>
      <c r="F1063" s="4">
        <v>0.0</v>
      </c>
      <c r="G1063" s="4"/>
    </row>
    <row r="1064">
      <c r="A1064" s="4" t="s">
        <v>5</v>
      </c>
      <c r="B1064" s="12">
        <v>43066.0</v>
      </c>
      <c r="C1064" s="12">
        <v>43072.0</v>
      </c>
      <c r="D1064" s="4">
        <v>48.0</v>
      </c>
      <c r="E1064" s="4">
        <v>4409.0</v>
      </c>
      <c r="F1064" s="4">
        <v>0.0</v>
      </c>
      <c r="G1064" s="4"/>
    </row>
    <row r="1065">
      <c r="A1065" s="4" t="s">
        <v>5</v>
      </c>
      <c r="B1065" s="12">
        <v>43073.0</v>
      </c>
      <c r="C1065" s="12">
        <v>43079.0</v>
      </c>
      <c r="D1065" s="4">
        <v>49.0</v>
      </c>
      <c r="E1065" s="4">
        <v>4575.0</v>
      </c>
      <c r="F1065" s="4">
        <v>0.0</v>
      </c>
      <c r="G1065" s="4"/>
    </row>
    <row r="1066">
      <c r="A1066" s="4" t="s">
        <v>5</v>
      </c>
      <c r="B1066" s="12">
        <v>43080.0</v>
      </c>
      <c r="C1066" s="12">
        <v>43086.0</v>
      </c>
      <c r="D1066" s="4">
        <v>50.0</v>
      </c>
      <c r="E1066" s="4">
        <v>4491.0</v>
      </c>
      <c r="F1066" s="4">
        <v>0.0</v>
      </c>
      <c r="G1066" s="4"/>
    </row>
    <row r="1067">
      <c r="A1067" s="4" t="s">
        <v>5</v>
      </c>
      <c r="B1067" s="12">
        <v>43087.0</v>
      </c>
      <c r="C1067" s="12">
        <v>43093.0</v>
      </c>
      <c r="D1067" s="4">
        <v>51.0</v>
      </c>
      <c r="E1067" s="4">
        <v>4562.0</v>
      </c>
      <c r="F1067" s="4">
        <v>0.0</v>
      </c>
      <c r="G1067" s="4"/>
    </row>
    <row r="1068">
      <c r="A1068" s="4" t="s">
        <v>5</v>
      </c>
      <c r="B1068" s="12">
        <v>43094.0</v>
      </c>
      <c r="C1068" s="12">
        <v>43100.0</v>
      </c>
      <c r="D1068" s="4">
        <v>52.0</v>
      </c>
      <c r="E1068" s="4">
        <v>4589.0</v>
      </c>
      <c r="F1068" s="4">
        <v>0.0</v>
      </c>
      <c r="G1068" s="4"/>
    </row>
    <row r="1069">
      <c r="A1069" s="4" t="s">
        <v>5</v>
      </c>
      <c r="B1069" s="11">
        <v>43101.0</v>
      </c>
      <c r="C1069" s="11">
        <v>43107.0</v>
      </c>
      <c r="D1069" s="4">
        <v>1.0</v>
      </c>
      <c r="E1069" s="4">
        <v>4721.0</v>
      </c>
      <c r="F1069" s="4">
        <v>0.0</v>
      </c>
      <c r="G1069" s="4"/>
    </row>
    <row r="1070">
      <c r="A1070" s="4" t="s">
        <v>5</v>
      </c>
      <c r="B1070" s="11">
        <v>43108.0</v>
      </c>
      <c r="C1070" s="11">
        <v>43114.0</v>
      </c>
      <c r="D1070" s="4">
        <v>2.0</v>
      </c>
      <c r="E1070" s="4">
        <v>4465.0</v>
      </c>
      <c r="F1070" s="4">
        <v>0.0</v>
      </c>
      <c r="G1070" s="4"/>
    </row>
    <row r="1071">
      <c r="A1071" s="4" t="s">
        <v>5</v>
      </c>
      <c r="B1071" s="11">
        <v>43115.0</v>
      </c>
      <c r="C1071" s="11">
        <v>43121.0</v>
      </c>
      <c r="D1071" s="4">
        <v>3.0</v>
      </c>
      <c r="E1071" s="4">
        <v>4631.0</v>
      </c>
      <c r="F1071" s="4">
        <v>0.0</v>
      </c>
      <c r="G1071" s="4"/>
    </row>
    <row r="1072">
      <c r="A1072" s="4" t="s">
        <v>5</v>
      </c>
      <c r="B1072" s="11">
        <v>43122.0</v>
      </c>
      <c r="C1072" s="11">
        <v>43128.0</v>
      </c>
      <c r="D1072" s="4">
        <v>4.0</v>
      </c>
      <c r="E1072" s="4">
        <v>4644.0</v>
      </c>
      <c r="F1072" s="4">
        <v>0.0</v>
      </c>
      <c r="G1072" s="4"/>
    </row>
    <row r="1073">
      <c r="A1073" s="4" t="s">
        <v>5</v>
      </c>
      <c r="B1073" s="11">
        <v>43129.0</v>
      </c>
      <c r="C1073" s="11">
        <v>43135.0</v>
      </c>
      <c r="D1073" s="4">
        <v>5.0</v>
      </c>
      <c r="E1073" s="4">
        <v>4485.0</v>
      </c>
      <c r="F1073" s="4">
        <v>0.0</v>
      </c>
      <c r="G1073" s="4"/>
    </row>
    <row r="1074">
      <c r="A1074" s="4" t="s">
        <v>5</v>
      </c>
      <c r="B1074" s="11">
        <v>43136.0</v>
      </c>
      <c r="C1074" s="11">
        <v>43142.0</v>
      </c>
      <c r="D1074" s="4">
        <v>6.0</v>
      </c>
      <c r="E1074" s="4">
        <v>4407.0</v>
      </c>
      <c r="F1074" s="4">
        <v>0.0</v>
      </c>
      <c r="G1074" s="4"/>
    </row>
    <row r="1075">
      <c r="A1075" s="4" t="s">
        <v>5</v>
      </c>
      <c r="B1075" s="11">
        <v>43143.0</v>
      </c>
      <c r="C1075" s="11">
        <v>43149.0</v>
      </c>
      <c r="D1075" s="4">
        <v>7.0</v>
      </c>
      <c r="E1075" s="4">
        <v>4332.0</v>
      </c>
      <c r="F1075" s="4">
        <v>0.0</v>
      </c>
      <c r="G1075" s="4"/>
    </row>
    <row r="1076">
      <c r="A1076" s="4" t="s">
        <v>5</v>
      </c>
      <c r="B1076" s="11">
        <v>43150.0</v>
      </c>
      <c r="C1076" s="11">
        <v>43156.0</v>
      </c>
      <c r="D1076" s="4">
        <v>8.0</v>
      </c>
      <c r="E1076" s="4">
        <v>4254.0</v>
      </c>
      <c r="F1076" s="4">
        <v>0.0</v>
      </c>
      <c r="G1076" s="4"/>
    </row>
    <row r="1077">
      <c r="A1077" s="4" t="s">
        <v>5</v>
      </c>
      <c r="B1077" s="11">
        <v>43157.0</v>
      </c>
      <c r="C1077" s="11">
        <v>43163.0</v>
      </c>
      <c r="D1077" s="4">
        <v>9.0</v>
      </c>
      <c r="E1077" s="4">
        <v>4378.0</v>
      </c>
      <c r="F1077" s="4">
        <v>0.0</v>
      </c>
      <c r="G1077" s="4"/>
    </row>
    <row r="1078">
      <c r="A1078" s="4" t="s">
        <v>5</v>
      </c>
      <c r="B1078" s="11">
        <v>43164.0</v>
      </c>
      <c r="C1078" s="11">
        <v>43170.0</v>
      </c>
      <c r="D1078" s="4">
        <v>10.0</v>
      </c>
      <c r="E1078" s="4">
        <v>4505.0</v>
      </c>
      <c r="F1078" s="4">
        <v>0.0</v>
      </c>
      <c r="G1078" s="4"/>
    </row>
    <row r="1079">
      <c r="A1079" s="4" t="s">
        <v>5</v>
      </c>
      <c r="B1079" s="11">
        <v>43171.0</v>
      </c>
      <c r="C1079" s="11">
        <v>43177.0</v>
      </c>
      <c r="D1079" s="4">
        <v>11.0</v>
      </c>
      <c r="E1079" s="4">
        <v>4597.0</v>
      </c>
      <c r="F1079" s="4">
        <v>0.0</v>
      </c>
      <c r="G1079" s="4"/>
    </row>
    <row r="1080">
      <c r="A1080" s="4" t="s">
        <v>5</v>
      </c>
      <c r="B1080" s="11">
        <v>43178.0</v>
      </c>
      <c r="C1080" s="11">
        <v>43184.0</v>
      </c>
      <c r="D1080" s="4">
        <v>12.0</v>
      </c>
      <c r="E1080" s="4">
        <v>4453.0</v>
      </c>
      <c r="F1080" s="4">
        <v>0.0</v>
      </c>
      <c r="G1080" s="4"/>
    </row>
    <row r="1081">
      <c r="A1081" s="4" t="s">
        <v>5</v>
      </c>
      <c r="B1081" s="11">
        <v>43185.0</v>
      </c>
      <c r="C1081" s="11">
        <v>43191.0</v>
      </c>
      <c r="D1081" s="4">
        <v>13.0</v>
      </c>
      <c r="E1081" s="4">
        <v>4248.0</v>
      </c>
      <c r="F1081" s="4">
        <v>0.0</v>
      </c>
      <c r="G1081" s="4"/>
    </row>
    <row r="1082">
      <c r="A1082" s="4" t="s">
        <v>5</v>
      </c>
      <c r="B1082" s="11">
        <v>43192.0</v>
      </c>
      <c r="C1082" s="11">
        <v>43198.0</v>
      </c>
      <c r="D1082" s="4">
        <v>14.0</v>
      </c>
      <c r="E1082" s="4">
        <v>4382.0</v>
      </c>
      <c r="F1082" s="4">
        <v>0.0</v>
      </c>
      <c r="G1082" s="4"/>
    </row>
    <row r="1083">
      <c r="A1083" s="4" t="s">
        <v>5</v>
      </c>
      <c r="B1083" s="11">
        <v>43199.0</v>
      </c>
      <c r="C1083" s="11">
        <v>43205.0</v>
      </c>
      <c r="D1083" s="4">
        <v>15.0</v>
      </c>
      <c r="E1083" s="4">
        <v>4332.0</v>
      </c>
      <c r="F1083" s="4">
        <v>0.0</v>
      </c>
      <c r="G1083" s="4"/>
    </row>
    <row r="1084">
      <c r="A1084" s="4" t="s">
        <v>5</v>
      </c>
      <c r="B1084" s="11">
        <v>43206.0</v>
      </c>
      <c r="C1084" s="11">
        <v>43212.0</v>
      </c>
      <c r="D1084" s="4">
        <v>16.0</v>
      </c>
      <c r="E1084" s="4">
        <v>4349.0</v>
      </c>
      <c r="F1084" s="4">
        <v>0.0</v>
      </c>
      <c r="G1084" s="4"/>
    </row>
    <row r="1085">
      <c r="A1085" s="4" t="s">
        <v>5</v>
      </c>
      <c r="B1085" s="11">
        <v>43213.0</v>
      </c>
      <c r="C1085" s="11">
        <v>43219.0</v>
      </c>
      <c r="D1085" s="4">
        <v>17.0</v>
      </c>
      <c r="E1085" s="4">
        <v>4409.0</v>
      </c>
      <c r="F1085" s="4">
        <v>0.0</v>
      </c>
      <c r="G1085" s="4"/>
    </row>
    <row r="1086">
      <c r="A1086" s="4" t="s">
        <v>5</v>
      </c>
      <c r="B1086" s="11">
        <v>43220.0</v>
      </c>
      <c r="C1086" s="11">
        <v>43226.0</v>
      </c>
      <c r="D1086" s="4">
        <v>18.0</v>
      </c>
      <c r="E1086" s="4">
        <v>4538.0</v>
      </c>
      <c r="F1086" s="4">
        <v>0.0</v>
      </c>
      <c r="G1086" s="4"/>
    </row>
    <row r="1087">
      <c r="A1087" s="4" t="s">
        <v>5</v>
      </c>
      <c r="B1087" s="11">
        <v>43227.0</v>
      </c>
      <c r="C1087" s="11">
        <v>43233.0</v>
      </c>
      <c r="D1087" s="4">
        <v>19.0</v>
      </c>
      <c r="E1087" s="4">
        <v>4460.0</v>
      </c>
      <c r="F1087" s="4">
        <v>0.0</v>
      </c>
      <c r="G1087" s="4"/>
    </row>
    <row r="1088">
      <c r="A1088" s="4" t="s">
        <v>5</v>
      </c>
      <c r="B1088" s="11">
        <v>43234.0</v>
      </c>
      <c r="C1088" s="11">
        <v>43240.0</v>
      </c>
      <c r="D1088" s="4">
        <v>20.0</v>
      </c>
      <c r="E1088" s="4">
        <v>4721.0</v>
      </c>
      <c r="F1088" s="4">
        <v>0.0</v>
      </c>
      <c r="G1088" s="4"/>
    </row>
    <row r="1089">
      <c r="A1089" s="4" t="s">
        <v>5</v>
      </c>
      <c r="B1089" s="11">
        <v>43241.0</v>
      </c>
      <c r="C1089" s="11">
        <v>43247.0</v>
      </c>
      <c r="D1089" s="4">
        <v>21.0</v>
      </c>
      <c r="E1089" s="4">
        <v>4654.0</v>
      </c>
      <c r="F1089" s="4">
        <v>0.0</v>
      </c>
      <c r="G1089" s="4"/>
    </row>
    <row r="1090">
      <c r="A1090" s="4" t="s">
        <v>5</v>
      </c>
      <c r="B1090" s="11">
        <v>43248.0</v>
      </c>
      <c r="C1090" s="11">
        <v>43254.0</v>
      </c>
      <c r="D1090" s="4">
        <v>22.0</v>
      </c>
      <c r="E1090" s="4">
        <v>4749.0</v>
      </c>
      <c r="F1090" s="4">
        <v>0.0</v>
      </c>
      <c r="G1090" s="4"/>
    </row>
    <row r="1091">
      <c r="A1091" s="4" t="s">
        <v>5</v>
      </c>
      <c r="B1091" s="11">
        <v>43255.0</v>
      </c>
      <c r="C1091" s="11">
        <v>43261.0</v>
      </c>
      <c r="D1091" s="4">
        <v>23.0</v>
      </c>
      <c r="E1091" s="4">
        <v>4848.0</v>
      </c>
      <c r="F1091" s="4">
        <v>0.0</v>
      </c>
      <c r="G1091" s="4"/>
    </row>
    <row r="1092">
      <c r="A1092" s="4" t="s">
        <v>5</v>
      </c>
      <c r="B1092" s="11">
        <v>43262.0</v>
      </c>
      <c r="C1092" s="11">
        <v>43268.0</v>
      </c>
      <c r="D1092" s="4">
        <v>24.0</v>
      </c>
      <c r="E1092" s="4">
        <v>4803.0</v>
      </c>
      <c r="F1092" s="4">
        <v>0.0</v>
      </c>
      <c r="G1092" s="4"/>
    </row>
    <row r="1093">
      <c r="A1093" s="4" t="s">
        <v>5</v>
      </c>
      <c r="B1093" s="11">
        <v>43269.0</v>
      </c>
      <c r="C1093" s="11">
        <v>43275.0</v>
      </c>
      <c r="D1093" s="4">
        <v>25.0</v>
      </c>
      <c r="E1093" s="4">
        <v>4851.0</v>
      </c>
      <c r="F1093" s="4">
        <v>0.0</v>
      </c>
      <c r="G1093" s="4"/>
    </row>
    <row r="1094">
      <c r="A1094" s="4" t="s">
        <v>5</v>
      </c>
      <c r="B1094" s="11">
        <v>43276.0</v>
      </c>
      <c r="C1094" s="11">
        <v>43282.0</v>
      </c>
      <c r="D1094" s="4">
        <v>26.0</v>
      </c>
      <c r="E1094" s="4">
        <v>4868.0</v>
      </c>
      <c r="F1094" s="4">
        <v>0.0</v>
      </c>
      <c r="G1094" s="4"/>
    </row>
    <row r="1095">
      <c r="A1095" s="4" t="s">
        <v>5</v>
      </c>
      <c r="B1095" s="11">
        <v>43283.0</v>
      </c>
      <c r="C1095" s="11">
        <v>43289.0</v>
      </c>
      <c r="D1095" s="4">
        <v>27.0</v>
      </c>
      <c r="E1095" s="4">
        <v>4845.0</v>
      </c>
      <c r="F1095" s="4">
        <v>0.0</v>
      </c>
      <c r="G1095" s="4"/>
    </row>
    <row r="1096">
      <c r="A1096" s="4" t="s">
        <v>5</v>
      </c>
      <c r="B1096" s="11">
        <v>43290.0</v>
      </c>
      <c r="C1096" s="11">
        <v>43296.0</v>
      </c>
      <c r="D1096" s="4">
        <v>28.0</v>
      </c>
      <c r="E1096" s="4">
        <v>4782.0</v>
      </c>
      <c r="F1096" s="4">
        <v>0.0</v>
      </c>
      <c r="G1096" s="4"/>
    </row>
    <row r="1097">
      <c r="A1097" s="4" t="s">
        <v>5</v>
      </c>
      <c r="B1097" s="11">
        <v>43297.0</v>
      </c>
      <c r="C1097" s="11">
        <v>43303.0</v>
      </c>
      <c r="D1097" s="4">
        <v>29.0</v>
      </c>
      <c r="E1097" s="4">
        <v>4740.0</v>
      </c>
      <c r="F1097" s="4">
        <v>0.0</v>
      </c>
      <c r="G1097" s="4"/>
    </row>
    <row r="1098">
      <c r="A1098" s="4" t="s">
        <v>5</v>
      </c>
      <c r="B1098" s="11">
        <v>43304.0</v>
      </c>
      <c r="C1098" s="11">
        <v>43310.0</v>
      </c>
      <c r="D1098" s="4">
        <v>30.0</v>
      </c>
      <c r="E1098" s="4">
        <v>4518.0</v>
      </c>
      <c r="F1098" s="4">
        <v>0.0</v>
      </c>
      <c r="G1098" s="4"/>
    </row>
    <row r="1099">
      <c r="A1099" s="4" t="s">
        <v>5</v>
      </c>
      <c r="B1099" s="11">
        <v>43311.0</v>
      </c>
      <c r="C1099" s="11">
        <v>43317.0</v>
      </c>
      <c r="D1099" s="4">
        <v>31.0</v>
      </c>
      <c r="E1099" s="4">
        <v>4459.0</v>
      </c>
      <c r="F1099" s="4">
        <v>0.0</v>
      </c>
      <c r="G1099" s="4"/>
    </row>
    <row r="1100">
      <c r="A1100" s="4" t="s">
        <v>5</v>
      </c>
      <c r="B1100" s="11">
        <v>43318.0</v>
      </c>
      <c r="C1100" s="11">
        <v>43324.0</v>
      </c>
      <c r="D1100" s="4">
        <v>32.0</v>
      </c>
      <c r="E1100" s="4">
        <v>4607.0</v>
      </c>
      <c r="F1100" s="4">
        <v>0.0</v>
      </c>
      <c r="G1100" s="4"/>
    </row>
    <row r="1101">
      <c r="A1101" s="4" t="s">
        <v>5</v>
      </c>
      <c r="B1101" s="11">
        <v>43325.0</v>
      </c>
      <c r="C1101" s="11">
        <v>43331.0</v>
      </c>
      <c r="D1101" s="4">
        <v>33.0</v>
      </c>
      <c r="E1101" s="4">
        <v>4637.0</v>
      </c>
      <c r="F1101" s="4">
        <v>0.0</v>
      </c>
      <c r="G1101" s="4"/>
    </row>
    <row r="1102">
      <c r="A1102" s="4" t="s">
        <v>5</v>
      </c>
      <c r="B1102" s="11">
        <v>43332.0</v>
      </c>
      <c r="C1102" s="11">
        <v>43338.0</v>
      </c>
      <c r="D1102" s="4">
        <v>34.0</v>
      </c>
      <c r="E1102" s="4">
        <v>4498.0</v>
      </c>
      <c r="F1102" s="4">
        <v>0.0</v>
      </c>
      <c r="G1102" s="4"/>
    </row>
    <row r="1103">
      <c r="A1103" s="4" t="s">
        <v>5</v>
      </c>
      <c r="B1103" s="11">
        <v>43339.0</v>
      </c>
      <c r="C1103" s="11">
        <v>43345.0</v>
      </c>
      <c r="D1103" s="4">
        <v>35.0</v>
      </c>
      <c r="E1103" s="4">
        <v>4462.0</v>
      </c>
      <c r="F1103" s="4">
        <v>0.0</v>
      </c>
      <c r="G1103" s="4"/>
    </row>
    <row r="1104">
      <c r="A1104" s="4" t="s">
        <v>5</v>
      </c>
      <c r="B1104" s="11">
        <v>43346.0</v>
      </c>
      <c r="C1104" s="11">
        <v>43352.0</v>
      </c>
      <c r="D1104" s="4">
        <v>36.0</v>
      </c>
      <c r="E1104" s="4">
        <v>4452.0</v>
      </c>
      <c r="F1104" s="4">
        <v>0.0</v>
      </c>
      <c r="G1104" s="4"/>
    </row>
    <row r="1105">
      <c r="A1105" s="4" t="s">
        <v>5</v>
      </c>
      <c r="B1105" s="11">
        <v>43353.0</v>
      </c>
      <c r="C1105" s="11">
        <v>43359.0</v>
      </c>
      <c r="D1105" s="4">
        <v>37.0</v>
      </c>
      <c r="E1105" s="4">
        <v>4415.0</v>
      </c>
      <c r="F1105" s="4">
        <v>0.0</v>
      </c>
      <c r="G1105" s="4"/>
    </row>
    <row r="1106">
      <c r="A1106" s="4" t="s">
        <v>5</v>
      </c>
      <c r="B1106" s="11">
        <v>43360.0</v>
      </c>
      <c r="C1106" s="11">
        <v>43366.0</v>
      </c>
      <c r="D1106" s="4">
        <v>38.0</v>
      </c>
      <c r="E1106" s="4">
        <v>4437.0</v>
      </c>
      <c r="F1106" s="4">
        <v>0.0</v>
      </c>
      <c r="G1106" s="4"/>
    </row>
    <row r="1107">
      <c r="A1107" s="4" t="s">
        <v>5</v>
      </c>
      <c r="B1107" s="11">
        <v>43367.0</v>
      </c>
      <c r="C1107" s="11">
        <v>43373.0</v>
      </c>
      <c r="D1107" s="4">
        <v>39.0</v>
      </c>
      <c r="E1107" s="4">
        <v>4324.0</v>
      </c>
      <c r="F1107" s="4">
        <v>0.0</v>
      </c>
      <c r="G1107" s="4"/>
    </row>
    <row r="1108">
      <c r="A1108" s="4" t="s">
        <v>5</v>
      </c>
      <c r="B1108" s="12">
        <v>43374.0</v>
      </c>
      <c r="C1108" s="12">
        <v>43380.0</v>
      </c>
      <c r="D1108" s="4">
        <v>40.0</v>
      </c>
      <c r="E1108" s="4">
        <v>4293.0</v>
      </c>
      <c r="F1108" s="4">
        <v>0.0</v>
      </c>
      <c r="G1108" s="4"/>
    </row>
    <row r="1109">
      <c r="A1109" s="4" t="s">
        <v>5</v>
      </c>
      <c r="B1109" s="12">
        <v>43381.0</v>
      </c>
      <c r="C1109" s="12">
        <v>43387.0</v>
      </c>
      <c r="D1109" s="4">
        <v>41.0</v>
      </c>
      <c r="E1109" s="4">
        <v>4363.0</v>
      </c>
      <c r="F1109" s="4">
        <v>0.0</v>
      </c>
      <c r="G1109" s="4"/>
    </row>
    <row r="1110">
      <c r="A1110" s="4" t="s">
        <v>5</v>
      </c>
      <c r="B1110" s="12">
        <v>43388.0</v>
      </c>
      <c r="C1110" s="12">
        <v>43394.0</v>
      </c>
      <c r="D1110" s="4">
        <v>42.0</v>
      </c>
      <c r="E1110" s="4">
        <v>4345.0</v>
      </c>
      <c r="F1110" s="4">
        <v>0.0</v>
      </c>
      <c r="G1110" s="4"/>
    </row>
    <row r="1111">
      <c r="A1111" s="4" t="s">
        <v>5</v>
      </c>
      <c r="B1111" s="12">
        <v>43395.0</v>
      </c>
      <c r="C1111" s="12">
        <v>43401.0</v>
      </c>
      <c r="D1111" s="4">
        <v>43.0</v>
      </c>
      <c r="E1111" s="4">
        <v>4287.0</v>
      </c>
      <c r="F1111" s="4">
        <v>0.0</v>
      </c>
      <c r="G1111" s="4"/>
    </row>
    <row r="1112">
      <c r="A1112" s="4" t="s">
        <v>5</v>
      </c>
      <c r="B1112" s="12">
        <v>43402.0</v>
      </c>
      <c r="C1112" s="12">
        <v>43408.0</v>
      </c>
      <c r="D1112" s="4">
        <v>44.0</v>
      </c>
      <c r="E1112" s="4">
        <v>4421.0</v>
      </c>
      <c r="F1112" s="4">
        <v>0.0</v>
      </c>
      <c r="G1112" s="4"/>
    </row>
    <row r="1113">
      <c r="A1113" s="4" t="s">
        <v>5</v>
      </c>
      <c r="B1113" s="12">
        <v>43409.0</v>
      </c>
      <c r="C1113" s="12">
        <v>43415.0</v>
      </c>
      <c r="D1113" s="4">
        <v>45.0</v>
      </c>
      <c r="E1113" s="4">
        <v>4366.0</v>
      </c>
      <c r="F1113" s="4">
        <v>0.0</v>
      </c>
      <c r="G1113" s="4"/>
    </row>
    <row r="1114">
      <c r="A1114" s="4" t="s">
        <v>5</v>
      </c>
      <c r="B1114" s="12">
        <v>43416.0</v>
      </c>
      <c r="C1114" s="12">
        <v>43422.0</v>
      </c>
      <c r="D1114" s="4">
        <v>46.0</v>
      </c>
      <c r="E1114" s="4">
        <v>4519.0</v>
      </c>
      <c r="F1114" s="4">
        <v>0.0</v>
      </c>
      <c r="G1114" s="4"/>
    </row>
    <row r="1115">
      <c r="A1115" s="4" t="s">
        <v>5</v>
      </c>
      <c r="B1115" s="12">
        <v>43423.0</v>
      </c>
      <c r="C1115" s="12">
        <v>43429.0</v>
      </c>
      <c r="D1115" s="4">
        <v>47.0</v>
      </c>
      <c r="E1115" s="4">
        <v>4448.0</v>
      </c>
      <c r="F1115" s="4">
        <v>0.0</v>
      </c>
      <c r="G1115" s="4"/>
    </row>
    <row r="1116">
      <c r="A1116" s="4" t="s">
        <v>5</v>
      </c>
      <c r="B1116" s="12">
        <v>43430.0</v>
      </c>
      <c r="C1116" s="12">
        <v>43436.0</v>
      </c>
      <c r="D1116" s="4">
        <v>48.0</v>
      </c>
      <c r="E1116" s="4">
        <v>4636.0</v>
      </c>
      <c r="F1116" s="4">
        <v>0.0</v>
      </c>
      <c r="G1116" s="4"/>
    </row>
    <row r="1117">
      <c r="A1117" s="4" t="s">
        <v>5</v>
      </c>
      <c r="B1117" s="12">
        <v>43437.0</v>
      </c>
      <c r="C1117" s="12">
        <v>43443.0</v>
      </c>
      <c r="D1117" s="4">
        <v>49.0</v>
      </c>
      <c r="E1117" s="4">
        <v>4756.0</v>
      </c>
      <c r="F1117" s="4">
        <v>0.0</v>
      </c>
      <c r="G1117" s="4"/>
    </row>
    <row r="1118">
      <c r="A1118" s="4" t="s">
        <v>5</v>
      </c>
      <c r="B1118" s="12">
        <v>43444.0</v>
      </c>
      <c r="C1118" s="12">
        <v>43450.0</v>
      </c>
      <c r="D1118" s="4">
        <v>50.0</v>
      </c>
      <c r="E1118" s="4">
        <v>4763.0</v>
      </c>
      <c r="F1118" s="4">
        <v>0.0</v>
      </c>
      <c r="G1118" s="4"/>
    </row>
    <row r="1119">
      <c r="A1119" s="4" t="s">
        <v>5</v>
      </c>
      <c r="B1119" s="12">
        <v>43451.0</v>
      </c>
      <c r="C1119" s="12">
        <v>43457.0</v>
      </c>
      <c r="D1119" s="4">
        <v>51.0</v>
      </c>
      <c r="E1119" s="4">
        <v>4787.0</v>
      </c>
      <c r="F1119" s="4">
        <v>0.0</v>
      </c>
      <c r="G1119" s="4"/>
    </row>
    <row r="1120">
      <c r="A1120" s="4" t="s">
        <v>5</v>
      </c>
      <c r="B1120" s="12">
        <v>43458.0</v>
      </c>
      <c r="C1120" s="12">
        <v>43464.0</v>
      </c>
      <c r="D1120" s="4">
        <v>52.0</v>
      </c>
      <c r="E1120" s="4">
        <v>4984.0</v>
      </c>
      <c r="F1120" s="4">
        <v>0.0</v>
      </c>
      <c r="G1120" s="4"/>
    </row>
    <row r="1121">
      <c r="A1121" s="4" t="s">
        <v>5</v>
      </c>
      <c r="B1121" s="12">
        <v>43465.0</v>
      </c>
      <c r="C1121" s="11">
        <v>43471.0</v>
      </c>
      <c r="D1121" s="4">
        <v>1.0</v>
      </c>
      <c r="E1121" s="4">
        <v>5348.0</v>
      </c>
      <c r="F1121" s="4">
        <v>0.0</v>
      </c>
      <c r="G1121" s="4"/>
    </row>
    <row r="1122">
      <c r="A1122" s="4" t="s">
        <v>5</v>
      </c>
      <c r="B1122" s="11">
        <v>43472.0</v>
      </c>
      <c r="C1122" s="11">
        <v>43478.0</v>
      </c>
      <c r="D1122" s="4">
        <v>2.0</v>
      </c>
      <c r="E1122" s="4">
        <v>4713.0</v>
      </c>
      <c r="F1122" s="4">
        <v>0.0</v>
      </c>
      <c r="G1122" s="4"/>
    </row>
    <row r="1123">
      <c r="A1123" s="4" t="s">
        <v>5</v>
      </c>
      <c r="B1123" s="11">
        <v>43479.0</v>
      </c>
      <c r="C1123" s="11">
        <v>43485.0</v>
      </c>
      <c r="D1123" s="4">
        <v>3.0</v>
      </c>
      <c r="E1123" s="4">
        <v>4842.0</v>
      </c>
      <c r="F1123" s="4">
        <v>0.0</v>
      </c>
      <c r="G1123" s="4"/>
    </row>
    <row r="1124">
      <c r="A1124" s="4" t="s">
        <v>5</v>
      </c>
      <c r="B1124" s="11">
        <v>43486.0</v>
      </c>
      <c r="C1124" s="11">
        <v>43492.0</v>
      </c>
      <c r="D1124" s="4">
        <v>4.0</v>
      </c>
      <c r="E1124" s="4">
        <v>4606.0</v>
      </c>
      <c r="F1124" s="4">
        <v>0.0</v>
      </c>
      <c r="G1124" s="4"/>
    </row>
    <row r="1125">
      <c r="A1125" s="4" t="s">
        <v>5</v>
      </c>
      <c r="B1125" s="11">
        <v>43493.0</v>
      </c>
      <c r="C1125" s="11">
        <v>43499.0</v>
      </c>
      <c r="D1125" s="4">
        <v>5.0</v>
      </c>
      <c r="E1125" s="4">
        <v>4562.0</v>
      </c>
      <c r="F1125" s="4">
        <v>0.0</v>
      </c>
      <c r="G1125" s="4"/>
    </row>
    <row r="1126">
      <c r="A1126" s="4" t="s">
        <v>5</v>
      </c>
      <c r="B1126" s="11">
        <v>43500.0</v>
      </c>
      <c r="C1126" s="11">
        <v>43506.0</v>
      </c>
      <c r="D1126" s="4">
        <v>6.0</v>
      </c>
      <c r="E1126" s="4">
        <v>4497.0</v>
      </c>
      <c r="F1126" s="4">
        <v>0.0</v>
      </c>
      <c r="G1126" s="4"/>
    </row>
    <row r="1127">
      <c r="A1127" s="4" t="s">
        <v>5</v>
      </c>
      <c r="B1127" s="11">
        <v>43507.0</v>
      </c>
      <c r="C1127" s="11">
        <v>43513.0</v>
      </c>
      <c r="D1127" s="4">
        <v>7.0</v>
      </c>
      <c r="E1127" s="4">
        <v>4484.0</v>
      </c>
      <c r="F1127" s="4">
        <v>0.0</v>
      </c>
      <c r="G1127" s="4"/>
    </row>
    <row r="1128">
      <c r="A1128" s="4" t="s">
        <v>5</v>
      </c>
      <c r="B1128" s="11">
        <v>43514.0</v>
      </c>
      <c r="C1128" s="11">
        <v>43520.0</v>
      </c>
      <c r="D1128" s="4">
        <v>8.0</v>
      </c>
      <c r="E1128" s="4">
        <v>4494.0</v>
      </c>
      <c r="F1128" s="4">
        <v>0.0</v>
      </c>
      <c r="G1128" s="4"/>
    </row>
    <row r="1129">
      <c r="A1129" s="4" t="s">
        <v>5</v>
      </c>
      <c r="B1129" s="11">
        <v>43521.0</v>
      </c>
      <c r="C1129" s="11">
        <v>43527.0</v>
      </c>
      <c r="D1129" s="4">
        <v>9.0</v>
      </c>
      <c r="E1129" s="4">
        <v>4474.0</v>
      </c>
      <c r="F1129" s="4">
        <v>0.0</v>
      </c>
      <c r="G1129" s="4"/>
    </row>
    <row r="1130">
      <c r="A1130" s="4" t="s">
        <v>5</v>
      </c>
      <c r="B1130" s="11">
        <v>43528.0</v>
      </c>
      <c r="C1130" s="11">
        <v>43534.0</v>
      </c>
      <c r="D1130" s="4">
        <v>10.0</v>
      </c>
      <c r="E1130" s="4">
        <v>4440.0</v>
      </c>
      <c r="F1130" s="4">
        <v>0.0</v>
      </c>
      <c r="G1130" s="4"/>
    </row>
    <row r="1131">
      <c r="A1131" s="4" t="s">
        <v>5</v>
      </c>
      <c r="B1131" s="11">
        <v>43535.0</v>
      </c>
      <c r="C1131" s="11">
        <v>43541.0</v>
      </c>
      <c r="D1131" s="4">
        <v>11.0</v>
      </c>
      <c r="E1131" s="4">
        <v>4493.0</v>
      </c>
      <c r="F1131" s="4">
        <v>0.0</v>
      </c>
      <c r="G1131" s="4"/>
    </row>
    <row r="1132">
      <c r="A1132" s="4" t="s">
        <v>5</v>
      </c>
      <c r="B1132" s="11">
        <v>43542.0</v>
      </c>
      <c r="C1132" s="11">
        <v>43548.0</v>
      </c>
      <c r="D1132" s="4">
        <v>12.0</v>
      </c>
      <c r="E1132" s="4">
        <v>4520.0</v>
      </c>
      <c r="F1132" s="4">
        <v>0.0</v>
      </c>
      <c r="G1132" s="4"/>
    </row>
    <row r="1133">
      <c r="A1133" s="4" t="s">
        <v>5</v>
      </c>
      <c r="B1133" s="11">
        <v>43549.0</v>
      </c>
      <c r="C1133" s="11">
        <v>43555.0</v>
      </c>
      <c r="D1133" s="4">
        <v>13.0</v>
      </c>
      <c r="E1133" s="4">
        <v>4511.0</v>
      </c>
      <c r="F1133" s="4">
        <v>0.0</v>
      </c>
      <c r="G1133" s="4"/>
    </row>
    <row r="1134">
      <c r="A1134" s="4" t="s">
        <v>5</v>
      </c>
      <c r="B1134" s="11">
        <v>43556.0</v>
      </c>
      <c r="C1134" s="11">
        <v>43562.0</v>
      </c>
      <c r="D1134" s="4">
        <v>14.0</v>
      </c>
      <c r="E1134" s="4">
        <v>4474.0</v>
      </c>
      <c r="F1134" s="4">
        <v>0.0</v>
      </c>
      <c r="G1134" s="4"/>
    </row>
    <row r="1135">
      <c r="A1135" s="4" t="s">
        <v>5</v>
      </c>
      <c r="B1135" s="11">
        <v>43563.0</v>
      </c>
      <c r="C1135" s="11">
        <v>43569.0</v>
      </c>
      <c r="D1135" s="4">
        <v>15.0</v>
      </c>
      <c r="E1135" s="4">
        <v>4548.0</v>
      </c>
      <c r="F1135" s="4">
        <v>0.0</v>
      </c>
      <c r="G1135" s="4"/>
    </row>
    <row r="1136">
      <c r="A1136" s="4" t="s">
        <v>5</v>
      </c>
      <c r="B1136" s="11">
        <v>43570.0</v>
      </c>
      <c r="C1136" s="11">
        <v>43576.0</v>
      </c>
      <c r="D1136" s="4">
        <v>16.0</v>
      </c>
      <c r="E1136" s="4">
        <v>4420.0</v>
      </c>
      <c r="F1136" s="4">
        <v>0.0</v>
      </c>
      <c r="G1136" s="4"/>
    </row>
    <row r="1137">
      <c r="A1137" s="4" t="s">
        <v>5</v>
      </c>
      <c r="B1137" s="11">
        <v>43577.0</v>
      </c>
      <c r="C1137" s="11">
        <v>43583.0</v>
      </c>
      <c r="D1137" s="4">
        <v>17.0</v>
      </c>
      <c r="E1137" s="4">
        <v>4452.0</v>
      </c>
      <c r="F1137" s="4">
        <v>0.0</v>
      </c>
      <c r="G1137" s="4"/>
    </row>
    <row r="1138">
      <c r="A1138" s="4" t="s">
        <v>5</v>
      </c>
      <c r="B1138" s="11">
        <v>43584.0</v>
      </c>
      <c r="C1138" s="11">
        <v>43590.0</v>
      </c>
      <c r="D1138" s="4">
        <v>18.0</v>
      </c>
      <c r="E1138" s="4">
        <v>4677.0</v>
      </c>
      <c r="F1138" s="4">
        <v>0.0</v>
      </c>
      <c r="G1138" s="4"/>
    </row>
    <row r="1139">
      <c r="A1139" s="4" t="s">
        <v>5</v>
      </c>
      <c r="B1139" s="11">
        <v>43591.0</v>
      </c>
      <c r="C1139" s="11">
        <v>43597.0</v>
      </c>
      <c r="D1139" s="4">
        <v>19.0</v>
      </c>
      <c r="E1139" s="4">
        <v>4624.0</v>
      </c>
      <c r="F1139" s="4">
        <v>0.0</v>
      </c>
      <c r="G1139" s="4"/>
    </row>
    <row r="1140">
      <c r="A1140" s="4" t="s">
        <v>5</v>
      </c>
      <c r="B1140" s="11">
        <v>43598.0</v>
      </c>
      <c r="C1140" s="11">
        <v>43604.0</v>
      </c>
      <c r="D1140" s="4">
        <v>20.0</v>
      </c>
      <c r="E1140" s="4">
        <v>4448.0</v>
      </c>
      <c r="F1140" s="4">
        <v>0.0</v>
      </c>
      <c r="G1140" s="4"/>
    </row>
    <row r="1141">
      <c r="A1141" s="4" t="s">
        <v>5</v>
      </c>
      <c r="B1141" s="11">
        <v>43605.0</v>
      </c>
      <c r="C1141" s="11">
        <v>43611.0</v>
      </c>
      <c r="D1141" s="4">
        <v>21.0</v>
      </c>
      <c r="E1141" s="4">
        <v>4670.0</v>
      </c>
      <c r="F1141" s="4">
        <v>0.0</v>
      </c>
      <c r="G1141" s="4"/>
    </row>
    <row r="1142">
      <c r="A1142" s="4" t="s">
        <v>5</v>
      </c>
      <c r="B1142" s="11">
        <v>43612.0</v>
      </c>
      <c r="C1142" s="11">
        <v>43618.0</v>
      </c>
      <c r="D1142" s="4">
        <v>22.0</v>
      </c>
      <c r="E1142" s="4">
        <v>4570.0</v>
      </c>
      <c r="F1142" s="4">
        <v>0.0</v>
      </c>
      <c r="G1142" s="4"/>
    </row>
    <row r="1143">
      <c r="A1143" s="4" t="s">
        <v>5</v>
      </c>
      <c r="B1143" s="11">
        <v>43619.0</v>
      </c>
      <c r="C1143" s="11">
        <v>43625.0</v>
      </c>
      <c r="D1143" s="4">
        <v>23.0</v>
      </c>
      <c r="E1143" s="4">
        <v>4860.0</v>
      </c>
      <c r="F1143" s="4">
        <v>0.0</v>
      </c>
      <c r="G1143" s="4"/>
    </row>
    <row r="1144">
      <c r="A1144" s="4" t="s">
        <v>5</v>
      </c>
      <c r="B1144" s="11">
        <v>43626.0</v>
      </c>
      <c r="C1144" s="11">
        <v>43632.0</v>
      </c>
      <c r="D1144" s="4">
        <v>24.0</v>
      </c>
      <c r="E1144" s="4">
        <v>4753.0</v>
      </c>
      <c r="F1144" s="4">
        <v>0.0</v>
      </c>
      <c r="G1144" s="4"/>
    </row>
    <row r="1145">
      <c r="A1145" s="4" t="s">
        <v>5</v>
      </c>
      <c r="B1145" s="11">
        <v>43633.0</v>
      </c>
      <c r="C1145" s="11">
        <v>43639.0</v>
      </c>
      <c r="D1145" s="4">
        <v>25.0</v>
      </c>
      <c r="E1145" s="4">
        <v>4964.0</v>
      </c>
      <c r="F1145" s="4">
        <v>0.0</v>
      </c>
      <c r="G1145" s="4"/>
    </row>
    <row r="1146">
      <c r="A1146" s="4" t="s">
        <v>5</v>
      </c>
      <c r="B1146" s="11">
        <v>43640.0</v>
      </c>
      <c r="C1146" s="11">
        <v>43646.0</v>
      </c>
      <c r="D1146" s="4">
        <v>26.0</v>
      </c>
      <c r="E1146" s="4">
        <v>4807.0</v>
      </c>
      <c r="F1146" s="4">
        <v>0.0</v>
      </c>
      <c r="G1146" s="4"/>
    </row>
    <row r="1147">
      <c r="A1147" s="4" t="s">
        <v>5</v>
      </c>
      <c r="B1147" s="11">
        <v>43647.0</v>
      </c>
      <c r="C1147" s="11">
        <v>43653.0</v>
      </c>
      <c r="D1147" s="4">
        <v>27.0</v>
      </c>
      <c r="E1147" s="4">
        <v>4854.0</v>
      </c>
      <c r="F1147" s="4">
        <v>0.0</v>
      </c>
      <c r="G1147" s="4"/>
    </row>
    <row r="1148">
      <c r="A1148" s="4" t="s">
        <v>5</v>
      </c>
      <c r="B1148" s="11">
        <v>43654.0</v>
      </c>
      <c r="C1148" s="11">
        <v>43660.0</v>
      </c>
      <c r="D1148" s="4">
        <v>28.0</v>
      </c>
      <c r="E1148" s="4">
        <v>4887.0</v>
      </c>
      <c r="F1148" s="4">
        <v>0.0</v>
      </c>
      <c r="G1148" s="4"/>
    </row>
    <row r="1149">
      <c r="A1149" s="4" t="s">
        <v>5</v>
      </c>
      <c r="B1149" s="11">
        <v>43661.0</v>
      </c>
      <c r="C1149" s="11">
        <v>43667.0</v>
      </c>
      <c r="D1149" s="4">
        <v>29.0</v>
      </c>
      <c r="E1149" s="4">
        <v>4918.0</v>
      </c>
      <c r="F1149" s="4">
        <v>0.0</v>
      </c>
      <c r="G1149" s="4"/>
    </row>
    <row r="1150">
      <c r="A1150" s="4" t="s">
        <v>5</v>
      </c>
      <c r="B1150" s="11">
        <v>43668.0</v>
      </c>
      <c r="C1150" s="11">
        <v>43674.0</v>
      </c>
      <c r="D1150" s="4">
        <v>30.0</v>
      </c>
      <c r="E1150" s="4">
        <v>4672.0</v>
      </c>
      <c r="F1150" s="4">
        <v>0.0</v>
      </c>
      <c r="G1150" s="4"/>
    </row>
    <row r="1151">
      <c r="A1151" s="4" t="s">
        <v>5</v>
      </c>
      <c r="B1151" s="11">
        <v>43675.0</v>
      </c>
      <c r="C1151" s="11">
        <v>43681.0</v>
      </c>
      <c r="D1151" s="4">
        <v>31.0</v>
      </c>
      <c r="E1151" s="4">
        <v>4726.0</v>
      </c>
      <c r="F1151" s="4">
        <v>0.0</v>
      </c>
      <c r="G1151" s="4"/>
    </row>
    <row r="1152">
      <c r="A1152" s="4" t="s">
        <v>5</v>
      </c>
      <c r="B1152" s="11">
        <v>43682.0</v>
      </c>
      <c r="C1152" s="11">
        <v>43688.0</v>
      </c>
      <c r="D1152" s="4">
        <v>32.0</v>
      </c>
      <c r="E1152" s="4">
        <v>4742.0</v>
      </c>
      <c r="F1152" s="4">
        <v>0.0</v>
      </c>
      <c r="G1152" s="4"/>
    </row>
    <row r="1153">
      <c r="A1153" s="4" t="s">
        <v>5</v>
      </c>
      <c r="B1153" s="11">
        <v>43689.0</v>
      </c>
      <c r="C1153" s="11">
        <v>43695.0</v>
      </c>
      <c r="D1153" s="4">
        <v>33.0</v>
      </c>
      <c r="E1153" s="4">
        <v>4693.0</v>
      </c>
      <c r="F1153" s="4">
        <v>0.0</v>
      </c>
      <c r="G1153" s="4"/>
    </row>
    <row r="1154">
      <c r="A1154" s="4" t="s">
        <v>5</v>
      </c>
      <c r="B1154" s="11">
        <v>43696.0</v>
      </c>
      <c r="C1154" s="11">
        <v>43702.0</v>
      </c>
      <c r="D1154" s="4">
        <v>34.0</v>
      </c>
      <c r="E1154" s="4">
        <v>4912.0</v>
      </c>
      <c r="F1154" s="4">
        <v>0.0</v>
      </c>
      <c r="G1154" s="4"/>
    </row>
    <row r="1155">
      <c r="A1155" s="4" t="s">
        <v>5</v>
      </c>
      <c r="B1155" s="11">
        <v>43703.0</v>
      </c>
      <c r="C1155" s="11">
        <v>43709.0</v>
      </c>
      <c r="D1155" s="4">
        <v>35.0</v>
      </c>
      <c r="E1155" s="4">
        <v>4842.0</v>
      </c>
      <c r="F1155" s="4">
        <v>0.0</v>
      </c>
      <c r="G1155" s="4"/>
    </row>
    <row r="1156">
      <c r="A1156" s="4" t="s">
        <v>5</v>
      </c>
      <c r="B1156" s="11">
        <v>43710.0</v>
      </c>
      <c r="C1156" s="11">
        <v>43716.0</v>
      </c>
      <c r="D1156" s="4">
        <v>36.0</v>
      </c>
      <c r="E1156" s="4">
        <v>4717.0</v>
      </c>
      <c r="F1156" s="4">
        <v>0.0</v>
      </c>
      <c r="G1156" s="4"/>
    </row>
    <row r="1157">
      <c r="A1157" s="4" t="s">
        <v>5</v>
      </c>
      <c r="B1157" s="11">
        <v>43717.0</v>
      </c>
      <c r="C1157" s="11">
        <v>43723.0</v>
      </c>
      <c r="D1157" s="4">
        <v>37.0</v>
      </c>
      <c r="E1157" s="4">
        <v>4609.0</v>
      </c>
      <c r="F1157" s="4">
        <v>0.0</v>
      </c>
      <c r="G1157" s="4"/>
    </row>
    <row r="1158">
      <c r="A1158" s="4" t="s">
        <v>5</v>
      </c>
      <c r="B1158" s="11">
        <v>43724.0</v>
      </c>
      <c r="C1158" s="11">
        <v>43730.0</v>
      </c>
      <c r="D1158" s="4">
        <v>38.0</v>
      </c>
      <c r="E1158" s="4">
        <v>4648.0</v>
      </c>
      <c r="F1158" s="4">
        <v>0.0</v>
      </c>
      <c r="G1158" s="4"/>
    </row>
    <row r="1159">
      <c r="A1159" s="4" t="s">
        <v>5</v>
      </c>
      <c r="B1159" s="11">
        <v>43731.0</v>
      </c>
      <c r="C1159" s="11">
        <v>43737.0</v>
      </c>
      <c r="D1159" s="4">
        <v>39.0</v>
      </c>
      <c r="E1159" s="4">
        <v>4432.0</v>
      </c>
      <c r="F1159" s="4">
        <v>0.0</v>
      </c>
      <c r="G1159" s="4"/>
    </row>
    <row r="1160">
      <c r="A1160" s="4" t="s">
        <v>5</v>
      </c>
      <c r="B1160" s="11">
        <v>43738.0</v>
      </c>
      <c r="C1160" s="12">
        <v>43744.0</v>
      </c>
      <c r="D1160" s="4">
        <v>40.0</v>
      </c>
      <c r="E1160" s="4">
        <v>4628.0</v>
      </c>
      <c r="F1160" s="4">
        <v>0.0</v>
      </c>
      <c r="G1160" s="4"/>
    </row>
    <row r="1161">
      <c r="A1161" s="4" t="s">
        <v>5</v>
      </c>
      <c r="B1161" s="12">
        <v>43745.0</v>
      </c>
      <c r="C1161" s="12">
        <v>43751.0</v>
      </c>
      <c r="D1161" s="4">
        <v>41.0</v>
      </c>
      <c r="E1161" s="4">
        <v>4577.0</v>
      </c>
      <c r="F1161" s="4">
        <v>0.0</v>
      </c>
      <c r="G1161" s="4"/>
    </row>
    <row r="1162">
      <c r="A1162" s="4" t="s">
        <v>5</v>
      </c>
      <c r="B1162" s="12">
        <v>43752.0</v>
      </c>
      <c r="C1162" s="12">
        <v>43758.0</v>
      </c>
      <c r="D1162" s="4">
        <v>42.0</v>
      </c>
      <c r="E1162" s="4">
        <v>4617.0</v>
      </c>
      <c r="F1162" s="4">
        <v>0.0</v>
      </c>
      <c r="G1162" s="4"/>
    </row>
    <row r="1163">
      <c r="A1163" s="4" t="s">
        <v>5</v>
      </c>
      <c r="B1163" s="12">
        <v>43759.0</v>
      </c>
      <c r="C1163" s="12">
        <v>43765.0</v>
      </c>
      <c r="D1163" s="4">
        <v>43.0</v>
      </c>
      <c r="E1163" s="4">
        <v>4633.0</v>
      </c>
      <c r="F1163" s="4">
        <v>0.0</v>
      </c>
      <c r="G1163" s="4"/>
    </row>
    <row r="1164">
      <c r="A1164" s="4" t="s">
        <v>5</v>
      </c>
      <c r="B1164" s="12">
        <v>43766.0</v>
      </c>
      <c r="C1164" s="12">
        <v>43772.0</v>
      </c>
      <c r="D1164" s="4">
        <v>44.0</v>
      </c>
      <c r="E1164" s="4">
        <v>4778.0</v>
      </c>
      <c r="F1164" s="4">
        <v>0.0</v>
      </c>
      <c r="G1164" s="4"/>
    </row>
    <row r="1165">
      <c r="A1165" s="4" t="s">
        <v>5</v>
      </c>
      <c r="B1165" s="12">
        <v>43773.0</v>
      </c>
      <c r="C1165" s="12">
        <v>43779.0</v>
      </c>
      <c r="D1165" s="4">
        <v>45.0</v>
      </c>
      <c r="E1165" s="4">
        <v>4746.0</v>
      </c>
      <c r="F1165" s="4">
        <v>0.0</v>
      </c>
      <c r="G1165" s="4"/>
    </row>
    <row r="1166">
      <c r="A1166" s="4" t="s">
        <v>5</v>
      </c>
      <c r="B1166" s="12">
        <v>43780.0</v>
      </c>
      <c r="C1166" s="12">
        <v>43786.0</v>
      </c>
      <c r="D1166" s="4">
        <v>46.0</v>
      </c>
      <c r="E1166" s="4">
        <v>4697.0</v>
      </c>
      <c r="F1166" s="4">
        <v>0.0</v>
      </c>
      <c r="G1166" s="4"/>
    </row>
    <row r="1167">
      <c r="A1167" s="4" t="s">
        <v>5</v>
      </c>
      <c r="B1167" s="12">
        <v>43787.0</v>
      </c>
      <c r="C1167" s="12">
        <v>43793.0</v>
      </c>
      <c r="D1167" s="4">
        <v>47.0</v>
      </c>
      <c r="E1167" s="4">
        <v>4790.0</v>
      </c>
      <c r="F1167" s="4">
        <v>0.0</v>
      </c>
      <c r="G1167" s="4"/>
    </row>
    <row r="1168">
      <c r="A1168" s="4" t="s">
        <v>5</v>
      </c>
      <c r="B1168" s="12">
        <v>43794.0</v>
      </c>
      <c r="C1168" s="12">
        <v>43800.0</v>
      </c>
      <c r="D1168" s="4">
        <v>48.0</v>
      </c>
      <c r="E1168" s="4">
        <v>4755.0</v>
      </c>
      <c r="F1168" s="4">
        <v>0.0</v>
      </c>
      <c r="G1168" s="4"/>
    </row>
    <row r="1169">
      <c r="A1169" s="4" t="s">
        <v>5</v>
      </c>
      <c r="B1169" s="12">
        <v>43801.0</v>
      </c>
      <c r="C1169" s="12">
        <v>43807.0</v>
      </c>
      <c r="D1169" s="4">
        <v>49.0</v>
      </c>
      <c r="E1169" s="4">
        <v>4803.0</v>
      </c>
      <c r="F1169" s="4">
        <v>0.0</v>
      </c>
      <c r="G1169" s="4"/>
    </row>
    <row r="1170">
      <c r="A1170" s="4" t="s">
        <v>5</v>
      </c>
      <c r="B1170" s="12">
        <v>43808.0</v>
      </c>
      <c r="C1170" s="12">
        <v>43814.0</v>
      </c>
      <c r="D1170" s="4">
        <v>50.0</v>
      </c>
      <c r="E1170" s="4">
        <v>4818.0</v>
      </c>
      <c r="F1170" s="4">
        <v>0.0</v>
      </c>
      <c r="G1170" s="4"/>
    </row>
    <row r="1171">
      <c r="A1171" s="4" t="s">
        <v>5</v>
      </c>
      <c r="B1171" s="12">
        <v>43815.0</v>
      </c>
      <c r="C1171" s="12">
        <v>43821.0</v>
      </c>
      <c r="D1171" s="4">
        <v>51.0</v>
      </c>
      <c r="E1171" s="4">
        <v>4862.0</v>
      </c>
      <c r="F1171" s="4">
        <v>0.0</v>
      </c>
      <c r="G1171" s="4"/>
    </row>
    <row r="1172">
      <c r="A1172" s="4" t="s">
        <v>5</v>
      </c>
      <c r="B1172" s="12">
        <v>43822.0</v>
      </c>
      <c r="C1172" s="12">
        <v>43828.0</v>
      </c>
      <c r="D1172" s="4">
        <v>52.0</v>
      </c>
      <c r="E1172" s="4">
        <v>5041.0</v>
      </c>
      <c r="F1172" s="4">
        <v>0.0</v>
      </c>
      <c r="G1172" s="4"/>
    </row>
    <row r="1173">
      <c r="A1173" s="4" t="s">
        <v>5</v>
      </c>
      <c r="B1173" s="12">
        <v>43829.0</v>
      </c>
      <c r="C1173" s="11">
        <v>43835.0</v>
      </c>
      <c r="D1173" s="4">
        <v>1.0</v>
      </c>
      <c r="E1173" s="4">
        <v>5076.0</v>
      </c>
      <c r="F1173" s="4">
        <v>0.0</v>
      </c>
      <c r="G1173" s="4"/>
    </row>
    <row r="1174">
      <c r="A1174" s="4" t="s">
        <v>5</v>
      </c>
      <c r="B1174" s="11">
        <v>43836.0</v>
      </c>
      <c r="C1174" s="11">
        <v>43842.0</v>
      </c>
      <c r="D1174" s="4">
        <v>2.0</v>
      </c>
      <c r="E1174" s="4">
        <v>5007.0</v>
      </c>
      <c r="F1174" s="4">
        <v>0.0</v>
      </c>
      <c r="G1174" s="4"/>
    </row>
    <row r="1175">
      <c r="A1175" s="4" t="s">
        <v>5</v>
      </c>
      <c r="B1175" s="11">
        <v>43843.0</v>
      </c>
      <c r="C1175" s="11">
        <v>43849.0</v>
      </c>
      <c r="D1175" s="4">
        <v>3.0</v>
      </c>
      <c r="E1175" s="4">
        <v>4897.0</v>
      </c>
      <c r="F1175" s="4">
        <v>0.0</v>
      </c>
      <c r="G1175" s="4"/>
    </row>
    <row r="1176">
      <c r="A1176" s="4" t="s">
        <v>5</v>
      </c>
      <c r="B1176" s="11">
        <v>43850.0</v>
      </c>
      <c r="C1176" s="11">
        <v>43856.0</v>
      </c>
      <c r="D1176" s="4">
        <v>4.0</v>
      </c>
      <c r="E1176" s="4">
        <v>4760.0</v>
      </c>
      <c r="F1176" s="4">
        <v>0.0</v>
      </c>
      <c r="G1176" s="4"/>
    </row>
    <row r="1177">
      <c r="A1177" s="4" t="s">
        <v>5</v>
      </c>
      <c r="B1177" s="11">
        <v>43857.0</v>
      </c>
      <c r="C1177" s="11">
        <v>43863.0</v>
      </c>
      <c r="D1177" s="4">
        <v>5.0</v>
      </c>
      <c r="E1177" s="4">
        <v>4631.0</v>
      </c>
      <c r="F1177" s="4">
        <v>0.0</v>
      </c>
      <c r="G1177" s="4"/>
    </row>
    <row r="1178">
      <c r="A1178" s="4" t="s">
        <v>5</v>
      </c>
      <c r="B1178" s="11">
        <v>43864.0</v>
      </c>
      <c r="C1178" s="11">
        <v>43870.0</v>
      </c>
      <c r="D1178" s="4">
        <v>6.0</v>
      </c>
      <c r="E1178" s="4">
        <v>4742.0</v>
      </c>
      <c r="F1178" s="4">
        <v>0.0</v>
      </c>
      <c r="G1178" s="4"/>
    </row>
    <row r="1179">
      <c r="A1179" s="4" t="s">
        <v>5</v>
      </c>
      <c r="B1179" s="11">
        <v>43871.0</v>
      </c>
      <c r="C1179" s="11">
        <v>43877.0</v>
      </c>
      <c r="D1179" s="4">
        <v>7.0</v>
      </c>
      <c r="E1179" s="4">
        <v>4699.0</v>
      </c>
      <c r="F1179" s="4">
        <v>0.0</v>
      </c>
      <c r="G1179" s="4"/>
    </row>
    <row r="1180">
      <c r="A1180" s="4" t="s">
        <v>5</v>
      </c>
      <c r="B1180" s="11">
        <v>43878.0</v>
      </c>
      <c r="C1180" s="11">
        <v>43884.0</v>
      </c>
      <c r="D1180" s="4">
        <v>8.0</v>
      </c>
      <c r="E1180" s="4">
        <v>4693.0</v>
      </c>
      <c r="F1180" s="4">
        <v>0.0</v>
      </c>
      <c r="G1180" s="4"/>
    </row>
    <row r="1181">
      <c r="A1181" s="4" t="s">
        <v>5</v>
      </c>
      <c r="B1181" s="11">
        <v>43885.0</v>
      </c>
      <c r="C1181" s="11">
        <v>43891.0</v>
      </c>
      <c r="D1181" s="4">
        <v>9.0</v>
      </c>
      <c r="E1181" s="4">
        <v>4520.0</v>
      </c>
      <c r="F1181" s="4">
        <v>0.0</v>
      </c>
      <c r="G1181" s="4"/>
    </row>
    <row r="1182">
      <c r="A1182" s="4" t="s">
        <v>5</v>
      </c>
      <c r="B1182" s="11">
        <v>43892.0</v>
      </c>
      <c r="C1182" s="11">
        <v>43898.0</v>
      </c>
      <c r="D1182" s="4">
        <v>10.0</v>
      </c>
      <c r="E1182" s="4">
        <v>4534.0</v>
      </c>
      <c r="F1182" s="4">
        <v>0.0</v>
      </c>
      <c r="G1182" s="4"/>
    </row>
    <row r="1183">
      <c r="A1183" s="4" t="s">
        <v>5</v>
      </c>
      <c r="B1183" s="11">
        <v>43899.0</v>
      </c>
      <c r="C1183" s="11">
        <v>43905.0</v>
      </c>
      <c r="D1183" s="4">
        <v>11.0</v>
      </c>
      <c r="E1183" s="4">
        <v>4457.0</v>
      </c>
      <c r="F1183" s="4">
        <v>0.0</v>
      </c>
      <c r="G1183" s="4"/>
    </row>
    <row r="1184">
      <c r="A1184" s="4" t="s">
        <v>5</v>
      </c>
      <c r="B1184" s="11">
        <v>43906.0</v>
      </c>
      <c r="C1184" s="11">
        <v>43912.0</v>
      </c>
      <c r="D1184" s="4">
        <v>12.0</v>
      </c>
      <c r="E1184" s="4">
        <v>4499.0</v>
      </c>
      <c r="F1184" s="4">
        <v>2.0</v>
      </c>
      <c r="G1184" s="4"/>
    </row>
    <row r="1185">
      <c r="A1185" s="4" t="s">
        <v>5</v>
      </c>
      <c r="B1185" s="11">
        <v>43913.0</v>
      </c>
      <c r="C1185" s="11">
        <v>43919.0</v>
      </c>
      <c r="D1185" s="4">
        <v>13.0</v>
      </c>
      <c r="E1185" s="4">
        <v>4337.0</v>
      </c>
      <c r="F1185" s="4">
        <v>8.0</v>
      </c>
      <c r="G1185" s="4"/>
    </row>
    <row r="1186">
      <c r="A1186" s="4" t="s">
        <v>5</v>
      </c>
      <c r="B1186" s="11">
        <v>43920.0</v>
      </c>
      <c r="C1186" s="11">
        <v>43926.0</v>
      </c>
      <c r="D1186" s="4">
        <v>14.0</v>
      </c>
      <c r="E1186" s="4">
        <v>4190.0</v>
      </c>
      <c r="F1186" s="4">
        <v>25.0</v>
      </c>
      <c r="G1186" s="4"/>
    </row>
    <row r="1187">
      <c r="A1187" s="4" t="s">
        <v>5</v>
      </c>
      <c r="B1187" s="11">
        <v>43927.0</v>
      </c>
      <c r="C1187" s="11">
        <v>43933.0</v>
      </c>
      <c r="D1187" s="4">
        <v>15.0</v>
      </c>
      <c r="E1187" s="4">
        <v>4255.0</v>
      </c>
      <c r="F1187" s="4">
        <v>74.0</v>
      </c>
      <c r="G1187" s="4"/>
    </row>
    <row r="1188">
      <c r="A1188" s="4" t="s">
        <v>5</v>
      </c>
      <c r="B1188" s="11">
        <v>43934.0</v>
      </c>
      <c r="C1188" s="11">
        <v>43940.0</v>
      </c>
      <c r="D1188" s="4">
        <v>16.0</v>
      </c>
      <c r="E1188" s="4">
        <v>4355.0</v>
      </c>
      <c r="F1188" s="4">
        <v>70.0</v>
      </c>
      <c r="G1188" s="4"/>
    </row>
    <row r="1189">
      <c r="A1189" s="4" t="s">
        <v>5</v>
      </c>
      <c r="B1189" s="11">
        <v>43941.0</v>
      </c>
      <c r="C1189" s="11">
        <v>43947.0</v>
      </c>
      <c r="D1189" s="4">
        <v>17.0</v>
      </c>
      <c r="E1189" s="4">
        <v>4328.0</v>
      </c>
      <c r="F1189" s="4">
        <v>65.0</v>
      </c>
      <c r="G1189" s="4"/>
    </row>
    <row r="1190">
      <c r="A1190" s="4" t="s">
        <v>5</v>
      </c>
      <c r="B1190" s="11">
        <v>43948.0</v>
      </c>
      <c r="C1190" s="11">
        <v>43954.0</v>
      </c>
      <c r="D1190" s="4">
        <v>18.0</v>
      </c>
      <c r="E1190" s="4">
        <v>4263.0</v>
      </c>
      <c r="F1190" s="4">
        <v>96.0</v>
      </c>
      <c r="G1190" s="4"/>
    </row>
    <row r="1191">
      <c r="A1191" s="4" t="s">
        <v>5</v>
      </c>
      <c r="B1191" s="11">
        <v>43955.0</v>
      </c>
      <c r="C1191" s="11">
        <v>43961.0</v>
      </c>
      <c r="D1191" s="4">
        <v>19.0</v>
      </c>
      <c r="E1191" s="4">
        <v>4469.0</v>
      </c>
      <c r="F1191" s="4">
        <v>123.0</v>
      </c>
      <c r="G1191" s="4"/>
    </row>
    <row r="1192">
      <c r="A1192" s="4" t="s">
        <v>5</v>
      </c>
      <c r="B1192" s="11">
        <v>43962.0</v>
      </c>
      <c r="C1192" s="11">
        <v>43968.0</v>
      </c>
      <c r="D1192" s="4">
        <v>20.0</v>
      </c>
      <c r="E1192" s="4">
        <v>4579.0</v>
      </c>
      <c r="F1192" s="4">
        <v>111.0</v>
      </c>
      <c r="G1192" s="4"/>
    </row>
    <row r="1193">
      <c r="A1193" s="4" t="s">
        <v>5</v>
      </c>
      <c r="B1193" s="11">
        <v>43969.0</v>
      </c>
      <c r="C1193" s="11">
        <v>43975.0</v>
      </c>
      <c r="D1193" s="4">
        <v>21.0</v>
      </c>
      <c r="E1193" s="4">
        <v>4701.0</v>
      </c>
      <c r="F1193" s="4">
        <v>153.0</v>
      </c>
      <c r="G1193" s="4"/>
    </row>
    <row r="1194">
      <c r="A1194" s="4" t="s">
        <v>5</v>
      </c>
      <c r="B1194" s="11">
        <v>43976.0</v>
      </c>
      <c r="C1194" s="11">
        <v>43982.0</v>
      </c>
      <c r="D1194" s="4">
        <v>22.0</v>
      </c>
      <c r="E1194" s="4">
        <v>4738.0</v>
      </c>
      <c r="F1194" s="4">
        <v>212.0</v>
      </c>
      <c r="G1194" s="4"/>
    </row>
    <row r="1195">
      <c r="A1195" s="4" t="s">
        <v>5</v>
      </c>
      <c r="B1195" s="11">
        <v>43983.0</v>
      </c>
      <c r="C1195" s="11">
        <v>43989.0</v>
      </c>
      <c r="D1195" s="4">
        <v>23.0</v>
      </c>
      <c r="E1195" s="4">
        <v>5153.0</v>
      </c>
      <c r="F1195" s="4">
        <v>320.0</v>
      </c>
      <c r="G1195" s="4"/>
    </row>
    <row r="1196">
      <c r="A1196" s="4" t="s">
        <v>5</v>
      </c>
      <c r="B1196" s="11">
        <v>43990.0</v>
      </c>
      <c r="C1196" s="11">
        <v>43996.0</v>
      </c>
      <c r="D1196" s="4">
        <v>24.0</v>
      </c>
      <c r="E1196" s="4">
        <v>5338.0</v>
      </c>
      <c r="F1196" s="4">
        <v>408.0</v>
      </c>
      <c r="G1196" s="4"/>
    </row>
    <row r="1197">
      <c r="A1197" s="4" t="s">
        <v>5</v>
      </c>
      <c r="B1197" s="11">
        <v>43997.0</v>
      </c>
      <c r="C1197" s="11">
        <v>44003.0</v>
      </c>
      <c r="D1197" s="4">
        <v>25.0</v>
      </c>
      <c r="E1197" s="4">
        <v>5778.0</v>
      </c>
      <c r="F1197" s="4">
        <v>570.0</v>
      </c>
      <c r="G1197" s="4"/>
    </row>
    <row r="1198">
      <c r="A1198" s="4" t="s">
        <v>5</v>
      </c>
      <c r="B1198" s="11">
        <v>44004.0</v>
      </c>
      <c r="C1198" s="11">
        <v>44010.0</v>
      </c>
      <c r="D1198" s="4">
        <v>26.0</v>
      </c>
      <c r="E1198" s="4">
        <v>6128.0</v>
      </c>
      <c r="F1198" s="4">
        <v>941.0</v>
      </c>
      <c r="G1198" s="4"/>
    </row>
    <row r="1199">
      <c r="A1199" s="4" t="s">
        <v>5</v>
      </c>
      <c r="B1199" s="11">
        <v>44011.0</v>
      </c>
      <c r="C1199" s="11">
        <v>44017.0</v>
      </c>
      <c r="D1199" s="4">
        <v>27.0</v>
      </c>
      <c r="E1199" s="4">
        <v>6233.0</v>
      </c>
      <c r="F1199" s="4">
        <v>886.0</v>
      </c>
      <c r="G1199" s="4"/>
    </row>
    <row r="1200">
      <c r="A1200" s="4" t="s">
        <v>5</v>
      </c>
      <c r="B1200" s="11">
        <v>44018.0</v>
      </c>
      <c r="C1200" s="11">
        <v>44024.0</v>
      </c>
      <c r="D1200" s="4">
        <v>28.0</v>
      </c>
      <c r="E1200" s="4">
        <v>6739.0</v>
      </c>
      <c r="F1200" s="4">
        <v>1243.0</v>
      </c>
      <c r="G1200" s="4"/>
    </row>
    <row r="1201">
      <c r="A1201" s="4" t="s">
        <v>5</v>
      </c>
      <c r="B1201" s="11">
        <v>44025.0</v>
      </c>
      <c r="C1201" s="11">
        <v>44031.0</v>
      </c>
      <c r="D1201" s="4">
        <v>29.0</v>
      </c>
      <c r="E1201" s="4">
        <v>7313.0</v>
      </c>
      <c r="F1201" s="4">
        <v>1429.0</v>
      </c>
      <c r="G1201" s="4"/>
    </row>
    <row r="1202">
      <c r="A1202" s="4" t="s">
        <v>5</v>
      </c>
      <c r="B1202" s="11">
        <v>44032.0</v>
      </c>
      <c r="C1202" s="11">
        <v>44038.0</v>
      </c>
      <c r="D1202" s="4">
        <v>30.0</v>
      </c>
      <c r="E1202" s="4">
        <v>7702.0</v>
      </c>
      <c r="F1202" s="4">
        <v>1789.0</v>
      </c>
      <c r="G1202" s="4"/>
    </row>
    <row r="1203">
      <c r="A1203" s="4" t="s">
        <v>5</v>
      </c>
      <c r="B1203" s="11">
        <v>44039.0</v>
      </c>
      <c r="C1203" s="11">
        <v>44045.0</v>
      </c>
      <c r="D1203" s="4">
        <v>31.0</v>
      </c>
      <c r="E1203" s="4">
        <v>8070.0</v>
      </c>
      <c r="F1203" s="4">
        <v>2125.0</v>
      </c>
      <c r="G1203" s="4"/>
    </row>
    <row r="1204">
      <c r="A1204" s="4" t="s">
        <v>5</v>
      </c>
      <c r="B1204" s="11">
        <v>44046.0</v>
      </c>
      <c r="C1204" s="11">
        <v>44052.0</v>
      </c>
      <c r="D1204" s="4">
        <v>32.0</v>
      </c>
      <c r="E1204" s="4">
        <v>7888.0</v>
      </c>
      <c r="F1204" s="4">
        <v>2192.0</v>
      </c>
      <c r="G1204" s="4"/>
    </row>
    <row r="1205">
      <c r="A1205" s="4" t="s">
        <v>5</v>
      </c>
      <c r="B1205" s="11">
        <v>44053.0</v>
      </c>
      <c r="C1205" s="11">
        <v>44059.0</v>
      </c>
      <c r="D1205" s="4">
        <v>33.0</v>
      </c>
      <c r="E1205" s="4">
        <v>7648.0</v>
      </c>
      <c r="F1205" s="4">
        <v>2255.0</v>
      </c>
      <c r="G1205" s="4"/>
    </row>
    <row r="1206">
      <c r="A1206" s="4" t="s">
        <v>5</v>
      </c>
      <c r="B1206" s="11">
        <v>44060.0</v>
      </c>
      <c r="C1206" s="11">
        <v>44066.0</v>
      </c>
      <c r="D1206" s="4">
        <v>34.0</v>
      </c>
      <c r="E1206" s="4">
        <v>7152.0</v>
      </c>
      <c r="F1206" s="4">
        <v>2219.0</v>
      </c>
      <c r="G1206" s="4"/>
    </row>
    <row r="1207">
      <c r="A1207" s="4" t="s">
        <v>5</v>
      </c>
      <c r="B1207" s="11">
        <v>44067.0</v>
      </c>
      <c r="C1207" s="11">
        <v>44073.0</v>
      </c>
      <c r="D1207" s="4">
        <v>35.0</v>
      </c>
      <c r="E1207" s="4">
        <v>6798.0</v>
      </c>
      <c r="F1207" s="4">
        <v>2047.0</v>
      </c>
      <c r="G1207" s="4"/>
    </row>
    <row r="1208">
      <c r="A1208" s="4" t="s">
        <v>5</v>
      </c>
      <c r="B1208" s="11">
        <v>44074.0</v>
      </c>
      <c r="C1208" s="11">
        <v>44080.0</v>
      </c>
      <c r="D1208" s="4">
        <v>36.0</v>
      </c>
      <c r="E1208" s="4">
        <v>6570.0</v>
      </c>
      <c r="F1208" s="4">
        <v>2049.0</v>
      </c>
      <c r="G1208" s="4"/>
    </row>
    <row r="1209">
      <c r="A1209" s="4" t="s">
        <v>5</v>
      </c>
      <c r="B1209" s="11">
        <v>44081.0</v>
      </c>
      <c r="C1209" s="11">
        <v>44087.0</v>
      </c>
      <c r="D1209" s="4">
        <v>37.0</v>
      </c>
      <c r="E1209" s="4">
        <v>6383.0</v>
      </c>
      <c r="F1209" s="4">
        <v>1512.0</v>
      </c>
      <c r="G1209" s="4"/>
    </row>
    <row r="1210">
      <c r="A1210" s="4" t="s">
        <v>5</v>
      </c>
      <c r="B1210" s="11">
        <v>44088.0</v>
      </c>
      <c r="C1210" s="11">
        <v>44094.0</v>
      </c>
      <c r="D1210" s="4">
        <v>38.0</v>
      </c>
      <c r="E1210" s="4">
        <v>6240.0</v>
      </c>
      <c r="F1210" s="4">
        <v>1284.0</v>
      </c>
      <c r="G1210" s="4"/>
    </row>
    <row r="1211">
      <c r="A1211" s="4" t="s">
        <v>5</v>
      </c>
      <c r="B1211" s="11">
        <v>44095.0</v>
      </c>
      <c r="C1211" s="11">
        <v>44101.0</v>
      </c>
      <c r="D1211" s="4">
        <v>39.0</v>
      </c>
      <c r="E1211" s="4">
        <v>6161.0</v>
      </c>
      <c r="F1211" s="4">
        <v>1280.0</v>
      </c>
      <c r="G1211" s="4"/>
    </row>
    <row r="1212">
      <c r="A1212" s="4" t="s">
        <v>5</v>
      </c>
      <c r="B1212" s="11">
        <v>44102.0</v>
      </c>
      <c r="C1212" s="12">
        <v>44108.0</v>
      </c>
      <c r="D1212" s="4">
        <v>40.0</v>
      </c>
      <c r="E1212" s="4">
        <v>6019.0</v>
      </c>
      <c r="F1212" s="4">
        <v>1224.0</v>
      </c>
      <c r="G1212" s="4"/>
    </row>
    <row r="1213">
      <c r="A1213" s="4" t="s">
        <v>5</v>
      </c>
      <c r="B1213" s="12">
        <v>44109.0</v>
      </c>
      <c r="C1213" s="12">
        <v>44115.0</v>
      </c>
      <c r="D1213" s="4">
        <v>41.0</v>
      </c>
      <c r="E1213" s="4">
        <v>6173.0</v>
      </c>
      <c r="F1213" s="4">
        <v>1122.0</v>
      </c>
      <c r="G1213" s="4"/>
    </row>
    <row r="1214">
      <c r="A1214" s="4" t="s">
        <v>5</v>
      </c>
      <c r="B1214" s="12">
        <v>44116.0</v>
      </c>
      <c r="C1214" s="12">
        <v>44122.0</v>
      </c>
      <c r="D1214" s="4">
        <v>42.0</v>
      </c>
      <c r="E1214" s="4">
        <v>6190.0</v>
      </c>
      <c r="F1214" s="4">
        <v>1136.0</v>
      </c>
      <c r="G1214" s="4"/>
    </row>
    <row r="1215">
      <c r="A1215" s="4" t="s">
        <v>5</v>
      </c>
      <c r="B1215" s="12">
        <v>44123.0</v>
      </c>
      <c r="C1215" s="12">
        <v>44129.0</v>
      </c>
      <c r="D1215" s="4">
        <v>43.0</v>
      </c>
      <c r="E1215" s="4">
        <v>6303.0</v>
      </c>
      <c r="F1215" s="4">
        <v>1184.0</v>
      </c>
      <c r="G1215" s="4"/>
    </row>
    <row r="1216">
      <c r="A1216" s="4" t="s">
        <v>5</v>
      </c>
      <c r="B1216" s="12">
        <v>44130.0</v>
      </c>
      <c r="C1216" s="12">
        <v>44136.0</v>
      </c>
      <c r="D1216" s="4">
        <v>44.0</v>
      </c>
      <c r="E1216" s="4">
        <v>6080.0</v>
      </c>
      <c r="F1216" s="4">
        <v>1361.0</v>
      </c>
      <c r="G1216" s="4"/>
    </row>
    <row r="1217">
      <c r="A1217" s="4" t="s">
        <v>5</v>
      </c>
      <c r="B1217" s="12">
        <v>44137.0</v>
      </c>
      <c r="C1217" s="12">
        <v>44143.0</v>
      </c>
      <c r="D1217" s="4">
        <v>45.0</v>
      </c>
      <c r="E1217" s="4">
        <v>6252.0</v>
      </c>
      <c r="F1217" s="4">
        <v>1276.0</v>
      </c>
      <c r="G1217" s="4"/>
    </row>
    <row r="1218">
      <c r="A1218" s="4" t="s">
        <v>5</v>
      </c>
      <c r="B1218" s="12">
        <v>44144.0</v>
      </c>
      <c r="C1218" s="12">
        <v>44150.0</v>
      </c>
      <c r="D1218" s="4">
        <v>46.0</v>
      </c>
      <c r="E1218" s="4">
        <v>6119.0</v>
      </c>
      <c r="F1218" s="4">
        <v>1240.0</v>
      </c>
      <c r="G1218" s="4"/>
    </row>
    <row r="1219">
      <c r="A1219" s="4" t="s">
        <v>5</v>
      </c>
      <c r="B1219" s="12">
        <v>44151.0</v>
      </c>
      <c r="C1219" s="12">
        <v>44157.0</v>
      </c>
      <c r="D1219" s="4">
        <v>47.0</v>
      </c>
      <c r="E1219" s="4">
        <v>6242.0</v>
      </c>
      <c r="F1219" s="4">
        <v>1256.0</v>
      </c>
      <c r="G1219" s="4"/>
    </row>
    <row r="1220">
      <c r="A1220" s="4" t="s">
        <v>5</v>
      </c>
      <c r="B1220" s="12">
        <v>44158.0</v>
      </c>
      <c r="C1220" s="12">
        <v>44164.0</v>
      </c>
      <c r="D1220" s="4">
        <v>48.0</v>
      </c>
      <c r="E1220" s="4">
        <v>6266.0</v>
      </c>
      <c r="F1220" s="4">
        <v>1297.0</v>
      </c>
      <c r="G1220" s="4"/>
    </row>
    <row r="1221">
      <c r="A1221" s="4" t="s">
        <v>5</v>
      </c>
      <c r="B1221" s="12">
        <v>44165.0</v>
      </c>
      <c r="C1221" s="12">
        <v>44171.0</v>
      </c>
      <c r="D1221" s="4">
        <v>49.0</v>
      </c>
      <c r="E1221" s="4">
        <v>6206.0</v>
      </c>
      <c r="F1221" s="4">
        <v>1224.0</v>
      </c>
      <c r="G1221" s="4"/>
    </row>
    <row r="1222">
      <c r="A1222" s="4" t="s">
        <v>5</v>
      </c>
      <c r="B1222" s="12">
        <v>44172.0</v>
      </c>
      <c r="C1222" s="12">
        <v>44178.0</v>
      </c>
      <c r="D1222" s="4">
        <v>50.0</v>
      </c>
      <c r="E1222" s="4">
        <v>6640.0</v>
      </c>
      <c r="F1222" s="4">
        <v>1245.0</v>
      </c>
      <c r="G1222" s="4"/>
    </row>
    <row r="1223">
      <c r="A1223" s="4" t="s">
        <v>5</v>
      </c>
      <c r="B1223" s="12">
        <v>44179.0</v>
      </c>
      <c r="C1223" s="12">
        <v>44185.0</v>
      </c>
      <c r="D1223" s="4">
        <v>51.0</v>
      </c>
      <c r="E1223" s="4">
        <v>6687.0</v>
      </c>
      <c r="F1223" s="4">
        <v>1422.0</v>
      </c>
      <c r="G1223" s="4"/>
    </row>
    <row r="1224">
      <c r="A1224" s="4" t="s">
        <v>5</v>
      </c>
      <c r="B1224" s="12">
        <v>44186.0</v>
      </c>
      <c r="C1224" s="12">
        <v>44192.0</v>
      </c>
      <c r="D1224" s="4">
        <v>52.0</v>
      </c>
      <c r="E1224" s="4">
        <v>7203.0</v>
      </c>
      <c r="F1224" s="4">
        <v>1696.0</v>
      </c>
      <c r="G1224" s="4"/>
    </row>
    <row r="1225">
      <c r="A1225" s="4" t="s">
        <v>5</v>
      </c>
      <c r="B1225" s="12">
        <v>44193.0</v>
      </c>
      <c r="C1225" s="11">
        <v>44199.0</v>
      </c>
      <c r="D1225" s="4">
        <v>53.0</v>
      </c>
      <c r="E1225" s="4">
        <v>7814.0</v>
      </c>
      <c r="F1225" s="4">
        <v>1794.0</v>
      </c>
      <c r="G1225" s="4"/>
    </row>
    <row r="1226">
      <c r="A1226" s="4" t="s">
        <v>5</v>
      </c>
      <c r="B1226" s="11">
        <v>44200.0</v>
      </c>
      <c r="C1226" s="11">
        <v>44206.0</v>
      </c>
      <c r="D1226" s="4">
        <v>1.0</v>
      </c>
      <c r="E1226" s="4">
        <v>7964.0</v>
      </c>
      <c r="F1226" s="4">
        <v>2149.0</v>
      </c>
      <c r="G1226" s="4"/>
    </row>
    <row r="1227">
      <c r="A1227" s="4" t="s">
        <v>5</v>
      </c>
      <c r="B1227" s="11">
        <v>44207.0</v>
      </c>
      <c r="C1227" s="11">
        <v>44213.0</v>
      </c>
      <c r="D1227" s="4">
        <v>2.0</v>
      </c>
      <c r="E1227" s="4">
        <v>8440.0</v>
      </c>
      <c r="F1227" s="4">
        <v>2517.0</v>
      </c>
      <c r="G1227" s="4"/>
    </row>
    <row r="1228">
      <c r="A1228" s="4" t="s">
        <v>5</v>
      </c>
      <c r="B1228" s="11">
        <v>44214.0</v>
      </c>
      <c r="C1228" s="11">
        <v>44220.0</v>
      </c>
      <c r="D1228" s="4">
        <v>3.0</v>
      </c>
      <c r="E1228" s="4">
        <v>8479.0</v>
      </c>
      <c r="F1228" s="4">
        <v>2743.0</v>
      </c>
      <c r="G1228" s="4"/>
    </row>
    <row r="1229">
      <c r="A1229" s="4" t="s">
        <v>5</v>
      </c>
      <c r="B1229" s="11">
        <v>44221.0</v>
      </c>
      <c r="C1229" s="11">
        <v>44227.0</v>
      </c>
      <c r="D1229" s="4">
        <v>4.0</v>
      </c>
      <c r="E1229" s="4">
        <v>7676.0</v>
      </c>
      <c r="F1229" s="4">
        <v>2609.0</v>
      </c>
      <c r="G1229" s="4"/>
    </row>
    <row r="1230">
      <c r="A1230" s="4" t="s">
        <v>5</v>
      </c>
      <c r="B1230" s="11">
        <v>44228.0</v>
      </c>
      <c r="C1230" s="11">
        <v>44234.0</v>
      </c>
      <c r="D1230" s="4">
        <v>5.0</v>
      </c>
      <c r="E1230" s="4">
        <v>7029.0</v>
      </c>
      <c r="F1230" s="4">
        <v>2010.0</v>
      </c>
      <c r="G1230" s="4"/>
    </row>
    <row r="1231">
      <c r="A1231" s="4" t="s">
        <v>5</v>
      </c>
      <c r="B1231" s="11">
        <v>44235.0</v>
      </c>
      <c r="C1231" s="11">
        <v>44241.0</v>
      </c>
      <c r="D1231" s="4">
        <v>6.0</v>
      </c>
      <c r="E1231" s="4">
        <v>6341.0</v>
      </c>
      <c r="F1231" s="4">
        <v>1612.0</v>
      </c>
      <c r="G1231" s="4"/>
    </row>
    <row r="1232">
      <c r="A1232" s="4" t="s">
        <v>5</v>
      </c>
      <c r="B1232" s="11">
        <v>44242.0</v>
      </c>
      <c r="C1232" s="11">
        <v>44248.0</v>
      </c>
      <c r="D1232" s="4">
        <v>7.0</v>
      </c>
      <c r="E1232" s="4">
        <v>5915.0</v>
      </c>
      <c r="F1232" s="4">
        <v>1229.0</v>
      </c>
      <c r="G1232" s="4"/>
    </row>
    <row r="1233">
      <c r="A1233" s="4" t="s">
        <v>5</v>
      </c>
      <c r="B1233" s="11">
        <v>44249.0</v>
      </c>
      <c r="C1233" s="11">
        <v>44255.0</v>
      </c>
      <c r="D1233" s="4">
        <v>8.0</v>
      </c>
      <c r="E1233" s="4">
        <v>5564.0</v>
      </c>
      <c r="F1233" s="4">
        <v>932.0</v>
      </c>
      <c r="G1233" s="4"/>
    </row>
    <row r="1234">
      <c r="A1234" s="4" t="s">
        <v>5</v>
      </c>
      <c r="B1234" s="11">
        <v>44256.0</v>
      </c>
      <c r="C1234" s="11">
        <v>44262.0</v>
      </c>
      <c r="D1234" s="4">
        <v>9.0</v>
      </c>
      <c r="E1234" s="4">
        <v>5562.0</v>
      </c>
      <c r="F1234" s="4">
        <v>737.0</v>
      </c>
      <c r="G1234" s="4"/>
    </row>
    <row r="1235">
      <c r="A1235" s="4" t="s">
        <v>5</v>
      </c>
      <c r="B1235" s="11">
        <v>44263.0</v>
      </c>
      <c r="C1235" s="11">
        <v>44269.0</v>
      </c>
      <c r="D1235" s="4">
        <v>10.0</v>
      </c>
      <c r="E1235" s="4">
        <v>5315.0</v>
      </c>
      <c r="F1235" s="4">
        <v>640.0</v>
      </c>
      <c r="G1235" s="4"/>
    </row>
    <row r="1236">
      <c r="A1236" s="4" t="s">
        <v>5</v>
      </c>
      <c r="B1236" s="11">
        <v>44270.0</v>
      </c>
      <c r="C1236" s="11">
        <v>44276.0</v>
      </c>
      <c r="D1236" s="4">
        <v>11.0</v>
      </c>
      <c r="E1236" s="4">
        <v>5569.0</v>
      </c>
      <c r="F1236" s="4">
        <v>885.0</v>
      </c>
      <c r="G1236" s="4"/>
    </row>
    <row r="1237">
      <c r="A1237" s="4" t="s">
        <v>5</v>
      </c>
      <c r="B1237" s="11">
        <v>44277.0</v>
      </c>
      <c r="C1237" s="11">
        <v>44283.0</v>
      </c>
      <c r="D1237" s="4">
        <v>12.0</v>
      </c>
      <c r="E1237" s="4">
        <v>5958.0</v>
      </c>
      <c r="F1237" s="4">
        <v>927.0</v>
      </c>
      <c r="G1237" s="4"/>
    </row>
    <row r="1238">
      <c r="A1238" s="4" t="s">
        <v>5</v>
      </c>
      <c r="B1238" s="11">
        <v>44284.0</v>
      </c>
      <c r="C1238" s="11">
        <v>44290.0</v>
      </c>
      <c r="D1238" s="4">
        <v>13.0</v>
      </c>
      <c r="E1238" s="4">
        <v>6473.0</v>
      </c>
      <c r="F1238" s="4">
        <v>1139.0</v>
      </c>
      <c r="G1238" s="4"/>
    </row>
    <row r="1239">
      <c r="A1239" s="4" t="s">
        <v>5</v>
      </c>
      <c r="B1239" s="11">
        <v>44291.0</v>
      </c>
      <c r="C1239" s="11">
        <v>44297.0</v>
      </c>
      <c r="D1239" s="4">
        <v>14.0</v>
      </c>
      <c r="E1239" s="4">
        <v>7210.0</v>
      </c>
      <c r="F1239" s="4">
        <v>1795.0</v>
      </c>
      <c r="G1239" s="4"/>
    </row>
    <row r="1240">
      <c r="A1240" s="4" t="s">
        <v>5</v>
      </c>
      <c r="B1240" s="11">
        <v>44298.0</v>
      </c>
      <c r="C1240" s="11">
        <v>44304.0</v>
      </c>
      <c r="D1240" s="4">
        <v>15.0</v>
      </c>
      <c r="E1240" s="4">
        <v>8440.0</v>
      </c>
      <c r="F1240" s="4">
        <v>2439.0</v>
      </c>
      <c r="G1240" s="4"/>
    </row>
    <row r="1241">
      <c r="A1241" s="4" t="s">
        <v>5</v>
      </c>
      <c r="B1241" s="11">
        <v>44305.0</v>
      </c>
      <c r="C1241" s="11">
        <v>44311.0</v>
      </c>
      <c r="D1241" s="4">
        <v>16.0</v>
      </c>
      <c r="E1241" s="4">
        <v>8775.0</v>
      </c>
      <c r="F1241" s="4">
        <v>3023.0</v>
      </c>
      <c r="G1241" s="4"/>
    </row>
    <row r="1242">
      <c r="A1242" s="4" t="s">
        <v>5</v>
      </c>
      <c r="B1242" s="11">
        <v>44312.0</v>
      </c>
      <c r="C1242" s="11">
        <v>44318.0</v>
      </c>
      <c r="D1242" s="4">
        <v>17.0</v>
      </c>
      <c r="E1242" s="4">
        <v>8789.0</v>
      </c>
      <c r="F1242" s="4">
        <v>3126.0</v>
      </c>
      <c r="G1242" s="4"/>
    </row>
    <row r="1243">
      <c r="A1243" s="4" t="s">
        <v>5</v>
      </c>
      <c r="B1243" s="11">
        <v>44319.0</v>
      </c>
      <c r="C1243" s="11">
        <v>44325.0</v>
      </c>
      <c r="D1243" s="4">
        <v>18.0</v>
      </c>
      <c r="E1243" s="4">
        <v>8882.0</v>
      </c>
      <c r="F1243" s="4">
        <v>3377.0</v>
      </c>
      <c r="G1243" s="4"/>
    </row>
    <row r="1244">
      <c r="A1244" s="4" t="s">
        <v>5</v>
      </c>
      <c r="B1244" s="11">
        <v>44326.0</v>
      </c>
      <c r="C1244" s="11">
        <v>44332.0</v>
      </c>
      <c r="D1244" s="4">
        <v>19.0</v>
      </c>
      <c r="E1244" s="4">
        <v>8988.0</v>
      </c>
      <c r="F1244" s="4">
        <v>3446.0</v>
      </c>
      <c r="G1244" s="4"/>
    </row>
    <row r="1245">
      <c r="A1245" s="4" t="s">
        <v>5</v>
      </c>
      <c r="B1245" s="11">
        <v>44333.0</v>
      </c>
      <c r="C1245" s="11">
        <v>44339.0</v>
      </c>
      <c r="D1245" s="4">
        <v>20.0</v>
      </c>
      <c r="E1245" s="4">
        <v>9058.0</v>
      </c>
      <c r="F1245" s="4">
        <v>3424.0</v>
      </c>
      <c r="G1245" s="4"/>
    </row>
    <row r="1246">
      <c r="A1246" s="4" t="s">
        <v>5</v>
      </c>
      <c r="B1246" s="11">
        <v>44340.0</v>
      </c>
      <c r="C1246" s="11">
        <v>44346.0</v>
      </c>
      <c r="D1246" s="4">
        <v>21.0</v>
      </c>
      <c r="E1246" s="4">
        <v>9296.0</v>
      </c>
      <c r="F1246" s="4">
        <v>3558.0</v>
      </c>
      <c r="G1246" s="4"/>
    </row>
    <row r="1247">
      <c r="A1247" s="4" t="s">
        <v>5</v>
      </c>
      <c r="B1247" s="11">
        <v>44347.0</v>
      </c>
      <c r="C1247" s="11">
        <v>44353.0</v>
      </c>
      <c r="D1247" s="4">
        <v>22.0</v>
      </c>
      <c r="E1247" s="4">
        <v>9767.0</v>
      </c>
      <c r="F1247" s="4">
        <v>3679.0</v>
      </c>
      <c r="G1247" s="4"/>
    </row>
    <row r="1248">
      <c r="A1248" s="4" t="s">
        <v>5</v>
      </c>
      <c r="B1248" s="11">
        <v>44354.0</v>
      </c>
      <c r="C1248" s="11">
        <v>44360.0</v>
      </c>
      <c r="D1248" s="4">
        <v>23.0</v>
      </c>
      <c r="E1248" s="4">
        <v>10081.0</v>
      </c>
      <c r="F1248" s="4">
        <v>3817.0</v>
      </c>
      <c r="G1248" s="4"/>
    </row>
    <row r="1249">
      <c r="A1249" s="4" t="s">
        <v>5</v>
      </c>
      <c r="B1249" s="11">
        <v>44361.0</v>
      </c>
      <c r="C1249" s="11">
        <v>44367.0</v>
      </c>
      <c r="D1249" s="4">
        <v>24.0</v>
      </c>
      <c r="E1249" s="4">
        <v>10451.0</v>
      </c>
      <c r="F1249" s="4">
        <v>4156.0</v>
      </c>
      <c r="G1249" s="4"/>
    </row>
    <row r="1250">
      <c r="A1250" s="4" t="s">
        <v>5</v>
      </c>
      <c r="B1250" s="11">
        <v>44368.0</v>
      </c>
      <c r="C1250" s="11">
        <v>44374.0</v>
      </c>
      <c r="D1250" s="4">
        <v>25.0</v>
      </c>
      <c r="E1250" s="4">
        <v>10456.0</v>
      </c>
      <c r="F1250" s="4">
        <v>4744.0</v>
      </c>
      <c r="G1250" s="4"/>
    </row>
    <row r="1251">
      <c r="A1251" s="4" t="s">
        <v>5</v>
      </c>
      <c r="B1251" s="11">
        <v>44375.0</v>
      </c>
      <c r="C1251" s="11">
        <v>44381.0</v>
      </c>
      <c r="D1251" s="4">
        <v>26.0</v>
      </c>
      <c r="E1251" s="4">
        <v>10240.0</v>
      </c>
      <c r="F1251" s="4">
        <v>4218.0</v>
      </c>
      <c r="G1251" s="4"/>
    </row>
    <row r="1252">
      <c r="A1252" s="4" t="s">
        <v>5</v>
      </c>
      <c r="B1252" s="11">
        <v>44382.0</v>
      </c>
      <c r="C1252" s="11">
        <v>44388.0</v>
      </c>
      <c r="D1252" s="4">
        <v>27.0</v>
      </c>
      <c r="E1252" s="4">
        <v>9485.0</v>
      </c>
      <c r="F1252" s="4">
        <v>3930.0</v>
      </c>
      <c r="G1252" s="4"/>
    </row>
    <row r="1253">
      <c r="A1253" s="13"/>
      <c r="B1253" s="13"/>
      <c r="C1253" s="13"/>
      <c r="D1253" s="13"/>
      <c r="E1253" s="13"/>
      <c r="F1253" s="13"/>
      <c r="G1253" s="13"/>
    </row>
    <row r="1254">
      <c r="A1254" s="13"/>
      <c r="B1254" s="13"/>
      <c r="C1254" s="13"/>
      <c r="D1254" s="13"/>
      <c r="E1254" s="13"/>
      <c r="F1254" s="13"/>
      <c r="G1254" s="1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sheetData>
    <row r="1">
      <c r="A1" s="14" t="str">
        <f>IFERROR(__xludf.DUMMYFUNCTION("QUERY('México CON'!A1:N83, ""SELECT *"",1)"),"País")</f>
        <v>País</v>
      </c>
      <c r="B1" s="14" t="str">
        <f>IFERROR(__xludf.DUMMYFUNCTION("""COMPUTED_VALUE"""),"Fecha inicio")</f>
        <v>Fecha inicio</v>
      </c>
      <c r="C1" s="14" t="str">
        <f>IFERROR(__xludf.DUMMYFUNCTION("""COMPUTED_VALUE"""),"Fecha fin")</f>
        <v>Fecha fin</v>
      </c>
      <c r="D1" s="14" t="str">
        <f>IFERROR(__xludf.DUMMYFUNCTION("""COMPUTED_VALUE"""),"Semana")</f>
        <v>Semana</v>
      </c>
      <c r="E1" s="14" t="str">
        <f>IFERROR(__xludf.DUMMYFUNCTION("""COMPUTED_VALUE"""),"Total muertes reportadas")</f>
        <v>Total muertes reportadas</v>
      </c>
      <c r="F1" s="14" t="str">
        <f>IFERROR(__xludf.DUMMYFUNCTION("""COMPUTED_VALUE"""),"Total muertes reportadas por covid")</f>
        <v>Total muertes reportadas por covid</v>
      </c>
      <c r="G1" s="14" t="str">
        <f>IFERROR(__xludf.DUMMYFUNCTION("""COMPUTED_VALUE"""),"Semana")</f>
        <v>Semana</v>
      </c>
      <c r="H1" s="14" t="str">
        <f>IFERROR(__xludf.DUMMYFUNCTION("""COMPUTED_VALUE"""),"Promedio CON COVID")</f>
        <v>Promedio CON COVID</v>
      </c>
      <c r="I1" s="14" t="str">
        <f>IFERROR(__xludf.DUMMYFUNCTION("""COMPUTED_VALUE"""),"Promedio SIN COVID")</f>
        <v>Promedio SIN COVID</v>
      </c>
      <c r="J1" s="14" t="str">
        <f>IFERROR(__xludf.DUMMYFUNCTION("""COMPUTED_VALUE"""),"Exceso de mortalidad")</f>
        <v>Exceso de mortalidad</v>
      </c>
      <c r="K1" s="14" t="str">
        <f>IFERROR(__xludf.DUMMYFUNCTION("""COMPUTED_VALUE"""),"Normalizar (TMxCovid)")</f>
        <v>Normalizar (TMxCovid)</v>
      </c>
      <c r="L1" s="14" t="str">
        <f>IFERROR(__xludf.DUMMYFUNCTION("""COMPUTED_VALUE"""),"Normalizar (ExcM)")</f>
        <v>Normalizar (ExcM)</v>
      </c>
      <c r="M1" s="14" t="str">
        <f>IFERROR(__xludf.DUMMYFUNCTION("""COMPUTED_VALUE"""),"Acumulado (TMxCovid)")</f>
        <v>Acumulado (TMxCovid)</v>
      </c>
      <c r="N1" s="14" t="str">
        <f>IFERROR(__xludf.DUMMYFUNCTION("""COMPUTED_VALUE"""),"Acumulado (ExcM)")</f>
        <v>Acumulado (ExcM)</v>
      </c>
      <c r="O1" s="15" t="s">
        <v>11</v>
      </c>
      <c r="P1" s="16" t="s">
        <v>0</v>
      </c>
      <c r="Q1" s="16" t="s">
        <v>1</v>
      </c>
      <c r="R1" s="17" t="s">
        <v>12</v>
      </c>
      <c r="S1" s="17" t="s">
        <v>12</v>
      </c>
      <c r="T1" s="17"/>
      <c r="U1" s="17"/>
      <c r="V1" s="17"/>
      <c r="W1" s="17"/>
      <c r="X1" s="17"/>
      <c r="Y1" s="17"/>
      <c r="Z1" s="17"/>
    </row>
    <row r="2">
      <c r="A2" s="17" t="str">
        <f>IFERROR(__xludf.DUMMYFUNCTION("""COMPUTED_VALUE"""),"Mexico")</f>
        <v>Mexico</v>
      </c>
      <c r="B2" s="18">
        <f>IFERROR(__xludf.DUMMYFUNCTION("""COMPUTED_VALUE"""),43906.0)</f>
        <v>43906</v>
      </c>
      <c r="C2" s="19">
        <f>IFERROR(__xludf.DUMMYFUNCTION("""COMPUTED_VALUE"""),43912.0)</f>
        <v>43912</v>
      </c>
      <c r="D2" s="17">
        <f>IFERROR(__xludf.DUMMYFUNCTION("""COMPUTED_VALUE"""),12.0)</f>
        <v>12</v>
      </c>
      <c r="E2" s="17">
        <f>IFERROR(__xludf.DUMMYFUNCTION("""COMPUTED_VALUE"""),13187.0)</f>
        <v>13187</v>
      </c>
      <c r="F2" s="17">
        <f>IFERROR(__xludf.DUMMYFUNCTION("""COMPUTED_VALUE"""),3.0)</f>
        <v>3</v>
      </c>
      <c r="G2" s="20">
        <f>IFERROR(__xludf.DUMMYFUNCTION("""COMPUTED_VALUE"""),1.0)</f>
        <v>1</v>
      </c>
      <c r="H2" s="20">
        <f>IFERROR(__xludf.DUMMYFUNCTION("""COMPUTED_VALUE"""),36287.0)</f>
        <v>36287</v>
      </c>
      <c r="I2" s="20">
        <f>IFERROR(__xludf.DUMMYFUNCTION("""COMPUTED_VALUE"""),15779.0)</f>
        <v>15779</v>
      </c>
      <c r="J2" s="21">
        <f>IFERROR(__xludf.DUMMYFUNCTION("""COMPUTED_VALUE"""),-281.60000000000036)</f>
        <v>-281.6</v>
      </c>
      <c r="K2" s="22">
        <f>IFERROR(__xludf.DUMMYFUNCTION("""COMPUTED_VALUE"""),0.002303046884967875)</f>
        <v>0.002303046885</v>
      </c>
      <c r="L2" s="22">
        <f>IFERROR(__xludf.DUMMYFUNCTION("""COMPUTED_VALUE"""),-0.21617933426898478)</f>
        <v>-0.2161793343</v>
      </c>
      <c r="M2" s="22">
        <f>IFERROR(__xludf.DUMMYFUNCTION("""COMPUTED_VALUE"""),0.002303046884967875)</f>
        <v>0.002303046885</v>
      </c>
      <c r="N2" s="22">
        <f>IFERROR(__xludf.DUMMYFUNCTION("""COMPUTED_VALUE"""),-0.21617933426898478)</f>
        <v>-0.2161793343</v>
      </c>
      <c r="O2" s="22">
        <f t="shared" ref="O2:O324" si="1">L2-K2</f>
        <v>-0.2184823812</v>
      </c>
      <c r="P2" s="3" t="s">
        <v>2</v>
      </c>
      <c r="Q2" s="4">
        <v>1.3026222E8</v>
      </c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tr">
        <f>IFERROR(__xludf.DUMMYFUNCTION("""COMPUTED_VALUE"""),"Mexico")</f>
        <v>Mexico</v>
      </c>
      <c r="B3" s="18">
        <f>IFERROR(__xludf.DUMMYFUNCTION("""COMPUTED_VALUE"""),43913.0)</f>
        <v>43913</v>
      </c>
      <c r="C3" s="19">
        <f>IFERROR(__xludf.DUMMYFUNCTION("""COMPUTED_VALUE"""),43919.0)</f>
        <v>43919</v>
      </c>
      <c r="D3" s="17">
        <f>IFERROR(__xludf.DUMMYFUNCTION("""COMPUTED_VALUE"""),13.0)</f>
        <v>13</v>
      </c>
      <c r="E3" s="17">
        <f>IFERROR(__xludf.DUMMYFUNCTION("""COMPUTED_VALUE"""),13698.0)</f>
        <v>13698</v>
      </c>
      <c r="F3" s="17">
        <f>IFERROR(__xludf.DUMMYFUNCTION("""COMPUTED_VALUE"""),17.0)</f>
        <v>17</v>
      </c>
      <c r="G3" s="20">
        <f>IFERROR(__xludf.DUMMYFUNCTION("""COMPUTED_VALUE"""),2.0)</f>
        <v>2</v>
      </c>
      <c r="H3" s="20">
        <f>IFERROR(__xludf.DUMMYFUNCTION("""COMPUTED_VALUE"""),43427.0)</f>
        <v>43427</v>
      </c>
      <c r="I3" s="20">
        <f>IFERROR(__xludf.DUMMYFUNCTION("""COMPUTED_VALUE"""),15680.0)</f>
        <v>15680</v>
      </c>
      <c r="J3" s="21">
        <f>IFERROR(__xludf.DUMMYFUNCTION("""COMPUTED_VALUE"""),522.3999999999996)</f>
        <v>522.4</v>
      </c>
      <c r="K3" s="22">
        <f>IFERROR(__xludf.DUMMYFUNCTION("""COMPUTED_VALUE"""),0.013050599014817959)</f>
        <v>0.01305059901</v>
      </c>
      <c r="L3" s="22">
        <f>IFERROR(__xludf.DUMMYFUNCTION("""COMPUTED_VALUE"""),0.4010372309024057)</f>
        <v>0.4010372309</v>
      </c>
      <c r="M3" s="22">
        <f>IFERROR(__xludf.DUMMYFUNCTION("""COMPUTED_VALUE"""),0.015353645899785833)</f>
        <v>0.0153536459</v>
      </c>
      <c r="N3" s="22">
        <f>IFERROR(__xludf.DUMMYFUNCTION("""COMPUTED_VALUE"""),0.1848578966334209)</f>
        <v>0.1848578966</v>
      </c>
      <c r="O3" s="22">
        <f t="shared" si="1"/>
        <v>0.3879866319</v>
      </c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tr">
        <f>IFERROR(__xludf.DUMMYFUNCTION("""COMPUTED_VALUE"""),"Mexico")</f>
        <v>Mexico</v>
      </c>
      <c r="B4" s="18">
        <f>IFERROR(__xludf.DUMMYFUNCTION("""COMPUTED_VALUE"""),43920.0)</f>
        <v>43920</v>
      </c>
      <c r="C4" s="19">
        <f>IFERROR(__xludf.DUMMYFUNCTION("""COMPUTED_VALUE"""),43926.0)</f>
        <v>43926</v>
      </c>
      <c r="D4" s="17">
        <f>IFERROR(__xludf.DUMMYFUNCTION("""COMPUTED_VALUE"""),14.0)</f>
        <v>14</v>
      </c>
      <c r="E4" s="17">
        <f>IFERROR(__xludf.DUMMYFUNCTION("""COMPUTED_VALUE"""),13533.0)</f>
        <v>13533</v>
      </c>
      <c r="F4" s="17">
        <f>IFERROR(__xludf.DUMMYFUNCTION("""COMPUTED_VALUE"""),74.0)</f>
        <v>74</v>
      </c>
      <c r="G4" s="20">
        <f>IFERROR(__xludf.DUMMYFUNCTION("""COMPUTED_VALUE"""),3.0)</f>
        <v>3</v>
      </c>
      <c r="H4" s="20">
        <f>IFERROR(__xludf.DUMMYFUNCTION("""COMPUTED_VALUE"""),44667.0)</f>
        <v>44667</v>
      </c>
      <c r="I4" s="20">
        <f>IFERROR(__xludf.DUMMYFUNCTION("""COMPUTED_VALUE"""),15454.166666666666)</f>
        <v>15454.16667</v>
      </c>
      <c r="J4" s="21">
        <f>IFERROR(__xludf.DUMMYFUNCTION("""COMPUTED_VALUE"""),276.39999999999964)</f>
        <v>276.4</v>
      </c>
      <c r="K4" s="22">
        <f>IFERROR(__xludf.DUMMYFUNCTION("""COMPUTED_VALUE"""),0.056808489829207574)</f>
        <v>0.05680848983</v>
      </c>
      <c r="L4" s="22">
        <f>IFERROR(__xludf.DUMMYFUNCTION("""COMPUTED_VALUE"""),0.2121873863350399)</f>
        <v>0.2121873863</v>
      </c>
      <c r="M4" s="22">
        <f>IFERROR(__xludf.DUMMYFUNCTION("""COMPUTED_VALUE"""),0.07216213572899341)</f>
        <v>0.07216213573</v>
      </c>
      <c r="N4" s="22">
        <f>IFERROR(__xludf.DUMMYFUNCTION("""COMPUTED_VALUE"""),0.39704528296846076)</f>
        <v>0.397045283</v>
      </c>
      <c r="O4" s="22">
        <f t="shared" si="1"/>
        <v>0.1553788965</v>
      </c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tr">
        <f>IFERROR(__xludf.DUMMYFUNCTION("""COMPUTED_VALUE"""),"Mexico")</f>
        <v>Mexico</v>
      </c>
      <c r="B5" s="18">
        <f>IFERROR(__xludf.DUMMYFUNCTION("""COMPUTED_VALUE"""),43927.0)</f>
        <v>43927</v>
      </c>
      <c r="C5" s="19">
        <f>IFERROR(__xludf.DUMMYFUNCTION("""COMPUTED_VALUE"""),43933.0)</f>
        <v>43933</v>
      </c>
      <c r="D5" s="17">
        <f>IFERROR(__xludf.DUMMYFUNCTION("""COMPUTED_VALUE"""),15.0)</f>
        <v>15</v>
      </c>
      <c r="E5" s="17">
        <f>IFERROR(__xludf.DUMMYFUNCTION("""COMPUTED_VALUE"""),14030.0)</f>
        <v>14030</v>
      </c>
      <c r="F5" s="17">
        <f>IFERROR(__xludf.DUMMYFUNCTION("""COMPUTED_VALUE"""),202.0)</f>
        <v>202</v>
      </c>
      <c r="G5" s="20">
        <f>IFERROR(__xludf.DUMMYFUNCTION("""COMPUTED_VALUE"""),4.0)</f>
        <v>4</v>
      </c>
      <c r="H5" s="20">
        <f>IFERROR(__xludf.DUMMYFUNCTION("""COMPUTED_VALUE"""),36617.0)</f>
        <v>36617</v>
      </c>
      <c r="I5" s="20">
        <f>IFERROR(__xludf.DUMMYFUNCTION("""COMPUTED_VALUE"""),15116.333333333334)</f>
        <v>15116.33333</v>
      </c>
      <c r="J5" s="21">
        <f>IFERROR(__xludf.DUMMYFUNCTION("""COMPUTED_VALUE"""),1142.0)</f>
        <v>1142</v>
      </c>
      <c r="K5" s="22">
        <f>IFERROR(__xludf.DUMMYFUNCTION("""COMPUTED_VALUE"""),0.1550718235878369)</f>
        <v>0.1550718236</v>
      </c>
      <c r="L5" s="22">
        <f>IFERROR(__xludf.DUMMYFUNCTION("""COMPUTED_VALUE"""),0.8766931808777709)</f>
        <v>0.8766931809</v>
      </c>
      <c r="M5" s="22">
        <f>IFERROR(__xludf.DUMMYFUNCTION("""COMPUTED_VALUE"""),0.2272339593168303)</f>
        <v>0.2272339593</v>
      </c>
      <c r="N5" s="22">
        <f>IFERROR(__xludf.DUMMYFUNCTION("""COMPUTED_VALUE"""),1.2737384638462317)</f>
        <v>1.273738464</v>
      </c>
      <c r="O5" s="22">
        <f t="shared" si="1"/>
        <v>0.7216213573</v>
      </c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tr">
        <f>IFERROR(__xludf.DUMMYFUNCTION("""COMPUTED_VALUE"""),"Mexico")</f>
        <v>Mexico</v>
      </c>
      <c r="B6" s="18">
        <f>IFERROR(__xludf.DUMMYFUNCTION("""COMPUTED_VALUE"""),43934.0)</f>
        <v>43934</v>
      </c>
      <c r="C6" s="19">
        <f>IFERROR(__xludf.DUMMYFUNCTION("""COMPUTED_VALUE"""),43940.0)</f>
        <v>43940</v>
      </c>
      <c r="D6" s="17">
        <f>IFERROR(__xludf.DUMMYFUNCTION("""COMPUTED_VALUE"""),16.0)</f>
        <v>16</v>
      </c>
      <c r="E6" s="17">
        <f>IFERROR(__xludf.DUMMYFUNCTION("""COMPUTED_VALUE"""),14993.0)</f>
        <v>14993</v>
      </c>
      <c r="F6" s="17">
        <f>IFERROR(__xludf.DUMMYFUNCTION("""COMPUTED_VALUE"""),390.0)</f>
        <v>390</v>
      </c>
      <c r="G6" s="20">
        <f>IFERROR(__xludf.DUMMYFUNCTION("""COMPUTED_VALUE"""),5.0)</f>
        <v>5</v>
      </c>
      <c r="H6" s="20">
        <f>IFERROR(__xludf.DUMMYFUNCTION("""COMPUTED_VALUE"""),31825.0)</f>
        <v>31825</v>
      </c>
      <c r="I6" s="20">
        <f>IFERROR(__xludf.DUMMYFUNCTION("""COMPUTED_VALUE"""),15013.5)</f>
        <v>15013.5</v>
      </c>
      <c r="J6" s="21">
        <f>IFERROR(__xludf.DUMMYFUNCTION("""COMPUTED_VALUE"""),2239.0)</f>
        <v>2239</v>
      </c>
      <c r="K6" s="22">
        <f>IFERROR(__xludf.DUMMYFUNCTION("""COMPUTED_VALUE"""),0.2993960950458237)</f>
        <v>0.299396095</v>
      </c>
      <c r="L6" s="22">
        <f>IFERROR(__xludf.DUMMYFUNCTION("""COMPUTED_VALUE"""),1.7188406584810239)</f>
        <v>1.718840658</v>
      </c>
      <c r="M6" s="22">
        <f>IFERROR(__xludf.DUMMYFUNCTION("""COMPUTED_VALUE"""),0.526630054362654)</f>
        <v>0.5266300544</v>
      </c>
      <c r="N6" s="22">
        <f>IFERROR(__xludf.DUMMYFUNCTION("""COMPUTED_VALUE"""),2.9925791223272555)</f>
        <v>2.992579122</v>
      </c>
      <c r="O6" s="22">
        <f t="shared" si="1"/>
        <v>1.419444563</v>
      </c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tr">
        <f>IFERROR(__xludf.DUMMYFUNCTION("""COMPUTED_VALUE"""),"Mexico")</f>
        <v>Mexico</v>
      </c>
      <c r="B7" s="18">
        <f>IFERROR(__xludf.DUMMYFUNCTION("""COMPUTED_VALUE"""),43941.0)</f>
        <v>43941</v>
      </c>
      <c r="C7" s="19">
        <f>IFERROR(__xludf.DUMMYFUNCTION("""COMPUTED_VALUE"""),43947.0)</f>
        <v>43947</v>
      </c>
      <c r="D7" s="17">
        <f>IFERROR(__xludf.DUMMYFUNCTION("""COMPUTED_VALUE"""),17.0)</f>
        <v>17</v>
      </c>
      <c r="E7" s="17">
        <f>IFERROR(__xludf.DUMMYFUNCTION("""COMPUTED_VALUE"""),17068.0)</f>
        <v>17068</v>
      </c>
      <c r="F7" s="17">
        <f>IFERROR(__xludf.DUMMYFUNCTION("""COMPUTED_VALUE"""),665.0)</f>
        <v>665</v>
      </c>
      <c r="G7" s="20">
        <f>IFERROR(__xludf.DUMMYFUNCTION("""COMPUTED_VALUE"""),6.0)</f>
        <v>6</v>
      </c>
      <c r="H7" s="20">
        <f>IFERROR(__xludf.DUMMYFUNCTION("""COMPUTED_VALUE"""),26858.0)</f>
        <v>26858</v>
      </c>
      <c r="I7" s="20">
        <f>IFERROR(__xludf.DUMMYFUNCTION("""COMPUTED_VALUE"""),15106.833333333334)</f>
        <v>15106.83333</v>
      </c>
      <c r="J7" s="21">
        <f>IFERROR(__xludf.DUMMYFUNCTION("""COMPUTED_VALUE"""),4143.6)</f>
        <v>4143.6</v>
      </c>
      <c r="K7" s="22">
        <f>IFERROR(__xludf.DUMMYFUNCTION("""COMPUTED_VALUE"""),0.5105087261678789)</f>
        <v>0.5105087262</v>
      </c>
      <c r="L7" s="22">
        <f>IFERROR(__xludf.DUMMYFUNCTION("""COMPUTED_VALUE"""),3.180968357517629)</f>
        <v>3.180968358</v>
      </c>
      <c r="M7" s="22">
        <f>IFERROR(__xludf.DUMMYFUNCTION("""COMPUTED_VALUE"""),1.0371387805305328)</f>
        <v>1.037138781</v>
      </c>
      <c r="N7" s="22">
        <f>IFERROR(__xludf.DUMMYFUNCTION("""COMPUTED_VALUE"""),6.173547479844885)</f>
        <v>6.17354748</v>
      </c>
      <c r="O7" s="22">
        <f t="shared" si="1"/>
        <v>2.670459631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tr">
        <f>IFERROR(__xludf.DUMMYFUNCTION("""COMPUTED_VALUE"""),"Mexico")</f>
        <v>Mexico</v>
      </c>
      <c r="B8" s="18">
        <f>IFERROR(__xludf.DUMMYFUNCTION("""COMPUTED_VALUE"""),43948.0)</f>
        <v>43948</v>
      </c>
      <c r="C8" s="19">
        <f>IFERROR(__xludf.DUMMYFUNCTION("""COMPUTED_VALUE"""),43954.0)</f>
        <v>43954</v>
      </c>
      <c r="D8" s="17">
        <f>IFERROR(__xludf.DUMMYFUNCTION("""COMPUTED_VALUE"""),18.0)</f>
        <v>18</v>
      </c>
      <c r="E8" s="17">
        <f>IFERROR(__xludf.DUMMYFUNCTION("""COMPUTED_VALUE"""),18811.0)</f>
        <v>18811</v>
      </c>
      <c r="F8" s="17">
        <f>IFERROR(__xludf.DUMMYFUNCTION("""COMPUTED_VALUE"""),803.0)</f>
        <v>803</v>
      </c>
      <c r="G8" s="20">
        <f>IFERROR(__xludf.DUMMYFUNCTION("""COMPUTED_VALUE"""),7.0)</f>
        <v>7</v>
      </c>
      <c r="H8" s="20">
        <f>IFERROR(__xludf.DUMMYFUNCTION("""COMPUTED_VALUE"""),25330.0)</f>
        <v>25330</v>
      </c>
      <c r="I8" s="20">
        <f>IFERROR(__xludf.DUMMYFUNCTION("""COMPUTED_VALUE"""),14724.666666666666)</f>
        <v>14724.66667</v>
      </c>
      <c r="J8" s="21">
        <f>IFERROR(__xludf.DUMMYFUNCTION("""COMPUTED_VALUE"""),5963.0)</f>
        <v>5963</v>
      </c>
      <c r="K8" s="22">
        <f>IFERROR(__xludf.DUMMYFUNCTION("""COMPUTED_VALUE"""),0.6164488828764012)</f>
        <v>0.6164488829</v>
      </c>
      <c r="L8" s="22">
        <f>IFERROR(__xludf.DUMMYFUNCTION("""COMPUTED_VALUE"""),4.577689525021146)</f>
        <v>4.577689525</v>
      </c>
      <c r="M8" s="22">
        <f>IFERROR(__xludf.DUMMYFUNCTION("""COMPUTED_VALUE"""),1.653587663406934)</f>
        <v>1.653587663</v>
      </c>
      <c r="N8" s="22">
        <f>IFERROR(__xludf.DUMMYFUNCTION("""COMPUTED_VALUE"""),10.75123700486603)</f>
        <v>10.751237</v>
      </c>
      <c r="O8" s="22">
        <f t="shared" si="1"/>
        <v>3.961240642</v>
      </c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tr">
        <f>IFERROR(__xludf.DUMMYFUNCTION("""COMPUTED_VALUE"""),"Mexico")</f>
        <v>Mexico</v>
      </c>
      <c r="B9" s="18">
        <f>IFERROR(__xludf.DUMMYFUNCTION("""COMPUTED_VALUE"""),43955.0)</f>
        <v>43955</v>
      </c>
      <c r="C9" s="19">
        <f>IFERROR(__xludf.DUMMYFUNCTION("""COMPUTED_VALUE"""),43961.0)</f>
        <v>43961</v>
      </c>
      <c r="D9" s="17">
        <f>IFERROR(__xludf.DUMMYFUNCTION("""COMPUTED_VALUE"""),19.0)</f>
        <v>19</v>
      </c>
      <c r="E9" s="17">
        <f>IFERROR(__xludf.DUMMYFUNCTION("""COMPUTED_VALUE"""),20622.0)</f>
        <v>20622</v>
      </c>
      <c r="F9" s="17">
        <f>IFERROR(__xludf.DUMMYFUNCTION("""COMPUTED_VALUE"""),1311.0)</f>
        <v>1311</v>
      </c>
      <c r="G9" s="20">
        <f>IFERROR(__xludf.DUMMYFUNCTION("""COMPUTED_VALUE"""),8.0)</f>
        <v>8</v>
      </c>
      <c r="H9" s="20">
        <f>IFERROR(__xludf.DUMMYFUNCTION("""COMPUTED_VALUE"""),24010.0)</f>
        <v>24010</v>
      </c>
      <c r="I9" s="20">
        <f>IFERROR(__xludf.DUMMYFUNCTION("""COMPUTED_VALUE"""),14427.666666666666)</f>
        <v>14427.66667</v>
      </c>
      <c r="J9" s="21">
        <f>IFERROR(__xludf.DUMMYFUNCTION("""COMPUTED_VALUE"""),7825.799999999999)</f>
        <v>7825.8</v>
      </c>
      <c r="K9" s="22">
        <f>IFERROR(__xludf.DUMMYFUNCTION("""COMPUTED_VALUE"""),1.0064314887309613)</f>
        <v>1.006431489</v>
      </c>
      <c r="L9" s="22">
        <f>IFERROR(__xludf.DUMMYFUNCTION("""COMPUTED_VALUE"""),6.007728104127198)</f>
        <v>6.007728104</v>
      </c>
      <c r="M9" s="22">
        <f>IFERROR(__xludf.DUMMYFUNCTION("""COMPUTED_VALUE"""),2.6600191521378953)</f>
        <v>2.660019152</v>
      </c>
      <c r="N9" s="22">
        <f>IFERROR(__xludf.DUMMYFUNCTION("""COMPUTED_VALUE"""),16.75896510899323)</f>
        <v>16.75896511</v>
      </c>
      <c r="O9" s="22">
        <f t="shared" si="1"/>
        <v>5.001296615</v>
      </c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tr">
        <f>IFERROR(__xludf.DUMMYFUNCTION("""COMPUTED_VALUE"""),"Mexico")</f>
        <v>Mexico</v>
      </c>
      <c r="B10" s="18">
        <f>IFERROR(__xludf.DUMMYFUNCTION("""COMPUTED_VALUE"""),43962.0)</f>
        <v>43962</v>
      </c>
      <c r="C10" s="19">
        <f>IFERROR(__xludf.DUMMYFUNCTION("""COMPUTED_VALUE"""),43968.0)</f>
        <v>43968</v>
      </c>
      <c r="D10" s="17">
        <f>IFERROR(__xludf.DUMMYFUNCTION("""COMPUTED_VALUE"""),20.0)</f>
        <v>20</v>
      </c>
      <c r="E10" s="17">
        <f>IFERROR(__xludf.DUMMYFUNCTION("""COMPUTED_VALUE"""),22313.0)</f>
        <v>22313</v>
      </c>
      <c r="F10" s="17">
        <f>IFERROR(__xludf.DUMMYFUNCTION("""COMPUTED_VALUE"""),1712.0)</f>
        <v>1712</v>
      </c>
      <c r="G10" s="20">
        <f>IFERROR(__xludf.DUMMYFUNCTION("""COMPUTED_VALUE"""),9.0)</f>
        <v>9</v>
      </c>
      <c r="H10" s="20">
        <f>IFERROR(__xludf.DUMMYFUNCTION("""COMPUTED_VALUE"""),20488.0)</f>
        <v>20488</v>
      </c>
      <c r="I10" s="20">
        <f>IFERROR(__xludf.DUMMYFUNCTION("""COMPUTED_VALUE"""),14143.833333333334)</f>
        <v>14143.83333</v>
      </c>
      <c r="J10" s="21">
        <f>IFERROR(__xludf.DUMMYFUNCTION("""COMPUTED_VALUE"""),9445.4)</f>
        <v>9445.4</v>
      </c>
      <c r="K10" s="22">
        <f>IFERROR(__xludf.DUMMYFUNCTION("""COMPUTED_VALUE"""),1.3142720890216673)</f>
        <v>1.314272089</v>
      </c>
      <c r="L10" s="22">
        <f>IFERROR(__xludf.DUMMYFUNCTION("""COMPUTED_VALUE"""),7.251066349091855)</f>
        <v>7.251066349</v>
      </c>
      <c r="M10" s="22">
        <f>IFERROR(__xludf.DUMMYFUNCTION("""COMPUTED_VALUE"""),3.9742912411595626)</f>
        <v>3.974291241</v>
      </c>
      <c r="N10" s="22">
        <f>IFERROR(__xludf.DUMMYFUNCTION("""COMPUTED_VALUE"""),24.010031458085084)</f>
        <v>24.01003146</v>
      </c>
      <c r="O10" s="22">
        <f t="shared" si="1"/>
        <v>5.93679426</v>
      </c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tr">
        <f>IFERROR(__xludf.DUMMYFUNCTION("""COMPUTED_VALUE"""),"Mexico")</f>
        <v>Mexico</v>
      </c>
      <c r="B11" s="18">
        <f>IFERROR(__xludf.DUMMYFUNCTION("""COMPUTED_VALUE"""),43969.0)</f>
        <v>43969</v>
      </c>
      <c r="C11" s="19">
        <f>IFERROR(__xludf.DUMMYFUNCTION("""COMPUTED_VALUE"""),43975.0)</f>
        <v>43975</v>
      </c>
      <c r="D11" s="17">
        <f>IFERROR(__xludf.DUMMYFUNCTION("""COMPUTED_VALUE"""),21.0)</f>
        <v>21</v>
      </c>
      <c r="E11" s="17">
        <f>IFERROR(__xludf.DUMMYFUNCTION("""COMPUTED_VALUE"""),23231.0)</f>
        <v>23231</v>
      </c>
      <c r="F11" s="17">
        <f>IFERROR(__xludf.DUMMYFUNCTION("""COMPUTED_VALUE"""),2217.0)</f>
        <v>2217</v>
      </c>
      <c r="G11" s="20">
        <f>IFERROR(__xludf.DUMMYFUNCTION("""COMPUTED_VALUE"""),10.0)</f>
        <v>10</v>
      </c>
      <c r="H11" s="20">
        <f>IFERROR(__xludf.DUMMYFUNCTION("""COMPUTED_VALUE"""),19752.0)</f>
        <v>19752</v>
      </c>
      <c r="I11" s="20">
        <f>IFERROR(__xludf.DUMMYFUNCTION("""COMPUTED_VALUE"""),13855.666666666666)</f>
        <v>13855.66667</v>
      </c>
      <c r="J11" s="21">
        <f>IFERROR(__xludf.DUMMYFUNCTION("""COMPUTED_VALUE"""),10166.0)</f>
        <v>10166</v>
      </c>
      <c r="K11" s="22">
        <f>IFERROR(__xludf.DUMMYFUNCTION("""COMPUTED_VALUE"""),1.7019516479912593)</f>
        <v>1.701951648</v>
      </c>
      <c r="L11" s="22">
        <f>IFERROR(__xludf.DUMMYFUNCTION("""COMPUTED_VALUE"""),7.804258210861139)</f>
        <v>7.804258211</v>
      </c>
      <c r="M11" s="22">
        <f>IFERROR(__xludf.DUMMYFUNCTION("""COMPUTED_VALUE"""),5.676242889150822)</f>
        <v>5.676242889</v>
      </c>
      <c r="N11" s="22">
        <f>IFERROR(__xludf.DUMMYFUNCTION("""COMPUTED_VALUE"""),31.814289668946223)</f>
        <v>31.81428967</v>
      </c>
      <c r="O11" s="22">
        <f t="shared" si="1"/>
        <v>6.102306563</v>
      </c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tr">
        <f>IFERROR(__xludf.DUMMYFUNCTION("""COMPUTED_VALUE"""),"Mexico")</f>
        <v>Mexico</v>
      </c>
      <c r="B12" s="18">
        <f>IFERROR(__xludf.DUMMYFUNCTION("""COMPUTED_VALUE"""),43976.0)</f>
        <v>43976</v>
      </c>
      <c r="C12" s="19">
        <f>IFERROR(__xludf.DUMMYFUNCTION("""COMPUTED_VALUE"""),43982.0)</f>
        <v>43982</v>
      </c>
      <c r="D12" s="17">
        <f>IFERROR(__xludf.DUMMYFUNCTION("""COMPUTED_VALUE"""),22.0)</f>
        <v>22</v>
      </c>
      <c r="E12" s="17">
        <f>IFERROR(__xludf.DUMMYFUNCTION("""COMPUTED_VALUE"""),23167.0)</f>
        <v>23167</v>
      </c>
      <c r="F12" s="17">
        <f>IFERROR(__xludf.DUMMYFUNCTION("""COMPUTED_VALUE"""),2536.0)</f>
        <v>2536</v>
      </c>
      <c r="G12" s="20">
        <f>IFERROR(__xludf.DUMMYFUNCTION("""COMPUTED_VALUE"""),11.0)</f>
        <v>11</v>
      </c>
      <c r="H12" s="20">
        <f>IFERROR(__xludf.DUMMYFUNCTION("""COMPUTED_VALUE"""),18508.0)</f>
        <v>18508</v>
      </c>
      <c r="I12" s="20">
        <f>IFERROR(__xludf.DUMMYFUNCTION("""COMPUTED_VALUE"""),13595.666666666666)</f>
        <v>13595.66667</v>
      </c>
      <c r="J12" s="21">
        <f>IFERROR(__xludf.DUMMYFUNCTION("""COMPUTED_VALUE"""),10498.0)</f>
        <v>10498</v>
      </c>
      <c r="K12" s="22">
        <f>IFERROR(__xludf.DUMMYFUNCTION("""COMPUTED_VALUE"""),1.9468423000928434)</f>
        <v>1.9468423</v>
      </c>
      <c r="L12" s="22">
        <f>IFERROR(__xludf.DUMMYFUNCTION("""COMPUTED_VALUE"""),8.059128732797582)</f>
        <v>8.059128733</v>
      </c>
      <c r="M12" s="22">
        <f>IFERROR(__xludf.DUMMYFUNCTION("""COMPUTED_VALUE"""),7.623085189243665)</f>
        <v>7.623085189</v>
      </c>
      <c r="N12" s="22">
        <f>IFERROR(__xludf.DUMMYFUNCTION("""COMPUTED_VALUE"""),39.873418401743805)</f>
        <v>39.8734184</v>
      </c>
      <c r="O12" s="22">
        <f t="shared" si="1"/>
        <v>6.112286433</v>
      </c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tr">
        <f>IFERROR(__xludf.DUMMYFUNCTION("""COMPUTED_VALUE"""),"Mexico")</f>
        <v>Mexico</v>
      </c>
      <c r="B13" s="18">
        <f>IFERROR(__xludf.DUMMYFUNCTION("""COMPUTED_VALUE"""),43983.0)</f>
        <v>43983</v>
      </c>
      <c r="C13" s="19">
        <f>IFERROR(__xludf.DUMMYFUNCTION("""COMPUTED_VALUE"""),43989.0)</f>
        <v>43989</v>
      </c>
      <c r="D13" s="17">
        <f>IFERROR(__xludf.DUMMYFUNCTION("""COMPUTED_VALUE"""),23.0)</f>
        <v>23</v>
      </c>
      <c r="E13" s="17">
        <f>IFERROR(__xludf.DUMMYFUNCTION("""COMPUTED_VALUE"""),24121.0)</f>
        <v>24121</v>
      </c>
      <c r="F13" s="17">
        <f>IFERROR(__xludf.DUMMYFUNCTION("""COMPUTED_VALUE"""),3769.0)</f>
        <v>3769</v>
      </c>
      <c r="G13" s="20">
        <f>IFERROR(__xludf.DUMMYFUNCTION("""COMPUTED_VALUE"""),12.0)</f>
        <v>12</v>
      </c>
      <c r="H13" s="20">
        <f>IFERROR(__xludf.DUMMYFUNCTION("""COMPUTED_VALUE"""),15494.0)</f>
        <v>15494</v>
      </c>
      <c r="I13" s="20">
        <f>IFERROR(__xludf.DUMMYFUNCTION("""COMPUTED_VALUE"""),13468.6)</f>
        <v>13468.6</v>
      </c>
      <c r="J13" s="21">
        <f>IFERROR(__xludf.DUMMYFUNCTION("""COMPUTED_VALUE"""),11511.6)</f>
        <v>11511.6</v>
      </c>
      <c r="K13" s="22">
        <f>IFERROR(__xludf.DUMMYFUNCTION("""COMPUTED_VALUE"""),2.8933945698146397)</f>
        <v>2.89339457</v>
      </c>
      <c r="L13" s="22">
        <f>IFERROR(__xludf.DUMMYFUNCTION("""COMPUTED_VALUE"""),8.83725150699873)</f>
        <v>8.837251507</v>
      </c>
      <c r="M13" s="22">
        <f>IFERROR(__xludf.DUMMYFUNCTION("""COMPUTED_VALUE"""),10.516479759058305)</f>
        <v>10.51647976</v>
      </c>
      <c r="N13" s="22">
        <f>IFERROR(__xludf.DUMMYFUNCTION("""COMPUTED_VALUE"""),48.71066990874253)</f>
        <v>48.71066991</v>
      </c>
      <c r="O13" s="22">
        <f t="shared" si="1"/>
        <v>5.943856937</v>
      </c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tr">
        <f>IFERROR(__xludf.DUMMYFUNCTION("""COMPUTED_VALUE"""),"Mexico")</f>
        <v>Mexico</v>
      </c>
      <c r="B14" s="18">
        <f>IFERROR(__xludf.DUMMYFUNCTION("""COMPUTED_VALUE"""),43990.0)</f>
        <v>43990</v>
      </c>
      <c r="C14" s="19">
        <f>IFERROR(__xludf.DUMMYFUNCTION("""COMPUTED_VALUE"""),43996.0)</f>
        <v>43996</v>
      </c>
      <c r="D14" s="17">
        <f>IFERROR(__xludf.DUMMYFUNCTION("""COMPUTED_VALUE"""),24.0)</f>
        <v>24</v>
      </c>
      <c r="E14" s="17">
        <f>IFERROR(__xludf.DUMMYFUNCTION("""COMPUTED_VALUE"""),24719.0)</f>
        <v>24719</v>
      </c>
      <c r="F14" s="17">
        <f>IFERROR(__xludf.DUMMYFUNCTION("""COMPUTED_VALUE"""),3442.0)</f>
        <v>3442</v>
      </c>
      <c r="G14" s="20">
        <f>IFERROR(__xludf.DUMMYFUNCTION("""COMPUTED_VALUE"""),13.0)</f>
        <v>13</v>
      </c>
      <c r="H14" s="20">
        <f>IFERROR(__xludf.DUMMYFUNCTION("""COMPUTED_VALUE"""),15345.0)</f>
        <v>15345</v>
      </c>
      <c r="I14" s="20">
        <f>IFERROR(__xludf.DUMMYFUNCTION("""COMPUTED_VALUE"""),13175.6)</f>
        <v>13175.6</v>
      </c>
      <c r="J14" s="21">
        <f>IFERROR(__xludf.DUMMYFUNCTION("""COMPUTED_VALUE"""),12263.8)</f>
        <v>12263.8</v>
      </c>
      <c r="K14" s="22">
        <f>IFERROR(__xludf.DUMMYFUNCTION("""COMPUTED_VALUE"""),2.6423624593531416)</f>
        <v>2.642362459</v>
      </c>
      <c r="L14" s="22">
        <f>IFERROR(__xludf.DUMMYFUNCTION("""COMPUTED_VALUE"""),9.414702129289672)</f>
        <v>9.414702129</v>
      </c>
      <c r="M14" s="22">
        <f>IFERROR(__xludf.DUMMYFUNCTION("""COMPUTED_VALUE"""),13.158842218411447)</f>
        <v>13.15884222</v>
      </c>
      <c r="N14" s="22">
        <f>IFERROR(__xludf.DUMMYFUNCTION("""COMPUTED_VALUE"""),58.125372038032204)</f>
        <v>58.12537204</v>
      </c>
      <c r="O14" s="22">
        <f t="shared" si="1"/>
        <v>6.77233967</v>
      </c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tr">
        <f>IFERROR(__xludf.DUMMYFUNCTION("""COMPUTED_VALUE"""),"Mexico")</f>
        <v>Mexico</v>
      </c>
      <c r="B15" s="18">
        <f>IFERROR(__xludf.DUMMYFUNCTION("""COMPUTED_VALUE"""),43997.0)</f>
        <v>43997</v>
      </c>
      <c r="C15" s="19">
        <f>IFERROR(__xludf.DUMMYFUNCTION("""COMPUTED_VALUE"""),44003.0)</f>
        <v>44003</v>
      </c>
      <c r="D15" s="17">
        <f>IFERROR(__xludf.DUMMYFUNCTION("""COMPUTED_VALUE"""),25.0)</f>
        <v>25</v>
      </c>
      <c r="E15" s="17">
        <f>IFERROR(__xludf.DUMMYFUNCTION("""COMPUTED_VALUE"""),24945.0)</f>
        <v>24945</v>
      </c>
      <c r="F15" s="17">
        <f>IFERROR(__xludf.DUMMYFUNCTION("""COMPUTED_VALUE"""),4684.0)</f>
        <v>4684</v>
      </c>
      <c r="G15" s="20">
        <f>IFERROR(__xludf.DUMMYFUNCTION("""COMPUTED_VALUE"""),14.0)</f>
        <v>14</v>
      </c>
      <c r="H15" s="20">
        <f>IFERROR(__xludf.DUMMYFUNCTION("""COMPUTED_VALUE"""),15448.5)</f>
        <v>15448.5</v>
      </c>
      <c r="I15" s="20">
        <f>IFERROR(__xludf.DUMMYFUNCTION("""COMPUTED_VALUE"""),13256.6)</f>
        <v>13256.6</v>
      </c>
      <c r="J15" s="21">
        <f>IFERROR(__xludf.DUMMYFUNCTION("""COMPUTED_VALUE"""),12290.0)</f>
        <v>12290</v>
      </c>
      <c r="K15" s="22">
        <f>IFERROR(__xludf.DUMMYFUNCTION("""COMPUTED_VALUE"""),3.595823869729842)</f>
        <v>3.59582387</v>
      </c>
      <c r="L15" s="22">
        <f>IFERROR(__xludf.DUMMYFUNCTION("""COMPUTED_VALUE"""),9.434815405418393)</f>
        <v>9.434815405</v>
      </c>
      <c r="M15" s="22">
        <f>IFERROR(__xludf.DUMMYFUNCTION("""COMPUTED_VALUE"""),16.75466608814129)</f>
        <v>16.75466609</v>
      </c>
      <c r="N15" s="22">
        <f>IFERROR(__xludf.DUMMYFUNCTION("""COMPUTED_VALUE"""),67.5601874434506)</f>
        <v>67.56018744</v>
      </c>
      <c r="O15" s="22">
        <f t="shared" si="1"/>
        <v>5.838991536</v>
      </c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tr">
        <f>IFERROR(__xludf.DUMMYFUNCTION("""COMPUTED_VALUE"""),"Mexico")</f>
        <v>Mexico</v>
      </c>
      <c r="B16" s="18">
        <f>IFERROR(__xludf.DUMMYFUNCTION("""COMPUTED_VALUE"""),44004.0)</f>
        <v>44004</v>
      </c>
      <c r="C16" s="19">
        <f>IFERROR(__xludf.DUMMYFUNCTION("""COMPUTED_VALUE"""),44010.0)</f>
        <v>44010</v>
      </c>
      <c r="D16" s="17">
        <f>IFERROR(__xludf.DUMMYFUNCTION("""COMPUTED_VALUE"""),26.0)</f>
        <v>26</v>
      </c>
      <c r="E16" s="17">
        <f>IFERROR(__xludf.DUMMYFUNCTION("""COMPUTED_VALUE"""),24718.0)</f>
        <v>24718</v>
      </c>
      <c r="F16" s="17">
        <f>IFERROR(__xludf.DUMMYFUNCTION("""COMPUTED_VALUE"""),4823.0)</f>
        <v>4823</v>
      </c>
      <c r="G16" s="20">
        <f>IFERROR(__xludf.DUMMYFUNCTION("""COMPUTED_VALUE"""),15.0)</f>
        <v>15</v>
      </c>
      <c r="H16" s="20">
        <f>IFERROR(__xludf.DUMMYFUNCTION("""COMPUTED_VALUE"""),15478.5)</f>
        <v>15478.5</v>
      </c>
      <c r="I16" s="20">
        <f>IFERROR(__xludf.DUMMYFUNCTION("""COMPUTED_VALUE"""),12888.0)</f>
        <v>12888</v>
      </c>
      <c r="J16" s="21">
        <f>IFERROR(__xludf.DUMMYFUNCTION("""COMPUTED_VALUE"""),12271.8)</f>
        <v>12271.8</v>
      </c>
      <c r="K16" s="22">
        <f>IFERROR(__xludf.DUMMYFUNCTION("""COMPUTED_VALUE"""),3.7025317087333534)</f>
        <v>3.702531709</v>
      </c>
      <c r="L16" s="22">
        <f>IFERROR(__xludf.DUMMYFUNCTION("""COMPUTED_VALUE"""),9.420843587649589)</f>
        <v>9.420843588</v>
      </c>
      <c r="M16" s="22">
        <f>IFERROR(__xludf.DUMMYFUNCTION("""COMPUTED_VALUE"""),20.45719779687464)</f>
        <v>20.4571978</v>
      </c>
      <c r="N16" s="22">
        <f>IFERROR(__xludf.DUMMYFUNCTION("""COMPUTED_VALUE"""),76.98103103110019)</f>
        <v>76.98103103</v>
      </c>
      <c r="O16" s="22">
        <f t="shared" si="1"/>
        <v>5.718311879</v>
      </c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tr">
        <f>IFERROR(__xludf.DUMMYFUNCTION("""COMPUTED_VALUE"""),"Mexico")</f>
        <v>Mexico</v>
      </c>
      <c r="B17" s="18">
        <f>IFERROR(__xludf.DUMMYFUNCTION("""COMPUTED_VALUE"""),44011.0)</f>
        <v>44011</v>
      </c>
      <c r="C17" s="19">
        <f>IFERROR(__xludf.DUMMYFUNCTION("""COMPUTED_VALUE"""),44017.0)</f>
        <v>44017</v>
      </c>
      <c r="D17" s="17">
        <f>IFERROR(__xludf.DUMMYFUNCTION("""COMPUTED_VALUE"""),27.0)</f>
        <v>27</v>
      </c>
      <c r="E17" s="17">
        <f>IFERROR(__xludf.DUMMYFUNCTION("""COMPUTED_VALUE"""),25495.0)</f>
        <v>25495</v>
      </c>
      <c r="F17" s="17">
        <f>IFERROR(__xludf.DUMMYFUNCTION("""COMPUTED_VALUE"""),3991.0)</f>
        <v>3991</v>
      </c>
      <c r="G17" s="20">
        <f>IFERROR(__xludf.DUMMYFUNCTION("""COMPUTED_VALUE"""),16.0)</f>
        <v>16</v>
      </c>
      <c r="H17" s="20">
        <f>IFERROR(__xludf.DUMMYFUNCTION("""COMPUTED_VALUE"""),15515.0)</f>
        <v>15515</v>
      </c>
      <c r="I17" s="20">
        <f>IFERROR(__xludf.DUMMYFUNCTION("""COMPUTED_VALUE"""),12754.0)</f>
        <v>12754</v>
      </c>
      <c r="J17" s="21">
        <f>IFERROR(__xludf.DUMMYFUNCTION("""COMPUTED_VALUE"""),12922.0)</f>
        <v>12922</v>
      </c>
      <c r="K17" s="22">
        <f>IFERROR(__xludf.DUMMYFUNCTION("""COMPUTED_VALUE"""),3.063820039302263)</f>
        <v>3.063820039</v>
      </c>
      <c r="L17" s="22">
        <f>IFERROR(__xludf.DUMMYFUNCTION("""COMPUTED_VALUE"""),9.919990615851626)</f>
        <v>9.919990616</v>
      </c>
      <c r="M17" s="22">
        <f>IFERROR(__xludf.DUMMYFUNCTION("""COMPUTED_VALUE"""),23.521017836176906)</f>
        <v>23.52101784</v>
      </c>
      <c r="N17" s="22">
        <f>IFERROR(__xludf.DUMMYFUNCTION("""COMPUTED_VALUE"""),86.90102164695182)</f>
        <v>86.90102165</v>
      </c>
      <c r="O17" s="22">
        <f t="shared" si="1"/>
        <v>6.856170577</v>
      </c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tr">
        <f>IFERROR(__xludf.DUMMYFUNCTION("""COMPUTED_VALUE"""),"Mexico")</f>
        <v>Mexico</v>
      </c>
      <c r="B18" s="18">
        <f>IFERROR(__xludf.DUMMYFUNCTION("""COMPUTED_VALUE"""),44018.0)</f>
        <v>44018</v>
      </c>
      <c r="C18" s="19">
        <f>IFERROR(__xludf.DUMMYFUNCTION("""COMPUTED_VALUE"""),44024.0)</f>
        <v>44024</v>
      </c>
      <c r="D18" s="17">
        <f>IFERROR(__xludf.DUMMYFUNCTION("""COMPUTED_VALUE"""),28.0)</f>
        <v>28</v>
      </c>
      <c r="E18" s="17">
        <f>IFERROR(__xludf.DUMMYFUNCTION("""COMPUTED_VALUE"""),26446.0)</f>
        <v>26446</v>
      </c>
      <c r="F18" s="17">
        <f>IFERROR(__xludf.DUMMYFUNCTION("""COMPUTED_VALUE"""),4367.0)</f>
        <v>4367</v>
      </c>
      <c r="G18" s="20">
        <f>IFERROR(__xludf.DUMMYFUNCTION("""COMPUTED_VALUE"""),17.0)</f>
        <v>17</v>
      </c>
      <c r="H18" s="20">
        <f>IFERROR(__xludf.DUMMYFUNCTION("""COMPUTED_VALUE"""),16289.5)</f>
        <v>16289.5</v>
      </c>
      <c r="I18" s="20">
        <f>IFERROR(__xludf.DUMMYFUNCTION("""COMPUTED_VALUE"""),12924.4)</f>
        <v>12924.4</v>
      </c>
      <c r="J18" s="21">
        <f>IFERROR(__xludf.DUMMYFUNCTION("""COMPUTED_VALUE"""),13873.8)</f>
        <v>13873.8</v>
      </c>
      <c r="K18" s="22">
        <f>IFERROR(__xludf.DUMMYFUNCTION("""COMPUTED_VALUE"""),3.3524685822182363)</f>
        <v>3.352468582</v>
      </c>
      <c r="L18" s="22">
        <f>IFERROR(__xludf.DUMMYFUNCTION("""COMPUTED_VALUE"""),10.650670624222434)</f>
        <v>10.65067062</v>
      </c>
      <c r="M18" s="22">
        <f>IFERROR(__xludf.DUMMYFUNCTION("""COMPUTED_VALUE"""),26.873486418395142)</f>
        <v>26.87348642</v>
      </c>
      <c r="N18" s="22">
        <f>IFERROR(__xludf.DUMMYFUNCTION("""COMPUTED_VALUE"""),97.55169227117425)</f>
        <v>97.55169227</v>
      </c>
      <c r="O18" s="22">
        <f t="shared" si="1"/>
        <v>7.298202042</v>
      </c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tr">
        <f>IFERROR(__xludf.DUMMYFUNCTION("""COMPUTED_VALUE"""),"Mexico")</f>
        <v>Mexico</v>
      </c>
      <c r="B19" s="18">
        <f>IFERROR(__xludf.DUMMYFUNCTION("""COMPUTED_VALUE"""),44025.0)</f>
        <v>44025</v>
      </c>
      <c r="C19" s="19">
        <f>IFERROR(__xludf.DUMMYFUNCTION("""COMPUTED_VALUE"""),44031.0)</f>
        <v>44031</v>
      </c>
      <c r="D19" s="17">
        <f>IFERROR(__xludf.DUMMYFUNCTION("""COMPUTED_VALUE"""),29.0)</f>
        <v>29</v>
      </c>
      <c r="E19" s="17">
        <f>IFERROR(__xludf.DUMMYFUNCTION("""COMPUTED_VALUE"""),26446.0)</f>
        <v>26446</v>
      </c>
      <c r="F19" s="17">
        <f>IFERROR(__xludf.DUMMYFUNCTION("""COMPUTED_VALUE"""),4178.0)</f>
        <v>4178</v>
      </c>
      <c r="G19" s="20">
        <f>IFERROR(__xludf.DUMMYFUNCTION("""COMPUTED_VALUE"""),18.0)</f>
        <v>18</v>
      </c>
      <c r="H19" s="20">
        <f>IFERROR(__xludf.DUMMYFUNCTION("""COMPUTED_VALUE"""),16968.0)</f>
        <v>16968</v>
      </c>
      <c r="I19" s="20">
        <f>IFERROR(__xludf.DUMMYFUNCTION("""COMPUTED_VALUE"""),12848.0)</f>
        <v>12848</v>
      </c>
      <c r="J19" s="21">
        <f>IFERROR(__xludf.DUMMYFUNCTION("""COMPUTED_VALUE"""),13757.8)</f>
        <v>13757.8</v>
      </c>
      <c r="K19" s="22">
        <f>IFERROR(__xludf.DUMMYFUNCTION("""COMPUTED_VALUE"""),3.2073766284652603)</f>
        <v>3.207376628</v>
      </c>
      <c r="L19" s="22">
        <f>IFERROR(__xludf.DUMMYFUNCTION("""COMPUTED_VALUE"""),10.561619478003676)</f>
        <v>10.56161948</v>
      </c>
      <c r="M19" s="22">
        <f>IFERROR(__xludf.DUMMYFUNCTION("""COMPUTED_VALUE"""),30.0808630468604)</f>
        <v>30.08086305</v>
      </c>
      <c r="N19" s="22">
        <f>IFERROR(__xludf.DUMMYFUNCTION("""COMPUTED_VALUE"""),108.11331174917792)</f>
        <v>108.1133117</v>
      </c>
      <c r="O19" s="22">
        <f t="shared" si="1"/>
        <v>7.35424285</v>
      </c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tr">
        <f>IFERROR(__xludf.DUMMYFUNCTION("""COMPUTED_VALUE"""),"Mexico")</f>
        <v>Mexico</v>
      </c>
      <c r="B20" s="18">
        <f>IFERROR(__xludf.DUMMYFUNCTION("""COMPUTED_VALUE"""),44032.0)</f>
        <v>44032</v>
      </c>
      <c r="C20" s="19">
        <f>IFERROR(__xludf.DUMMYFUNCTION("""COMPUTED_VALUE"""),44038.0)</f>
        <v>44038</v>
      </c>
      <c r="D20" s="17">
        <f>IFERROR(__xludf.DUMMYFUNCTION("""COMPUTED_VALUE"""),30.0)</f>
        <v>30</v>
      </c>
      <c r="E20" s="17">
        <f>IFERROR(__xludf.DUMMYFUNCTION("""COMPUTED_VALUE"""),25733.0)</f>
        <v>25733</v>
      </c>
      <c r="F20" s="17">
        <f>IFERROR(__xludf.DUMMYFUNCTION("""COMPUTED_VALUE"""),4496.0)</f>
        <v>4496</v>
      </c>
      <c r="G20" s="20">
        <f>IFERROR(__xludf.DUMMYFUNCTION("""COMPUTED_VALUE"""),19.0)</f>
        <v>19</v>
      </c>
      <c r="H20" s="20">
        <f>IFERROR(__xludf.DUMMYFUNCTION("""COMPUTED_VALUE"""),17678.0)</f>
        <v>17678</v>
      </c>
      <c r="I20" s="20">
        <f>IFERROR(__xludf.DUMMYFUNCTION("""COMPUTED_VALUE"""),12796.2)</f>
        <v>12796.2</v>
      </c>
      <c r="J20" s="21">
        <f>IFERROR(__xludf.DUMMYFUNCTION("""COMPUTED_VALUE"""),12988.6)</f>
        <v>12988.6</v>
      </c>
      <c r="K20" s="22">
        <f>IFERROR(__xludf.DUMMYFUNCTION("""COMPUTED_VALUE"""),3.451499598271855)</f>
        <v>3.451499598</v>
      </c>
      <c r="L20" s="22">
        <f>IFERROR(__xludf.DUMMYFUNCTION("""COMPUTED_VALUE"""),9.971118256697913)</f>
        <v>9.971118257</v>
      </c>
      <c r="M20" s="22">
        <f>IFERROR(__xludf.DUMMYFUNCTION("""COMPUTED_VALUE"""),33.53236264513225)</f>
        <v>33.53236265</v>
      </c>
      <c r="N20" s="22">
        <f>IFERROR(__xludf.DUMMYFUNCTION("""COMPUTED_VALUE"""),118.08443000587584)</f>
        <v>118.08443</v>
      </c>
      <c r="O20" s="22">
        <f t="shared" si="1"/>
        <v>6.519618658</v>
      </c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tr">
        <f>IFERROR(__xludf.DUMMYFUNCTION("""COMPUTED_VALUE"""),"Mexico")</f>
        <v>Mexico</v>
      </c>
      <c r="B21" s="18">
        <f>IFERROR(__xludf.DUMMYFUNCTION("""COMPUTED_VALUE"""),44039.0)</f>
        <v>44039</v>
      </c>
      <c r="C21" s="19">
        <f>IFERROR(__xludf.DUMMYFUNCTION("""COMPUTED_VALUE"""),44045.0)</f>
        <v>44045</v>
      </c>
      <c r="D21" s="17">
        <f>IFERROR(__xludf.DUMMYFUNCTION("""COMPUTED_VALUE"""),31.0)</f>
        <v>31</v>
      </c>
      <c r="E21" s="17">
        <f>IFERROR(__xludf.DUMMYFUNCTION("""COMPUTED_VALUE"""),24795.0)</f>
        <v>24795</v>
      </c>
      <c r="F21" s="17">
        <f>IFERROR(__xludf.DUMMYFUNCTION("""COMPUTED_VALUE"""),4066.0)</f>
        <v>4066</v>
      </c>
      <c r="G21" s="20">
        <f>IFERROR(__xludf.DUMMYFUNCTION("""COMPUTED_VALUE"""),20.0)</f>
        <v>20</v>
      </c>
      <c r="H21" s="20">
        <f>IFERROR(__xludf.DUMMYFUNCTION("""COMPUTED_VALUE"""),18288.5)</f>
        <v>18288.5</v>
      </c>
      <c r="I21" s="20">
        <f>IFERROR(__xludf.DUMMYFUNCTION("""COMPUTED_VALUE"""),12867.6)</f>
        <v>12867.6</v>
      </c>
      <c r="J21" s="21">
        <f>IFERROR(__xludf.DUMMYFUNCTION("""COMPUTED_VALUE"""),11975.2)</f>
        <v>11975.2</v>
      </c>
      <c r="K21" s="22">
        <f>IFERROR(__xludf.DUMMYFUNCTION("""COMPUTED_VALUE"""),3.1213962114264593)</f>
        <v>3.121396211</v>
      </c>
      <c r="L21" s="22">
        <f>IFERROR(__xludf.DUMMYFUNCTION("""COMPUTED_VALUE"""),9.193149018955765)</f>
        <v>9.193149019</v>
      </c>
      <c r="M21" s="22">
        <f>IFERROR(__xludf.DUMMYFUNCTION("""COMPUTED_VALUE"""),36.65375885655871)</f>
        <v>36.65375886</v>
      </c>
      <c r="N21" s="22">
        <f>IFERROR(__xludf.DUMMYFUNCTION("""COMPUTED_VALUE"""),127.27757902483161)</f>
        <v>127.277579</v>
      </c>
      <c r="O21" s="22">
        <f t="shared" si="1"/>
        <v>6.071752808</v>
      </c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tr">
        <f>IFERROR(__xludf.DUMMYFUNCTION("""COMPUTED_VALUE"""),"Mexico")</f>
        <v>Mexico</v>
      </c>
      <c r="B22" s="18">
        <f>IFERROR(__xludf.DUMMYFUNCTION("""COMPUTED_VALUE"""),44046.0)</f>
        <v>44046</v>
      </c>
      <c r="C22" s="19">
        <f>IFERROR(__xludf.DUMMYFUNCTION("""COMPUTED_VALUE"""),44052.0)</f>
        <v>44052</v>
      </c>
      <c r="D22" s="17">
        <f>IFERROR(__xludf.DUMMYFUNCTION("""COMPUTED_VALUE"""),32.0)</f>
        <v>32</v>
      </c>
      <c r="E22" s="17">
        <f>IFERROR(__xludf.DUMMYFUNCTION("""COMPUTED_VALUE"""),23817.0)</f>
        <v>23817</v>
      </c>
      <c r="F22" s="17">
        <f>IFERROR(__xludf.DUMMYFUNCTION("""COMPUTED_VALUE"""),4552.0)</f>
        <v>4552</v>
      </c>
      <c r="G22" s="20">
        <f>IFERROR(__xludf.DUMMYFUNCTION("""COMPUTED_VALUE"""),21.0)</f>
        <v>21</v>
      </c>
      <c r="H22" s="20">
        <f>IFERROR(__xludf.DUMMYFUNCTION("""COMPUTED_VALUE"""),18794.5)</f>
        <v>18794.5</v>
      </c>
      <c r="I22" s="20">
        <f>IFERROR(__xludf.DUMMYFUNCTION("""COMPUTED_VALUE"""),13065.0)</f>
        <v>13065</v>
      </c>
      <c r="J22" s="21">
        <f>IFERROR(__xludf.DUMMYFUNCTION("""COMPUTED_VALUE"""),11273.4)</f>
        <v>11273.4</v>
      </c>
      <c r="K22" s="22">
        <f>IFERROR(__xludf.DUMMYFUNCTION("""COMPUTED_VALUE"""),3.4944898067912553)</f>
        <v>3.494489807</v>
      </c>
      <c r="L22" s="22">
        <f>IFERROR(__xludf.DUMMYFUNCTION("""COMPUTED_VALUE"""),8.65438958433228)</f>
        <v>8.654389584</v>
      </c>
      <c r="M22" s="22">
        <f>IFERROR(__xludf.DUMMYFUNCTION("""COMPUTED_VALUE"""),40.14824866334997)</f>
        <v>40.14824866</v>
      </c>
      <c r="N22" s="22">
        <f>IFERROR(__xludf.DUMMYFUNCTION("""COMPUTED_VALUE"""),135.9319686091639)</f>
        <v>135.9319686</v>
      </c>
      <c r="O22" s="22">
        <f t="shared" si="1"/>
        <v>5.159899778</v>
      </c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tr">
        <f>IFERROR(__xludf.DUMMYFUNCTION("""COMPUTED_VALUE"""),"Mexico")</f>
        <v>Mexico</v>
      </c>
      <c r="B23" s="18">
        <f>IFERROR(__xludf.DUMMYFUNCTION("""COMPUTED_VALUE"""),44053.0)</f>
        <v>44053</v>
      </c>
      <c r="C23" s="19">
        <f>IFERROR(__xludf.DUMMYFUNCTION("""COMPUTED_VALUE"""),44059.0)</f>
        <v>44059</v>
      </c>
      <c r="D23" s="17">
        <f>IFERROR(__xludf.DUMMYFUNCTION("""COMPUTED_VALUE"""),33.0)</f>
        <v>33</v>
      </c>
      <c r="E23" s="17">
        <f>IFERROR(__xludf.DUMMYFUNCTION("""COMPUTED_VALUE"""),22666.0)</f>
        <v>22666</v>
      </c>
      <c r="F23" s="17">
        <f>IFERROR(__xludf.DUMMYFUNCTION("""COMPUTED_VALUE"""),4459.0)</f>
        <v>4459</v>
      </c>
      <c r="G23" s="20">
        <f>IFERROR(__xludf.DUMMYFUNCTION("""COMPUTED_VALUE"""),22.0)</f>
        <v>22</v>
      </c>
      <c r="H23" s="20">
        <f>IFERROR(__xludf.DUMMYFUNCTION("""COMPUTED_VALUE"""),18555.0)</f>
        <v>18555</v>
      </c>
      <c r="I23" s="20">
        <f>IFERROR(__xludf.DUMMYFUNCTION("""COMPUTED_VALUE"""),12669.0)</f>
        <v>12669</v>
      </c>
      <c r="J23" s="21">
        <f>IFERROR(__xludf.DUMMYFUNCTION("""COMPUTED_VALUE"""),10063.0)</f>
        <v>10063</v>
      </c>
      <c r="K23" s="22">
        <f>IFERROR(__xludf.DUMMYFUNCTION("""COMPUTED_VALUE"""),3.423095353357251)</f>
        <v>3.423095353</v>
      </c>
      <c r="L23" s="22">
        <f>IFERROR(__xludf.DUMMYFUNCTION("""COMPUTED_VALUE"""),7.72518693447724)</f>
        <v>7.725186934</v>
      </c>
      <c r="M23" s="22">
        <f>IFERROR(__xludf.DUMMYFUNCTION("""COMPUTED_VALUE"""),43.571344016707215)</f>
        <v>43.57134402</v>
      </c>
      <c r="N23" s="22">
        <f>IFERROR(__xludf.DUMMYFUNCTION("""COMPUTED_VALUE"""),143.65715554364115)</f>
        <v>143.6571555</v>
      </c>
      <c r="O23" s="22">
        <f t="shared" si="1"/>
        <v>4.302091581</v>
      </c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tr">
        <f>IFERROR(__xludf.DUMMYFUNCTION("""COMPUTED_VALUE"""),"Mexico")</f>
        <v>Mexico</v>
      </c>
      <c r="B24" s="18">
        <f>IFERROR(__xludf.DUMMYFUNCTION("""COMPUTED_VALUE"""),44060.0)</f>
        <v>44060</v>
      </c>
      <c r="C24" s="19">
        <f>IFERROR(__xludf.DUMMYFUNCTION("""COMPUTED_VALUE"""),44066.0)</f>
        <v>44066</v>
      </c>
      <c r="D24" s="17">
        <f>IFERROR(__xludf.DUMMYFUNCTION("""COMPUTED_VALUE"""),34.0)</f>
        <v>34</v>
      </c>
      <c r="E24" s="17">
        <f>IFERROR(__xludf.DUMMYFUNCTION("""COMPUTED_VALUE"""),21725.0)</f>
        <v>21725</v>
      </c>
      <c r="F24" s="17">
        <f>IFERROR(__xludf.DUMMYFUNCTION("""COMPUTED_VALUE"""),3723.0)</f>
        <v>3723</v>
      </c>
      <c r="G24" s="20">
        <f>IFERROR(__xludf.DUMMYFUNCTION("""COMPUTED_VALUE"""),23.0)</f>
        <v>23</v>
      </c>
      <c r="H24" s="20">
        <f>IFERROR(__xludf.DUMMYFUNCTION("""COMPUTED_VALUE"""),19130.5)</f>
        <v>19130.5</v>
      </c>
      <c r="I24" s="20">
        <f>IFERROR(__xludf.DUMMYFUNCTION("""COMPUTED_VALUE"""),12609.4)</f>
        <v>12609.4</v>
      </c>
      <c r="J24" s="21">
        <f>IFERROR(__xludf.DUMMYFUNCTION("""COMPUTED_VALUE"""),9296.4)</f>
        <v>9296.4</v>
      </c>
      <c r="K24" s="22">
        <f>IFERROR(__xludf.DUMMYFUNCTION("""COMPUTED_VALUE"""),2.8580811842451324)</f>
        <v>2.858081184</v>
      </c>
      <c r="L24" s="22">
        <f>IFERROR(__xludf.DUMMYFUNCTION("""COMPUTED_VALUE"""),7.13668168713845)</f>
        <v>7.136681687</v>
      </c>
      <c r="M24" s="22">
        <f>IFERROR(__xludf.DUMMYFUNCTION("""COMPUTED_VALUE"""),46.429425200952345)</f>
        <v>46.4294252</v>
      </c>
      <c r="N24" s="22">
        <f>IFERROR(__xludf.DUMMYFUNCTION("""COMPUTED_VALUE"""),150.79383723077962)</f>
        <v>150.7938372</v>
      </c>
      <c r="O24" s="22">
        <f t="shared" si="1"/>
        <v>4.278600503</v>
      </c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tr">
        <f>IFERROR(__xludf.DUMMYFUNCTION("""COMPUTED_VALUE"""),"Mexico")</f>
        <v>Mexico</v>
      </c>
      <c r="B25" s="18">
        <f>IFERROR(__xludf.DUMMYFUNCTION("""COMPUTED_VALUE"""),44067.0)</f>
        <v>44067</v>
      </c>
      <c r="C25" s="19">
        <f>IFERROR(__xludf.DUMMYFUNCTION("""COMPUTED_VALUE"""),44073.0)</f>
        <v>44073</v>
      </c>
      <c r="D25" s="17">
        <f>IFERROR(__xludf.DUMMYFUNCTION("""COMPUTED_VALUE"""),35.0)</f>
        <v>35</v>
      </c>
      <c r="E25" s="17">
        <f>IFERROR(__xludf.DUMMYFUNCTION("""COMPUTED_VALUE"""),20837.0)</f>
        <v>20837</v>
      </c>
      <c r="F25" s="17">
        <f>IFERROR(__xludf.DUMMYFUNCTION("""COMPUTED_VALUE"""),3678.0)</f>
        <v>3678</v>
      </c>
      <c r="G25" s="20">
        <f>IFERROR(__xludf.DUMMYFUNCTION("""COMPUTED_VALUE"""),24.0)</f>
        <v>24</v>
      </c>
      <c r="H25" s="20">
        <f>IFERROR(__xludf.DUMMYFUNCTION("""COMPUTED_VALUE"""),19490.0)</f>
        <v>19490</v>
      </c>
      <c r="I25" s="20">
        <f>IFERROR(__xludf.DUMMYFUNCTION("""COMPUTED_VALUE"""),12455.2)</f>
        <v>12455.2</v>
      </c>
      <c r="J25" s="21">
        <f>IFERROR(__xludf.DUMMYFUNCTION("""COMPUTED_VALUE"""),8472.4)</f>
        <v>8472.4</v>
      </c>
      <c r="K25" s="22">
        <f>IFERROR(__xludf.DUMMYFUNCTION("""COMPUTED_VALUE"""),2.8235354809706146)</f>
        <v>2.823535481</v>
      </c>
      <c r="L25" s="22">
        <f>IFERROR(__xludf.DUMMYFUNCTION("""COMPUTED_VALUE"""),6.5041114760672745)</f>
        <v>6.504111476</v>
      </c>
      <c r="M25" s="22">
        <f>IFERROR(__xludf.DUMMYFUNCTION("""COMPUTED_VALUE"""),49.25296068192296)</f>
        <v>49.25296068</v>
      </c>
      <c r="N25" s="22">
        <f>IFERROR(__xludf.DUMMYFUNCTION("""COMPUTED_VALUE"""),157.29794870684688)</f>
        <v>157.2979487</v>
      </c>
      <c r="O25" s="22">
        <f t="shared" si="1"/>
        <v>3.680575995</v>
      </c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tr">
        <f>IFERROR(__xludf.DUMMYFUNCTION("""COMPUTED_VALUE"""),"Mexico")</f>
        <v>Mexico</v>
      </c>
      <c r="B26" s="18">
        <f>IFERROR(__xludf.DUMMYFUNCTION("""COMPUTED_VALUE"""),44074.0)</f>
        <v>44074</v>
      </c>
      <c r="C26" s="19">
        <f>IFERROR(__xludf.DUMMYFUNCTION("""COMPUTED_VALUE"""),44080.0)</f>
        <v>44080</v>
      </c>
      <c r="D26" s="17">
        <f>IFERROR(__xludf.DUMMYFUNCTION("""COMPUTED_VALUE"""),36.0)</f>
        <v>36</v>
      </c>
      <c r="E26" s="17">
        <f>IFERROR(__xludf.DUMMYFUNCTION("""COMPUTED_VALUE"""),20156.0)</f>
        <v>20156</v>
      </c>
      <c r="F26" s="17">
        <f>IFERROR(__xludf.DUMMYFUNCTION("""COMPUTED_VALUE"""),3400.0)</f>
        <v>3400</v>
      </c>
      <c r="G26" s="20">
        <f>IFERROR(__xludf.DUMMYFUNCTION("""COMPUTED_VALUE"""),25.0)</f>
        <v>25</v>
      </c>
      <c r="H26" s="20">
        <f>IFERROR(__xludf.DUMMYFUNCTION("""COMPUTED_VALUE"""),19634.0)</f>
        <v>19634</v>
      </c>
      <c r="I26" s="20">
        <f>IFERROR(__xludf.DUMMYFUNCTION("""COMPUTED_VALUE"""),12655.0)</f>
        <v>12655</v>
      </c>
      <c r="J26" s="21">
        <f>IFERROR(__xludf.DUMMYFUNCTION("""COMPUTED_VALUE"""),7670.4)</f>
        <v>7670.4</v>
      </c>
      <c r="K26" s="22">
        <f>IFERROR(__xludf.DUMMYFUNCTION("""COMPUTED_VALUE"""),2.6101198029635917)</f>
        <v>2.610119803</v>
      </c>
      <c r="L26" s="22">
        <f>IFERROR(__xludf.DUMMYFUNCTION("""COMPUTED_VALUE"""),5.888430275485862)</f>
        <v>5.888430275</v>
      </c>
      <c r="M26" s="22">
        <f>IFERROR(__xludf.DUMMYFUNCTION("""COMPUTED_VALUE"""),51.86308048488655)</f>
        <v>51.86308048</v>
      </c>
      <c r="N26" s="22">
        <f>IFERROR(__xludf.DUMMYFUNCTION("""COMPUTED_VALUE"""),163.18637898233274)</f>
        <v>163.186379</v>
      </c>
      <c r="O26" s="22">
        <f t="shared" si="1"/>
        <v>3.278310473</v>
      </c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tr">
        <f>IFERROR(__xludf.DUMMYFUNCTION("""COMPUTED_VALUE"""),"Mexico")</f>
        <v>Mexico</v>
      </c>
      <c r="B27" s="18">
        <f>IFERROR(__xludf.DUMMYFUNCTION("""COMPUTED_VALUE"""),44081.0)</f>
        <v>44081</v>
      </c>
      <c r="C27" s="19">
        <f>IFERROR(__xludf.DUMMYFUNCTION("""COMPUTED_VALUE"""),44087.0)</f>
        <v>44087</v>
      </c>
      <c r="D27" s="17">
        <f>IFERROR(__xludf.DUMMYFUNCTION("""COMPUTED_VALUE"""),37.0)</f>
        <v>37</v>
      </c>
      <c r="E27" s="17">
        <f>IFERROR(__xludf.DUMMYFUNCTION("""COMPUTED_VALUE"""),19490.0)</f>
        <v>19490</v>
      </c>
      <c r="F27" s="17">
        <f>IFERROR(__xludf.DUMMYFUNCTION("""COMPUTED_VALUE"""),3263.0)</f>
        <v>3263</v>
      </c>
      <c r="G27" s="20">
        <f>IFERROR(__xludf.DUMMYFUNCTION("""COMPUTED_VALUE"""),26.0)</f>
        <v>26</v>
      </c>
      <c r="H27" s="20">
        <f>IFERROR(__xludf.DUMMYFUNCTION("""COMPUTED_VALUE"""),19650.0)</f>
        <v>19650</v>
      </c>
      <c r="I27" s="20">
        <f>IFERROR(__xludf.DUMMYFUNCTION("""COMPUTED_VALUE"""),12446.2)</f>
        <v>12446.2</v>
      </c>
      <c r="J27" s="21">
        <f>IFERROR(__xludf.DUMMYFUNCTION("""COMPUTED_VALUE"""),6817.799999999999)</f>
        <v>6817.8</v>
      </c>
      <c r="K27" s="22">
        <f>IFERROR(__xludf.DUMMYFUNCTION("""COMPUTED_VALUE"""),2.5049473285500583)</f>
        <v>2.504947329</v>
      </c>
      <c r="L27" s="22">
        <f>IFERROR(__xludf.DUMMYFUNCTION("""COMPUTED_VALUE"""),5.233904350777992)</f>
        <v>5.233904351</v>
      </c>
      <c r="M27" s="22">
        <f>IFERROR(__xludf.DUMMYFUNCTION("""COMPUTED_VALUE"""),54.36802781343661)</f>
        <v>54.36802781</v>
      </c>
      <c r="N27" s="22">
        <f>IFERROR(__xludf.DUMMYFUNCTION("""COMPUTED_VALUE"""),168.42028333311075)</f>
        <v>168.4202833</v>
      </c>
      <c r="O27" s="22">
        <f t="shared" si="1"/>
        <v>2.728957022</v>
      </c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tr">
        <f>IFERROR(__xludf.DUMMYFUNCTION("""COMPUTED_VALUE"""),"Mexico")</f>
        <v>Mexico</v>
      </c>
      <c r="B28" s="18">
        <f>IFERROR(__xludf.DUMMYFUNCTION("""COMPUTED_VALUE"""),44088.0)</f>
        <v>44088</v>
      </c>
      <c r="C28" s="19">
        <f>IFERROR(__xludf.DUMMYFUNCTION("""COMPUTED_VALUE"""),44094.0)</f>
        <v>44094</v>
      </c>
      <c r="D28" s="17">
        <f>IFERROR(__xludf.DUMMYFUNCTION("""COMPUTED_VALUE"""),38.0)</f>
        <v>38</v>
      </c>
      <c r="E28" s="17">
        <f>IFERROR(__xludf.DUMMYFUNCTION("""COMPUTED_VALUE"""),18805.0)</f>
        <v>18805</v>
      </c>
      <c r="F28" s="17">
        <f>IFERROR(__xludf.DUMMYFUNCTION("""COMPUTED_VALUE"""),2672.0)</f>
        <v>2672</v>
      </c>
      <c r="G28" s="20">
        <f>IFERROR(__xludf.DUMMYFUNCTION("""COMPUTED_VALUE"""),27.0)</f>
        <v>27</v>
      </c>
      <c r="H28" s="20">
        <f>IFERROR(__xludf.DUMMYFUNCTION("""COMPUTED_VALUE"""),20469.5)</f>
        <v>20469.5</v>
      </c>
      <c r="I28" s="20">
        <f>IFERROR(__xludf.DUMMYFUNCTION("""COMPUTED_VALUE"""),12573.0)</f>
        <v>12573</v>
      </c>
      <c r="J28" s="21">
        <f>IFERROR(__xludf.DUMMYFUNCTION("""COMPUTED_VALUE"""),5973.799999999999)</f>
        <v>5973.8</v>
      </c>
      <c r="K28" s="22">
        <f>IFERROR(__xludf.DUMMYFUNCTION("""COMPUTED_VALUE"""),2.051247092211387)</f>
        <v>2.051247092</v>
      </c>
      <c r="L28" s="22">
        <f>IFERROR(__xludf.DUMMYFUNCTION("""COMPUTED_VALUE"""),4.585980493807029)</f>
        <v>4.585980494</v>
      </c>
      <c r="M28" s="22">
        <f>IFERROR(__xludf.DUMMYFUNCTION("""COMPUTED_VALUE"""),56.419274905647995)</f>
        <v>56.41927491</v>
      </c>
      <c r="N28" s="22">
        <f>IFERROR(__xludf.DUMMYFUNCTION("""COMPUTED_VALUE"""),173.00626382691777)</f>
        <v>173.0062638</v>
      </c>
      <c r="O28" s="22">
        <f t="shared" si="1"/>
        <v>2.534733402</v>
      </c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tr">
        <f>IFERROR(__xludf.DUMMYFUNCTION("""COMPUTED_VALUE"""),"Mexico")</f>
        <v>Mexico</v>
      </c>
      <c r="B29" s="18">
        <f>IFERROR(__xludf.DUMMYFUNCTION("""COMPUTED_VALUE"""),44095.0)</f>
        <v>44095</v>
      </c>
      <c r="C29" s="19">
        <f>IFERROR(__xludf.DUMMYFUNCTION("""COMPUTED_VALUE"""),44101.0)</f>
        <v>44101</v>
      </c>
      <c r="D29" s="17">
        <f>IFERROR(__xludf.DUMMYFUNCTION("""COMPUTED_VALUE"""),39.0)</f>
        <v>39</v>
      </c>
      <c r="E29" s="17">
        <f>IFERROR(__xludf.DUMMYFUNCTION("""COMPUTED_VALUE"""),18933.0)</f>
        <v>18933</v>
      </c>
      <c r="F29" s="17">
        <f>IFERROR(__xludf.DUMMYFUNCTION("""COMPUTED_VALUE"""),2937.0)</f>
        <v>2937</v>
      </c>
      <c r="G29" s="20">
        <f>IFERROR(__xludf.DUMMYFUNCTION("""COMPUTED_VALUE"""),28.0)</f>
        <v>28</v>
      </c>
      <c r="H29" s="20">
        <f>IFERROR(__xludf.DUMMYFUNCTION("""COMPUTED_VALUE"""),21428.0)</f>
        <v>21428</v>
      </c>
      <c r="I29" s="20">
        <f>IFERROR(__xludf.DUMMYFUNCTION("""COMPUTED_VALUE"""),12572.2)</f>
        <v>12572.2</v>
      </c>
      <c r="J29" s="21">
        <f>IFERROR(__xludf.DUMMYFUNCTION("""COMPUTED_VALUE"""),6374.6)</f>
        <v>6374.6</v>
      </c>
      <c r="K29" s="22">
        <f>IFERROR(__xludf.DUMMYFUNCTION("""COMPUTED_VALUE"""),2.2546829003835493)</f>
        <v>2.2546829</v>
      </c>
      <c r="L29" s="22">
        <f>IFERROR(__xludf.DUMMYFUNCTION("""COMPUTED_VALUE"""),4.8936675576387385)</f>
        <v>4.893667558</v>
      </c>
      <c r="M29" s="22">
        <f>IFERROR(__xludf.DUMMYFUNCTION("""COMPUTED_VALUE"""),58.673957806031545)</f>
        <v>58.67395781</v>
      </c>
      <c r="N29" s="22">
        <f>IFERROR(__xludf.DUMMYFUNCTION("""COMPUTED_VALUE"""),177.8999313845565)</f>
        <v>177.8999314</v>
      </c>
      <c r="O29" s="22">
        <f t="shared" si="1"/>
        <v>2.638984657</v>
      </c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tr">
        <f>IFERROR(__xludf.DUMMYFUNCTION("""COMPUTED_VALUE"""),"Mexico")</f>
        <v>Mexico</v>
      </c>
      <c r="B30" s="18">
        <f>IFERROR(__xludf.DUMMYFUNCTION("""COMPUTED_VALUE"""),44102.0)</f>
        <v>44102</v>
      </c>
      <c r="C30" s="19">
        <f>IFERROR(__xludf.DUMMYFUNCTION("""COMPUTED_VALUE"""),44108.0)</f>
        <v>44108</v>
      </c>
      <c r="D30" s="17">
        <f>IFERROR(__xludf.DUMMYFUNCTION("""COMPUTED_VALUE"""),40.0)</f>
        <v>40</v>
      </c>
      <c r="E30" s="17">
        <f>IFERROR(__xludf.DUMMYFUNCTION("""COMPUTED_VALUE"""),18484.0)</f>
        <v>18484</v>
      </c>
      <c r="F30" s="17">
        <f>IFERROR(__xludf.DUMMYFUNCTION("""COMPUTED_VALUE"""),2658.0)</f>
        <v>2658</v>
      </c>
      <c r="G30" s="20">
        <f>IFERROR(__xludf.DUMMYFUNCTION("""COMPUTED_VALUE"""),29.0)</f>
        <v>29</v>
      </c>
      <c r="H30" s="20">
        <f>IFERROR(__xludf.DUMMYFUNCTION("""COMPUTED_VALUE"""),22394.0)</f>
        <v>22394</v>
      </c>
      <c r="I30" s="20">
        <f>IFERROR(__xludf.DUMMYFUNCTION("""COMPUTED_VALUE"""),12688.2)</f>
        <v>12688.2</v>
      </c>
      <c r="J30" s="21">
        <f>IFERROR(__xludf.DUMMYFUNCTION("""COMPUTED_VALUE"""),5609.200000000001)</f>
        <v>5609.2</v>
      </c>
      <c r="K30" s="22">
        <f>IFERROR(__xludf.DUMMYFUNCTION("""COMPUTED_VALUE"""),2.0404995400815373)</f>
        <v>2.04049954</v>
      </c>
      <c r="L30" s="22">
        <f>IFERROR(__xludf.DUMMYFUNCTION("""COMPUTED_VALUE"""),4.306083529053935)</f>
        <v>4.306083529</v>
      </c>
      <c r="M30" s="22">
        <f>IFERROR(__xludf.DUMMYFUNCTION("""COMPUTED_VALUE"""),60.71445734611308)</f>
        <v>60.71445735</v>
      </c>
      <c r="N30" s="22">
        <f>IFERROR(__xludf.DUMMYFUNCTION("""COMPUTED_VALUE"""),182.20601491361043)</f>
        <v>182.2060149</v>
      </c>
      <c r="O30" s="22">
        <f t="shared" si="1"/>
        <v>2.265583989</v>
      </c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tr">
        <f>IFERROR(__xludf.DUMMYFUNCTION("""COMPUTED_VALUE"""),"Mexico")</f>
        <v>Mexico</v>
      </c>
      <c r="B31" s="18">
        <f>IFERROR(__xludf.DUMMYFUNCTION("""COMPUTED_VALUE"""),44109.0)</f>
        <v>44109</v>
      </c>
      <c r="C31" s="19">
        <f>IFERROR(__xludf.DUMMYFUNCTION("""COMPUTED_VALUE"""),44115.0)</f>
        <v>44115</v>
      </c>
      <c r="D31" s="17">
        <f>IFERROR(__xludf.DUMMYFUNCTION("""COMPUTED_VALUE"""),41.0)</f>
        <v>41</v>
      </c>
      <c r="E31" s="17">
        <f>IFERROR(__xludf.DUMMYFUNCTION("""COMPUTED_VALUE"""),18834.0)</f>
        <v>18834</v>
      </c>
      <c r="F31" s="17">
        <f>IFERROR(__xludf.DUMMYFUNCTION("""COMPUTED_VALUE"""),4693.0)</f>
        <v>4693</v>
      </c>
      <c r="G31" s="20">
        <f>IFERROR(__xludf.DUMMYFUNCTION("""COMPUTED_VALUE"""),30.0)</f>
        <v>30</v>
      </c>
      <c r="H31" s="20">
        <f>IFERROR(__xludf.DUMMYFUNCTION("""COMPUTED_VALUE"""),23227.0)</f>
        <v>23227</v>
      </c>
      <c r="I31" s="20">
        <f>IFERROR(__xludf.DUMMYFUNCTION("""COMPUTED_VALUE"""),12744.4)</f>
        <v>12744.4</v>
      </c>
      <c r="J31" s="21">
        <f>IFERROR(__xludf.DUMMYFUNCTION("""COMPUTED_VALUE"""),5974.200000000001)</f>
        <v>5974.2</v>
      </c>
      <c r="K31" s="22">
        <f>IFERROR(__xludf.DUMMYFUNCTION("""COMPUTED_VALUE"""),3.6027330103847452)</f>
        <v>3.60273301</v>
      </c>
      <c r="L31" s="22">
        <f>IFERROR(__xludf.DUMMYFUNCTION("""COMPUTED_VALUE"""),4.5862875667250265)</f>
        <v>4.586287567</v>
      </c>
      <c r="M31" s="22">
        <f>IFERROR(__xludf.DUMMYFUNCTION("""COMPUTED_VALUE"""),64.31719035649782)</f>
        <v>64.31719036</v>
      </c>
      <c r="N31" s="22">
        <f>IFERROR(__xludf.DUMMYFUNCTION("""COMPUTED_VALUE"""),186.79230248033545)</f>
        <v>186.7923025</v>
      </c>
      <c r="O31" s="22">
        <f t="shared" si="1"/>
        <v>0.9835545563</v>
      </c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tr">
        <f>IFERROR(__xludf.DUMMYFUNCTION("""COMPUTED_VALUE"""),"Mexico")</f>
        <v>Mexico</v>
      </c>
      <c r="B32" s="18">
        <f>IFERROR(__xludf.DUMMYFUNCTION("""COMPUTED_VALUE"""),44116.0)</f>
        <v>44116</v>
      </c>
      <c r="C32" s="19">
        <f>IFERROR(__xludf.DUMMYFUNCTION("""COMPUTED_VALUE"""),44122.0)</f>
        <v>44122</v>
      </c>
      <c r="D32" s="17">
        <f>IFERROR(__xludf.DUMMYFUNCTION("""COMPUTED_VALUE"""),42.0)</f>
        <v>42</v>
      </c>
      <c r="E32" s="17">
        <f>IFERROR(__xludf.DUMMYFUNCTION("""COMPUTED_VALUE"""),18815.0)</f>
        <v>18815</v>
      </c>
      <c r="F32" s="17">
        <f>IFERROR(__xludf.DUMMYFUNCTION("""COMPUTED_VALUE"""),2386.0)</f>
        <v>2386</v>
      </c>
      <c r="G32" s="20">
        <f>IFERROR(__xludf.DUMMYFUNCTION("""COMPUTED_VALUE"""),31.0)</f>
        <v>31</v>
      </c>
      <c r="H32" s="20">
        <f>IFERROR(__xludf.DUMMYFUNCTION("""COMPUTED_VALUE"""),24126.0)</f>
        <v>24126</v>
      </c>
      <c r="I32" s="20">
        <f>IFERROR(__xludf.DUMMYFUNCTION("""COMPUTED_VALUE"""),12819.8)</f>
        <v>12819.8</v>
      </c>
      <c r="J32" s="21">
        <f>IFERROR(__xludf.DUMMYFUNCTION("""COMPUTED_VALUE"""),5881.200000000001)</f>
        <v>5881.2</v>
      </c>
      <c r="K32" s="22">
        <f>IFERROR(__xludf.DUMMYFUNCTION("""COMPUTED_VALUE"""),1.8316899558444497)</f>
        <v>1.831689956</v>
      </c>
      <c r="L32" s="22">
        <f>IFERROR(__xludf.DUMMYFUNCTION("""COMPUTED_VALUE"""),4.514893113291023)</f>
        <v>4.514893113</v>
      </c>
      <c r="M32" s="22">
        <f>IFERROR(__xludf.DUMMYFUNCTION("""COMPUTED_VALUE"""),66.14888031234227)</f>
        <v>66.14888031</v>
      </c>
      <c r="N32" s="22">
        <f>IFERROR(__xludf.DUMMYFUNCTION("""COMPUTED_VALUE"""),191.30719559362646)</f>
        <v>191.3071956</v>
      </c>
      <c r="O32" s="22">
        <f t="shared" si="1"/>
        <v>2.683203157</v>
      </c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tr">
        <f>IFERROR(__xludf.DUMMYFUNCTION("""COMPUTED_VALUE"""),"Mexico")</f>
        <v>Mexico</v>
      </c>
      <c r="B33" s="18">
        <f>IFERROR(__xludf.DUMMYFUNCTION("""COMPUTED_VALUE"""),44123.0)</f>
        <v>44123</v>
      </c>
      <c r="C33" s="19">
        <f>IFERROR(__xludf.DUMMYFUNCTION("""COMPUTED_VALUE"""),44129.0)</f>
        <v>44129</v>
      </c>
      <c r="D33" s="17">
        <f>IFERROR(__xludf.DUMMYFUNCTION("""COMPUTED_VALUE"""),43.0)</f>
        <v>43</v>
      </c>
      <c r="E33" s="17">
        <f>IFERROR(__xludf.DUMMYFUNCTION("""COMPUTED_VALUE"""),19567.0)</f>
        <v>19567</v>
      </c>
      <c r="F33" s="17">
        <f>IFERROR(__xludf.DUMMYFUNCTION("""COMPUTED_VALUE"""),2757.0)</f>
        <v>2757</v>
      </c>
      <c r="G33" s="20">
        <f>IFERROR(__xludf.DUMMYFUNCTION("""COMPUTED_VALUE"""),32.0)</f>
        <v>32</v>
      </c>
      <c r="H33" s="20">
        <f>IFERROR(__xludf.DUMMYFUNCTION("""COMPUTED_VALUE"""),24620.0)</f>
        <v>24620</v>
      </c>
      <c r="I33" s="20">
        <f>IFERROR(__xludf.DUMMYFUNCTION("""COMPUTED_VALUE"""),12543.6)</f>
        <v>12543.6</v>
      </c>
      <c r="J33" s="21">
        <f>IFERROR(__xludf.DUMMYFUNCTION("""COMPUTED_VALUE"""),6569.200000000001)</f>
        <v>6569.2</v>
      </c>
      <c r="K33" s="22">
        <f>IFERROR(__xludf.DUMMYFUNCTION("""COMPUTED_VALUE"""),2.116500087285477)</f>
        <v>2.116500087</v>
      </c>
      <c r="L33" s="22">
        <f>IFERROR(__xludf.DUMMYFUNCTION("""COMPUTED_VALUE"""),5.043058532243656)</f>
        <v>5.043058532</v>
      </c>
      <c r="M33" s="22">
        <f>IFERROR(__xludf.DUMMYFUNCTION("""COMPUTED_VALUE"""),68.26538039962774)</f>
        <v>68.2653804</v>
      </c>
      <c r="N33" s="22">
        <f>IFERROR(__xludf.DUMMYFUNCTION("""COMPUTED_VALUE"""),196.35025412587012)</f>
        <v>196.3502541</v>
      </c>
      <c r="O33" s="22">
        <f t="shared" si="1"/>
        <v>2.926558445</v>
      </c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tr">
        <f>IFERROR(__xludf.DUMMYFUNCTION("""COMPUTED_VALUE"""),"Mexico")</f>
        <v>Mexico</v>
      </c>
      <c r="B34" s="18">
        <f>IFERROR(__xludf.DUMMYFUNCTION("""COMPUTED_VALUE"""),44130.0)</f>
        <v>44130</v>
      </c>
      <c r="C34" s="19">
        <f>IFERROR(__xludf.DUMMYFUNCTION("""COMPUTED_VALUE"""),44136.0)</f>
        <v>44136</v>
      </c>
      <c r="D34" s="17">
        <f>IFERROR(__xludf.DUMMYFUNCTION("""COMPUTED_VALUE"""),44.0)</f>
        <v>44</v>
      </c>
      <c r="E34" s="17">
        <f>IFERROR(__xludf.DUMMYFUNCTION("""COMPUTED_VALUE"""),20224.0)</f>
        <v>20224</v>
      </c>
      <c r="F34" s="17">
        <f>IFERROR(__xludf.DUMMYFUNCTION("""COMPUTED_VALUE"""),2971.0)</f>
        <v>2971</v>
      </c>
      <c r="G34" s="20">
        <f>IFERROR(__xludf.DUMMYFUNCTION("""COMPUTED_VALUE"""),33.0)</f>
        <v>33</v>
      </c>
      <c r="H34" s="20">
        <f>IFERROR(__xludf.DUMMYFUNCTION("""COMPUTED_VALUE"""),24726.0)</f>
        <v>24726</v>
      </c>
      <c r="I34" s="20">
        <f>IFERROR(__xludf.DUMMYFUNCTION("""COMPUTED_VALUE"""),12603.0)</f>
        <v>12603</v>
      </c>
      <c r="J34" s="21">
        <f>IFERROR(__xludf.DUMMYFUNCTION("""COMPUTED_VALUE"""),6992.6)</f>
        <v>6992.6</v>
      </c>
      <c r="K34" s="22">
        <f>IFERROR(__xludf.DUMMYFUNCTION("""COMPUTED_VALUE"""),2.2807840984131853)</f>
        <v>2.280784098</v>
      </c>
      <c r="L34" s="22">
        <f>IFERROR(__xludf.DUMMYFUNCTION("""COMPUTED_VALUE"""),5.3680952159421205)</f>
        <v>5.368095216</v>
      </c>
      <c r="M34" s="22">
        <f>IFERROR(__xludf.DUMMYFUNCTION("""COMPUTED_VALUE"""),70.54616449804092)</f>
        <v>70.5461645</v>
      </c>
      <c r="N34" s="22">
        <f>IFERROR(__xludf.DUMMYFUNCTION("""COMPUTED_VALUE"""),201.71834934181226)</f>
        <v>201.7183493</v>
      </c>
      <c r="O34" s="22">
        <f t="shared" si="1"/>
        <v>3.087311118</v>
      </c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tr">
        <f>IFERROR(__xludf.DUMMYFUNCTION("""COMPUTED_VALUE"""),"Mexico")</f>
        <v>Mexico</v>
      </c>
      <c r="B35" s="18">
        <f>IFERROR(__xludf.DUMMYFUNCTION("""COMPUTED_VALUE"""),44137.0)</f>
        <v>44137</v>
      </c>
      <c r="C35" s="19">
        <f>IFERROR(__xludf.DUMMYFUNCTION("""COMPUTED_VALUE"""),44143.0)</f>
        <v>44143</v>
      </c>
      <c r="D35" s="17">
        <f>IFERROR(__xludf.DUMMYFUNCTION("""COMPUTED_VALUE"""),45.0)</f>
        <v>45</v>
      </c>
      <c r="E35" s="17">
        <f>IFERROR(__xludf.DUMMYFUNCTION("""COMPUTED_VALUE"""),21326.0)</f>
        <v>21326</v>
      </c>
      <c r="F35" s="17">
        <f>IFERROR(__xludf.DUMMYFUNCTION("""COMPUTED_VALUE"""),3132.0)</f>
        <v>3132</v>
      </c>
      <c r="G35" s="20">
        <f>IFERROR(__xludf.DUMMYFUNCTION("""COMPUTED_VALUE"""),34.0)</f>
        <v>34</v>
      </c>
      <c r="H35" s="20">
        <f>IFERROR(__xludf.DUMMYFUNCTION("""COMPUTED_VALUE"""),23751.5)</f>
        <v>23751.5</v>
      </c>
      <c r="I35" s="20">
        <f>IFERROR(__xludf.DUMMYFUNCTION("""COMPUTED_VALUE"""),12428.6)</f>
        <v>12428.6</v>
      </c>
      <c r="J35" s="21">
        <f>IFERROR(__xludf.DUMMYFUNCTION("""COMPUTED_VALUE"""),8083.799999999999)</f>
        <v>8083.8</v>
      </c>
      <c r="K35" s="22">
        <f>IFERROR(__xludf.DUMMYFUNCTION("""COMPUTED_VALUE"""),2.404380947906461)</f>
        <v>2.404380948</v>
      </c>
      <c r="L35" s="22">
        <f>IFERROR(__xludf.DUMMYFUNCTION("""COMPUTED_VALUE"""),6.205790136234435)</f>
        <v>6.205790136</v>
      </c>
      <c r="M35" s="22">
        <f>IFERROR(__xludf.DUMMYFUNCTION("""COMPUTED_VALUE"""),72.95054544594738)</f>
        <v>72.95054545</v>
      </c>
      <c r="N35" s="22">
        <f>IFERROR(__xludf.DUMMYFUNCTION("""COMPUTED_VALUE"""),207.9241394780467)</f>
        <v>207.9241395</v>
      </c>
      <c r="O35" s="22">
        <f t="shared" si="1"/>
        <v>3.801409188</v>
      </c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tr">
        <f>IFERROR(__xludf.DUMMYFUNCTION("""COMPUTED_VALUE"""),"Mexico")</f>
        <v>Mexico</v>
      </c>
      <c r="B36" s="18">
        <f>IFERROR(__xludf.DUMMYFUNCTION("""COMPUTED_VALUE"""),44144.0)</f>
        <v>44144</v>
      </c>
      <c r="C36" s="19">
        <f>IFERROR(__xludf.DUMMYFUNCTION("""COMPUTED_VALUE"""),44150.0)</f>
        <v>44150</v>
      </c>
      <c r="D36" s="17">
        <f>IFERROR(__xludf.DUMMYFUNCTION("""COMPUTED_VALUE"""),46.0)</f>
        <v>46</v>
      </c>
      <c r="E36" s="17">
        <f>IFERROR(__xludf.DUMMYFUNCTION("""COMPUTED_VALUE"""),21619.0)</f>
        <v>21619</v>
      </c>
      <c r="F36" s="17">
        <f>IFERROR(__xludf.DUMMYFUNCTION("""COMPUTED_VALUE"""),3515.0)</f>
        <v>3515</v>
      </c>
      <c r="G36" s="20">
        <f>IFERROR(__xludf.DUMMYFUNCTION("""COMPUTED_VALUE"""),35.0)</f>
        <v>35</v>
      </c>
      <c r="H36" s="20">
        <f>IFERROR(__xludf.DUMMYFUNCTION("""COMPUTED_VALUE"""),22944.5)</f>
        <v>22944.5</v>
      </c>
      <c r="I36" s="20">
        <f>IFERROR(__xludf.DUMMYFUNCTION("""COMPUTED_VALUE"""),12364.6)</f>
        <v>12364.6</v>
      </c>
      <c r="J36" s="21">
        <f>IFERROR(__xludf.DUMMYFUNCTION("""COMPUTED_VALUE"""),8198.8)</f>
        <v>8198.8</v>
      </c>
      <c r="K36" s="22">
        <f>IFERROR(__xludf.DUMMYFUNCTION("""COMPUTED_VALUE"""),2.69840326688736)</f>
        <v>2.698403267</v>
      </c>
      <c r="L36" s="22">
        <f>IFERROR(__xludf.DUMMYFUNCTION("""COMPUTED_VALUE"""),6.294073600158203)</f>
        <v>6.2940736</v>
      </c>
      <c r="M36" s="22">
        <f>IFERROR(__xludf.DUMMYFUNCTION("""COMPUTED_VALUE"""),75.64894871283474)</f>
        <v>75.64894871</v>
      </c>
      <c r="N36" s="22">
        <f>IFERROR(__xludf.DUMMYFUNCTION("""COMPUTED_VALUE"""),214.2182130782049)</f>
        <v>214.2182131</v>
      </c>
      <c r="O36" s="22">
        <f t="shared" si="1"/>
        <v>3.595670333</v>
      </c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tr">
        <f>IFERROR(__xludf.DUMMYFUNCTION("""COMPUTED_VALUE"""),"Mexico")</f>
        <v>Mexico</v>
      </c>
      <c r="B37" s="18">
        <f>IFERROR(__xludf.DUMMYFUNCTION("""COMPUTED_VALUE"""),44151.0)</f>
        <v>44151</v>
      </c>
      <c r="C37" s="19">
        <f>IFERROR(__xludf.DUMMYFUNCTION("""COMPUTED_VALUE"""),44157.0)</f>
        <v>44157</v>
      </c>
      <c r="D37" s="17">
        <f>IFERROR(__xludf.DUMMYFUNCTION("""COMPUTED_VALUE"""),47.0)</f>
        <v>47</v>
      </c>
      <c r="E37" s="17">
        <f>IFERROR(__xludf.DUMMYFUNCTION("""COMPUTED_VALUE"""),22294.0)</f>
        <v>22294</v>
      </c>
      <c r="F37" s="17">
        <f>IFERROR(__xludf.DUMMYFUNCTION("""COMPUTED_VALUE"""),3134.0)</f>
        <v>3134</v>
      </c>
      <c r="G37" s="20">
        <f>IFERROR(__xludf.DUMMYFUNCTION("""COMPUTED_VALUE"""),36.0)</f>
        <v>36</v>
      </c>
      <c r="H37" s="20">
        <f>IFERROR(__xludf.DUMMYFUNCTION("""COMPUTED_VALUE"""),21589.0)</f>
        <v>21589</v>
      </c>
      <c r="I37" s="20">
        <f>IFERROR(__xludf.DUMMYFUNCTION("""COMPUTED_VALUE"""),12485.6)</f>
        <v>12485.6</v>
      </c>
      <c r="J37" s="21">
        <f>IFERROR(__xludf.DUMMYFUNCTION("""COMPUTED_VALUE"""),8334.2)</f>
        <v>8334.2</v>
      </c>
      <c r="K37" s="22">
        <f>IFERROR(__xludf.DUMMYFUNCTION("""COMPUTED_VALUE"""),2.40591631249644)</f>
        <v>2.405916312</v>
      </c>
      <c r="L37" s="22">
        <f>IFERROR(__xludf.DUMMYFUNCTION("""COMPUTED_VALUE"""),6.398017782899755)</f>
        <v>6.398017783</v>
      </c>
      <c r="M37" s="22">
        <f>IFERROR(__xludf.DUMMYFUNCTION("""COMPUTED_VALUE"""),78.05486502533118)</f>
        <v>78.05486503</v>
      </c>
      <c r="N37" s="22">
        <f>IFERROR(__xludf.DUMMYFUNCTION("""COMPUTED_VALUE"""),220.61623086110467)</f>
        <v>220.6162309</v>
      </c>
      <c r="O37" s="22">
        <f t="shared" si="1"/>
        <v>3.99210147</v>
      </c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tr">
        <f>IFERROR(__xludf.DUMMYFUNCTION("""COMPUTED_VALUE"""),"Mexico")</f>
        <v>Mexico</v>
      </c>
      <c r="B38" s="18">
        <f>IFERROR(__xludf.DUMMYFUNCTION("""COMPUTED_VALUE"""),44158.0)</f>
        <v>44158</v>
      </c>
      <c r="C38" s="19">
        <f>IFERROR(__xludf.DUMMYFUNCTION("""COMPUTED_VALUE"""),44164.0)</f>
        <v>44164</v>
      </c>
      <c r="D38" s="17">
        <f>IFERROR(__xludf.DUMMYFUNCTION("""COMPUTED_VALUE"""),48.0)</f>
        <v>48</v>
      </c>
      <c r="E38" s="17">
        <f>IFERROR(__xludf.DUMMYFUNCTION("""COMPUTED_VALUE"""),22534.0)</f>
        <v>22534</v>
      </c>
      <c r="F38" s="17">
        <f>IFERROR(__xludf.DUMMYFUNCTION("""COMPUTED_VALUE"""),3979.0)</f>
        <v>3979</v>
      </c>
      <c r="G38" s="20">
        <f>IFERROR(__xludf.DUMMYFUNCTION("""COMPUTED_VALUE"""),37.0)</f>
        <v>37</v>
      </c>
      <c r="H38" s="20">
        <f>IFERROR(__xludf.DUMMYFUNCTION("""COMPUTED_VALUE"""),20498.0)</f>
        <v>20498</v>
      </c>
      <c r="I38" s="20">
        <f>IFERROR(__xludf.DUMMYFUNCTION("""COMPUTED_VALUE"""),12672.2)</f>
        <v>12672.2</v>
      </c>
      <c r="J38" s="21">
        <f>IFERROR(__xludf.DUMMYFUNCTION("""COMPUTED_VALUE"""),8744.4)</f>
        <v>8744.4</v>
      </c>
      <c r="K38" s="22">
        <f>IFERROR(__xludf.DUMMYFUNCTION("""COMPUTED_VALUE"""),3.054607851762391)</f>
        <v>3.054607852</v>
      </c>
      <c r="L38" s="22">
        <f>IFERROR(__xludf.DUMMYFUNCTION("""COMPUTED_VALUE"""),6.712921060304362)</f>
        <v>6.71292106</v>
      </c>
      <c r="M38" s="22">
        <f>IFERROR(__xludf.DUMMYFUNCTION("""COMPUTED_VALUE"""),81.10947287709357)</f>
        <v>81.10947288</v>
      </c>
      <c r="N38" s="22">
        <f>IFERROR(__xludf.DUMMYFUNCTION("""COMPUTED_VALUE"""),227.32915192140902)</f>
        <v>227.3291519</v>
      </c>
      <c r="O38" s="22">
        <f t="shared" si="1"/>
        <v>3.658313209</v>
      </c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tr">
        <f>IFERROR(__xludf.DUMMYFUNCTION("""COMPUTED_VALUE"""),"Mexico")</f>
        <v>Mexico</v>
      </c>
      <c r="B39" s="18">
        <f>IFERROR(__xludf.DUMMYFUNCTION("""COMPUTED_VALUE"""),44165.0)</f>
        <v>44165</v>
      </c>
      <c r="C39" s="19">
        <f>IFERROR(__xludf.DUMMYFUNCTION("""COMPUTED_VALUE"""),44171.0)</f>
        <v>44171</v>
      </c>
      <c r="D39" s="17">
        <f>IFERROR(__xludf.DUMMYFUNCTION("""COMPUTED_VALUE"""),49.0)</f>
        <v>49</v>
      </c>
      <c r="E39" s="17">
        <f>IFERROR(__xludf.DUMMYFUNCTION("""COMPUTED_VALUE"""),23495.0)</f>
        <v>23495</v>
      </c>
      <c r="F39" s="17">
        <f>IFERROR(__xludf.DUMMYFUNCTION("""COMPUTED_VALUE"""),4062.0)</f>
        <v>4062</v>
      </c>
      <c r="G39" s="20">
        <f>IFERROR(__xludf.DUMMYFUNCTION("""COMPUTED_VALUE"""),38.0)</f>
        <v>38</v>
      </c>
      <c r="H39" s="20">
        <f>IFERROR(__xludf.DUMMYFUNCTION("""COMPUTED_VALUE"""),19196.0)</f>
        <v>19196</v>
      </c>
      <c r="I39" s="20">
        <f>IFERROR(__xludf.DUMMYFUNCTION("""COMPUTED_VALUE"""),12831.2)</f>
        <v>12831.2</v>
      </c>
      <c r="J39" s="21">
        <f>IFERROR(__xludf.DUMMYFUNCTION("""COMPUTED_VALUE"""),9610.4)</f>
        <v>9610.4</v>
      </c>
      <c r="K39" s="22">
        <f>IFERROR(__xludf.DUMMYFUNCTION("""COMPUTED_VALUE"""),3.1183254822465023)</f>
        <v>3.118325482</v>
      </c>
      <c r="L39" s="22">
        <f>IFERROR(__xludf.DUMMYFUNCTION("""COMPUTED_VALUE"""),7.377733927765088)</f>
        <v>7.377733928</v>
      </c>
      <c r="M39" s="22">
        <f>IFERROR(__xludf.DUMMYFUNCTION("""COMPUTED_VALUE"""),84.22779835934007)</f>
        <v>84.22779836</v>
      </c>
      <c r="N39" s="22">
        <f>IFERROR(__xludf.DUMMYFUNCTION("""COMPUTED_VALUE"""),234.7068858491741)</f>
        <v>234.7068858</v>
      </c>
      <c r="O39" s="22">
        <f t="shared" si="1"/>
        <v>4.259408446</v>
      </c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tr">
        <f>IFERROR(__xludf.DUMMYFUNCTION("""COMPUTED_VALUE"""),"Mexico")</f>
        <v>Mexico</v>
      </c>
      <c r="B40" s="18">
        <f>IFERROR(__xludf.DUMMYFUNCTION("""COMPUTED_VALUE"""),44172.0)</f>
        <v>44172</v>
      </c>
      <c r="C40" s="19">
        <f>IFERROR(__xludf.DUMMYFUNCTION("""COMPUTED_VALUE"""),44178.0)</f>
        <v>44178</v>
      </c>
      <c r="D40" s="17">
        <f>IFERROR(__xludf.DUMMYFUNCTION("""COMPUTED_VALUE"""),50.0)</f>
        <v>50</v>
      </c>
      <c r="E40" s="17">
        <f>IFERROR(__xludf.DUMMYFUNCTION("""COMPUTED_VALUE"""),25342.0)</f>
        <v>25342</v>
      </c>
      <c r="F40" s="17">
        <f>IFERROR(__xludf.DUMMYFUNCTION("""COMPUTED_VALUE"""),4236.0)</f>
        <v>4236</v>
      </c>
      <c r="G40" s="20">
        <f>IFERROR(__xludf.DUMMYFUNCTION("""COMPUTED_VALUE"""),39.0)</f>
        <v>39</v>
      </c>
      <c r="H40" s="20">
        <f>IFERROR(__xludf.DUMMYFUNCTION("""COMPUTED_VALUE"""),18325.5)</f>
        <v>18325.5</v>
      </c>
      <c r="I40" s="20">
        <f>IFERROR(__xludf.DUMMYFUNCTION("""COMPUTED_VALUE"""),12558.4)</f>
        <v>12558.4</v>
      </c>
      <c r="J40" s="21">
        <f>IFERROR(__xludf.DUMMYFUNCTION("""COMPUTED_VALUE"""),10802.2)</f>
        <v>10802.2</v>
      </c>
      <c r="K40" s="22">
        <f>IFERROR(__xludf.DUMMYFUNCTION("""COMPUTED_VALUE"""),3.2519022015746395)</f>
        <v>3.251902202</v>
      </c>
      <c r="L40" s="22">
        <f>IFERROR(__xludf.DUMMYFUNCTION("""COMPUTED_VALUE"""),8.292657686933326)</f>
        <v>8.292657687</v>
      </c>
      <c r="M40" s="22">
        <f>IFERROR(__xludf.DUMMYFUNCTION("""COMPUTED_VALUE"""),87.47970056091471)</f>
        <v>87.47970056</v>
      </c>
      <c r="N40" s="22">
        <f>IFERROR(__xludf.DUMMYFUNCTION("""COMPUTED_VALUE"""),242.99954353610744)</f>
        <v>242.9995435</v>
      </c>
      <c r="O40" s="22">
        <f t="shared" si="1"/>
        <v>5.040755485</v>
      </c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tr">
        <f>IFERROR(__xludf.DUMMYFUNCTION("""COMPUTED_VALUE"""),"Mexico")</f>
        <v>Mexico</v>
      </c>
      <c r="B41" s="18">
        <f>IFERROR(__xludf.DUMMYFUNCTION("""COMPUTED_VALUE"""),44179.0)</f>
        <v>44179</v>
      </c>
      <c r="C41" s="19">
        <f>IFERROR(__xludf.DUMMYFUNCTION("""COMPUTED_VALUE"""),44185.0)</f>
        <v>44185</v>
      </c>
      <c r="D41" s="17">
        <f>IFERROR(__xludf.DUMMYFUNCTION("""COMPUTED_VALUE"""),51.0)</f>
        <v>51</v>
      </c>
      <c r="E41" s="17">
        <f>IFERROR(__xludf.DUMMYFUNCTION("""COMPUTED_VALUE"""),26560.0)</f>
        <v>26560</v>
      </c>
      <c r="F41" s="17">
        <f>IFERROR(__xludf.DUMMYFUNCTION("""COMPUTED_VALUE"""),4249.0)</f>
        <v>4249</v>
      </c>
      <c r="G41" s="20">
        <f>IFERROR(__xludf.DUMMYFUNCTION("""COMPUTED_VALUE"""),40.0)</f>
        <v>40</v>
      </c>
      <c r="H41" s="20">
        <f>IFERROR(__xludf.DUMMYFUNCTION("""COMPUTED_VALUE"""),17028.0)</f>
        <v>17028</v>
      </c>
      <c r="I41" s="20">
        <f>IFERROR(__xludf.DUMMYFUNCTION("""COMPUTED_VALUE"""),12874.8)</f>
        <v>12874.8</v>
      </c>
      <c r="J41" s="21">
        <f>IFERROR(__xludf.DUMMYFUNCTION("""COMPUTED_VALUE"""),11986.4)</f>
        <v>11986.4</v>
      </c>
      <c r="K41" s="22">
        <f>IFERROR(__xludf.DUMMYFUNCTION("""COMPUTED_VALUE"""),3.2618820714094996)</f>
        <v>3.261882071</v>
      </c>
      <c r="L41" s="22">
        <f>IFERROR(__xludf.DUMMYFUNCTION("""COMPUTED_VALUE"""),9.201747060659644)</f>
        <v>9.201747061</v>
      </c>
      <c r="M41" s="22">
        <f>IFERROR(__xludf.DUMMYFUNCTION("""COMPUTED_VALUE"""),90.74158263232421)</f>
        <v>90.74158263</v>
      </c>
      <c r="N41" s="22">
        <f>IFERROR(__xludf.DUMMYFUNCTION("""COMPUTED_VALUE"""),252.20129059676708)</f>
        <v>252.2012906</v>
      </c>
      <c r="O41" s="22">
        <f t="shared" si="1"/>
        <v>5.939864989</v>
      </c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tr">
        <f>IFERROR(__xludf.DUMMYFUNCTION("""COMPUTED_VALUE"""),"Mexico")</f>
        <v>Mexico</v>
      </c>
      <c r="B42" s="18">
        <f>IFERROR(__xludf.DUMMYFUNCTION("""COMPUTED_VALUE"""),44186.0)</f>
        <v>44186</v>
      </c>
      <c r="C42" s="19">
        <f>IFERROR(__xludf.DUMMYFUNCTION("""COMPUTED_VALUE"""),44192.0)</f>
        <v>44192</v>
      </c>
      <c r="D42" s="17">
        <f>IFERROR(__xludf.DUMMYFUNCTION("""COMPUTED_VALUE"""),52.0)</f>
        <v>52</v>
      </c>
      <c r="E42" s="17">
        <f>IFERROR(__xludf.DUMMYFUNCTION("""COMPUTED_VALUE"""),29609.0)</f>
        <v>29609</v>
      </c>
      <c r="F42" s="17">
        <f>IFERROR(__xludf.DUMMYFUNCTION("""COMPUTED_VALUE"""),4224.0)</f>
        <v>4224</v>
      </c>
      <c r="G42" s="20">
        <f>IFERROR(__xludf.DUMMYFUNCTION("""COMPUTED_VALUE"""),41.0)</f>
        <v>41</v>
      </c>
      <c r="H42" s="20">
        <f>IFERROR(__xludf.DUMMYFUNCTION("""COMPUTED_VALUE"""),18834.0)</f>
        <v>18834</v>
      </c>
      <c r="I42" s="20">
        <f>IFERROR(__xludf.DUMMYFUNCTION("""COMPUTED_VALUE"""),12859.8)</f>
        <v>12859.8</v>
      </c>
      <c r="J42" s="21">
        <f>IFERROR(__xludf.DUMMYFUNCTION("""COMPUTED_VALUE"""),14179.0)</f>
        <v>14179</v>
      </c>
      <c r="K42" s="22">
        <f>IFERROR(__xludf.DUMMYFUNCTION("""COMPUTED_VALUE"""),3.242690014034768)</f>
        <v>3.242690014</v>
      </c>
      <c r="L42" s="22">
        <f>IFERROR(__xludf.DUMMYFUNCTION("""COMPUTED_VALUE"""),10.884967260653166)</f>
        <v>10.88496726</v>
      </c>
      <c r="M42" s="22">
        <f>IFERROR(__xludf.DUMMYFUNCTION("""COMPUTED_VALUE"""),93.98427264635897)</f>
        <v>93.98427265</v>
      </c>
      <c r="N42" s="22">
        <f>IFERROR(__xludf.DUMMYFUNCTION("""COMPUTED_VALUE"""),263.08625785742026)</f>
        <v>263.0862579</v>
      </c>
      <c r="O42" s="22">
        <f t="shared" si="1"/>
        <v>7.642277247</v>
      </c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tr">
        <f>IFERROR(__xludf.DUMMYFUNCTION("""COMPUTED_VALUE"""),"Mexico")</f>
        <v>Mexico</v>
      </c>
      <c r="B43" s="18">
        <f>IFERROR(__xludf.DUMMYFUNCTION("""COMPUTED_VALUE"""),44193.0)</f>
        <v>44193</v>
      </c>
      <c r="C43" s="19">
        <f>IFERROR(__xludf.DUMMYFUNCTION("""COMPUTED_VALUE"""),44199.0)</f>
        <v>44199</v>
      </c>
      <c r="D43" s="17">
        <f>IFERROR(__xludf.DUMMYFUNCTION("""COMPUTED_VALUE"""),53.0)</f>
        <v>53</v>
      </c>
      <c r="E43" s="17">
        <f>IFERROR(__xludf.DUMMYFUNCTION("""COMPUTED_VALUE"""),32637.0)</f>
        <v>32637</v>
      </c>
      <c r="F43" s="17">
        <f>IFERROR(__xludf.DUMMYFUNCTION("""COMPUTED_VALUE"""),4787.0)</f>
        <v>4787</v>
      </c>
      <c r="G43" s="20">
        <f>IFERROR(__xludf.DUMMYFUNCTION("""COMPUTED_VALUE"""),42.0)</f>
        <v>42</v>
      </c>
      <c r="H43" s="20">
        <f>IFERROR(__xludf.DUMMYFUNCTION("""COMPUTED_VALUE"""),18815.0)</f>
        <v>18815</v>
      </c>
      <c r="I43" s="20">
        <f>IFERROR(__xludf.DUMMYFUNCTION("""COMPUTED_VALUE"""),12933.8)</f>
        <v>12933.8</v>
      </c>
      <c r="J43" s="21">
        <f>IFERROR(__xludf.DUMMYFUNCTION("""COMPUTED_VALUE"""),18467.0)</f>
        <v>18467</v>
      </c>
      <c r="K43" s="22">
        <f>IFERROR(__xludf.DUMMYFUNCTION("""COMPUTED_VALUE"""),3.674895146113739)</f>
        <v>3.674895146</v>
      </c>
      <c r="L43" s="22">
        <f>IFERROR(__xludf.DUMMYFUNCTION("""COMPUTED_VALUE"""),14.17678894156725)</f>
        <v>14.17678894</v>
      </c>
      <c r="M43" s="22">
        <f>IFERROR(__xludf.DUMMYFUNCTION("""COMPUTED_VALUE"""),97.65916779247272)</f>
        <v>97.65916779</v>
      </c>
      <c r="N43" s="22">
        <f>IFERROR(__xludf.DUMMYFUNCTION("""COMPUTED_VALUE"""),277.2630467989875)</f>
        <v>277.2630468</v>
      </c>
      <c r="O43" s="22">
        <f t="shared" si="1"/>
        <v>10.5018938</v>
      </c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tr">
        <f>IFERROR(__xludf.DUMMYFUNCTION("""COMPUTED_VALUE"""),"Mexico")</f>
        <v>Mexico</v>
      </c>
      <c r="B44" s="18">
        <f>IFERROR(__xludf.DUMMYFUNCTION("""COMPUTED_VALUE"""),44200.0)</f>
        <v>44200</v>
      </c>
      <c r="C44" s="19">
        <f>IFERROR(__xludf.DUMMYFUNCTION("""COMPUTED_VALUE"""),44206.0)</f>
        <v>44206</v>
      </c>
      <c r="D44" s="17">
        <f>IFERROR(__xludf.DUMMYFUNCTION("""COMPUTED_VALUE"""),1.0)</f>
        <v>1</v>
      </c>
      <c r="E44" s="17">
        <f>IFERROR(__xludf.DUMMYFUNCTION("""COMPUTED_VALUE"""),36287.0)</f>
        <v>36287</v>
      </c>
      <c r="F44" s="17">
        <f>IFERROR(__xludf.DUMMYFUNCTION("""COMPUTED_VALUE"""),6493.0)</f>
        <v>6493</v>
      </c>
      <c r="G44" s="20">
        <f>IFERROR(__xludf.DUMMYFUNCTION("""COMPUTED_VALUE"""),43.0)</f>
        <v>43</v>
      </c>
      <c r="H44" s="20">
        <f>IFERROR(__xludf.DUMMYFUNCTION("""COMPUTED_VALUE"""),19567.0)</f>
        <v>19567</v>
      </c>
      <c r="I44" s="20">
        <f>IFERROR(__xludf.DUMMYFUNCTION("""COMPUTED_VALUE"""),12997.8)</f>
        <v>12997.8</v>
      </c>
      <c r="J44" s="21">
        <f>IFERROR(__xludf.DUMMYFUNCTION("""COMPUTED_VALUE"""),20508.0)</f>
        <v>20508</v>
      </c>
      <c r="K44" s="22">
        <f>IFERROR(__xludf.DUMMYFUNCTION("""COMPUTED_VALUE"""),4.984561141365471)</f>
        <v>4.984561141</v>
      </c>
      <c r="L44" s="22">
        <f>IFERROR(__xludf.DUMMYFUNCTION("""COMPUTED_VALUE"""),15.743628505640391)</f>
        <v>15.74362851</v>
      </c>
      <c r="M44" s="22">
        <f>IFERROR(__xludf.DUMMYFUNCTION("""COMPUTED_VALUE"""),102.64372893383819)</f>
        <v>102.6437289</v>
      </c>
      <c r="N44" s="22">
        <f>IFERROR(__xludf.DUMMYFUNCTION("""COMPUTED_VALUE"""),293.0066753046279)</f>
        <v>293.0066753</v>
      </c>
      <c r="O44" s="22">
        <f t="shared" si="1"/>
        <v>10.75906736</v>
      </c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tr">
        <f>IFERROR(__xludf.DUMMYFUNCTION("""COMPUTED_VALUE"""),"Mexico")</f>
        <v>Mexico</v>
      </c>
      <c r="B45" s="18">
        <f>IFERROR(__xludf.DUMMYFUNCTION("""COMPUTED_VALUE"""),44207.0)</f>
        <v>44207</v>
      </c>
      <c r="C45" s="19">
        <f>IFERROR(__xludf.DUMMYFUNCTION("""COMPUTED_VALUE"""),44213.0)</f>
        <v>44213</v>
      </c>
      <c r="D45" s="17">
        <f>IFERROR(__xludf.DUMMYFUNCTION("""COMPUTED_VALUE"""),2.0)</f>
        <v>2</v>
      </c>
      <c r="E45" s="17">
        <f>IFERROR(__xludf.DUMMYFUNCTION("""COMPUTED_VALUE"""),43427.0)</f>
        <v>43427</v>
      </c>
      <c r="F45" s="17">
        <f>IFERROR(__xludf.DUMMYFUNCTION("""COMPUTED_VALUE"""),6998.0)</f>
        <v>6998</v>
      </c>
      <c r="G45" s="20">
        <f>IFERROR(__xludf.DUMMYFUNCTION("""COMPUTED_VALUE"""),44.0)</f>
        <v>44</v>
      </c>
      <c r="H45" s="20">
        <f>IFERROR(__xludf.DUMMYFUNCTION("""COMPUTED_VALUE"""),20224.0)</f>
        <v>20224</v>
      </c>
      <c r="I45" s="20">
        <f>IFERROR(__xludf.DUMMYFUNCTION("""COMPUTED_VALUE"""),13231.4)</f>
        <v>13231.4</v>
      </c>
      <c r="J45" s="21">
        <f>IFERROR(__xludf.DUMMYFUNCTION("""COMPUTED_VALUE"""),27747.0)</f>
        <v>27747</v>
      </c>
      <c r="K45" s="22">
        <f>IFERROR(__xludf.DUMMYFUNCTION("""COMPUTED_VALUE"""),5.3722407003350625)</f>
        <v>5.3722407</v>
      </c>
      <c r="L45" s="22">
        <f>IFERROR(__xludf.DUMMYFUNCTION("""COMPUTED_VALUE"""),21.300880639067874)</f>
        <v>21.30088064</v>
      </c>
      <c r="M45" s="22">
        <f>IFERROR(__xludf.DUMMYFUNCTION("""COMPUTED_VALUE"""),108.01596963417325)</f>
        <v>108.0159696</v>
      </c>
      <c r="N45" s="22">
        <f>IFERROR(__xludf.DUMMYFUNCTION("""COMPUTED_VALUE"""),314.3075559436958)</f>
        <v>314.3075559</v>
      </c>
      <c r="O45" s="22">
        <f t="shared" si="1"/>
        <v>15.92863994</v>
      </c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tr">
        <f>IFERROR(__xludf.DUMMYFUNCTION("""COMPUTED_VALUE"""),"Mexico")</f>
        <v>Mexico</v>
      </c>
      <c r="B46" s="18">
        <f>IFERROR(__xludf.DUMMYFUNCTION("""COMPUTED_VALUE"""),44214.0)</f>
        <v>44214</v>
      </c>
      <c r="C46" s="19">
        <f>IFERROR(__xludf.DUMMYFUNCTION("""COMPUTED_VALUE"""),44220.0)</f>
        <v>44220</v>
      </c>
      <c r="D46" s="17">
        <f>IFERROR(__xludf.DUMMYFUNCTION("""COMPUTED_VALUE"""),3.0)</f>
        <v>3</v>
      </c>
      <c r="E46" s="17">
        <f>IFERROR(__xludf.DUMMYFUNCTION("""COMPUTED_VALUE"""),44667.0)</f>
        <v>44667</v>
      </c>
      <c r="F46" s="17">
        <f>IFERROR(__xludf.DUMMYFUNCTION("""COMPUTED_VALUE"""),8910.0)</f>
        <v>8910</v>
      </c>
      <c r="G46" s="20">
        <f>IFERROR(__xludf.DUMMYFUNCTION("""COMPUTED_VALUE"""),45.0)</f>
        <v>45</v>
      </c>
      <c r="H46" s="20">
        <f>IFERROR(__xludf.DUMMYFUNCTION("""COMPUTED_VALUE"""),21326.0)</f>
        <v>21326</v>
      </c>
      <c r="I46" s="20">
        <f>IFERROR(__xludf.DUMMYFUNCTION("""COMPUTED_VALUE"""),13242.2)</f>
        <v>13242.2</v>
      </c>
      <c r="J46" s="21">
        <f>IFERROR(__xludf.DUMMYFUNCTION("""COMPUTED_VALUE"""),29212.833333333336)</f>
        <v>29212.83333</v>
      </c>
      <c r="K46" s="22">
        <f>IFERROR(__xludf.DUMMYFUNCTION("""COMPUTED_VALUE"""),6.840049248354588)</f>
        <v>6.840049248</v>
      </c>
      <c r="L46" s="22">
        <f>IFERROR(__xludf.DUMMYFUNCTION("""COMPUTED_VALUE"""),22.42617493647301)</f>
        <v>22.42617494</v>
      </c>
      <c r="M46" s="22">
        <f>IFERROR(__xludf.DUMMYFUNCTION("""COMPUTED_VALUE"""),114.85601888252783)</f>
        <v>114.8560189</v>
      </c>
      <c r="N46" s="22">
        <f>IFERROR(__xludf.DUMMYFUNCTION("""COMPUTED_VALUE"""),336.73373088016876)</f>
        <v>336.7337309</v>
      </c>
      <c r="O46" s="22">
        <f t="shared" si="1"/>
        <v>15.58612569</v>
      </c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tr">
        <f>IFERROR(__xludf.DUMMYFUNCTION("""COMPUTED_VALUE"""),"Mexico")</f>
        <v>Mexico</v>
      </c>
      <c r="B47" s="18">
        <f>IFERROR(__xludf.DUMMYFUNCTION("""COMPUTED_VALUE"""),44221.0)</f>
        <v>44221</v>
      </c>
      <c r="C47" s="19">
        <f>IFERROR(__xludf.DUMMYFUNCTION("""COMPUTED_VALUE"""),44227.0)</f>
        <v>44227</v>
      </c>
      <c r="D47" s="17">
        <f>IFERROR(__xludf.DUMMYFUNCTION("""COMPUTED_VALUE"""),4.0)</f>
        <v>4</v>
      </c>
      <c r="E47" s="17">
        <f>IFERROR(__xludf.DUMMYFUNCTION("""COMPUTED_VALUE"""),36617.0)</f>
        <v>36617</v>
      </c>
      <c r="F47" s="17">
        <f>IFERROR(__xludf.DUMMYFUNCTION("""COMPUTED_VALUE"""),8922.0)</f>
        <v>8922</v>
      </c>
      <c r="G47" s="20">
        <f>IFERROR(__xludf.DUMMYFUNCTION("""COMPUTED_VALUE"""),46.0)</f>
        <v>46</v>
      </c>
      <c r="H47" s="20">
        <f>IFERROR(__xludf.DUMMYFUNCTION("""COMPUTED_VALUE"""),21619.0)</f>
        <v>21619</v>
      </c>
      <c r="I47" s="20">
        <f>IFERROR(__xludf.DUMMYFUNCTION("""COMPUTED_VALUE"""),13420.2)</f>
        <v>13420.2</v>
      </c>
      <c r="J47" s="21">
        <f>IFERROR(__xludf.DUMMYFUNCTION("""COMPUTED_VALUE"""),21500.666666666664)</f>
        <v>21500.66667</v>
      </c>
      <c r="K47" s="22">
        <f>IFERROR(__xludf.DUMMYFUNCTION("""COMPUTED_VALUE"""),6.8492614358944595)</f>
        <v>6.849261436</v>
      </c>
      <c r="L47" s="22">
        <f>IFERROR(__xludf.DUMMYFUNCTION("""COMPUTED_VALUE"""),16.505681130466428)</f>
        <v>16.50568113</v>
      </c>
      <c r="M47" s="22">
        <f>IFERROR(__xludf.DUMMYFUNCTION("""COMPUTED_VALUE"""),121.7052803184223)</f>
        <v>121.7052803</v>
      </c>
      <c r="N47" s="22">
        <f>IFERROR(__xludf.DUMMYFUNCTION("""COMPUTED_VALUE"""),353.2394120106352)</f>
        <v>353.239412</v>
      </c>
      <c r="O47" s="22">
        <f t="shared" si="1"/>
        <v>9.656419695</v>
      </c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tr">
        <f>IFERROR(__xludf.DUMMYFUNCTION("""COMPUTED_VALUE"""),"Mexico")</f>
        <v>Mexico</v>
      </c>
      <c r="B48" s="18">
        <f>IFERROR(__xludf.DUMMYFUNCTION("""COMPUTED_VALUE"""),44228.0)</f>
        <v>44228</v>
      </c>
      <c r="C48" s="19">
        <f>IFERROR(__xludf.DUMMYFUNCTION("""COMPUTED_VALUE"""),44234.0)</f>
        <v>44234</v>
      </c>
      <c r="D48" s="17">
        <f>IFERROR(__xludf.DUMMYFUNCTION("""COMPUTED_VALUE"""),5.0)</f>
        <v>5</v>
      </c>
      <c r="E48" s="17">
        <f>IFERROR(__xludf.DUMMYFUNCTION("""COMPUTED_VALUE"""),31825.0)</f>
        <v>31825</v>
      </c>
      <c r="F48" s="17">
        <f>IFERROR(__xludf.DUMMYFUNCTION("""COMPUTED_VALUE"""),7664.0)</f>
        <v>7664</v>
      </c>
      <c r="G48" s="20">
        <f>IFERROR(__xludf.DUMMYFUNCTION("""COMPUTED_VALUE"""),47.0)</f>
        <v>47</v>
      </c>
      <c r="H48" s="20">
        <f>IFERROR(__xludf.DUMMYFUNCTION("""COMPUTED_VALUE"""),22294.0)</f>
        <v>22294</v>
      </c>
      <c r="I48" s="20">
        <f>IFERROR(__xludf.DUMMYFUNCTION("""COMPUTED_VALUE"""),13959.8)</f>
        <v>13959.8</v>
      </c>
      <c r="J48" s="21">
        <f>IFERROR(__xludf.DUMMYFUNCTION("""COMPUTED_VALUE"""),16811.5)</f>
        <v>16811.5</v>
      </c>
      <c r="K48" s="22">
        <f>IFERROR(__xludf.DUMMYFUNCTION("""COMPUTED_VALUE"""),5.883517108797931)</f>
        <v>5.883517109</v>
      </c>
      <c r="L48" s="22">
        <f>IFERROR(__xludf.DUMMYFUNCTION("""COMPUTED_VALUE"""),12.905890902212475)</f>
        <v>12.9058909</v>
      </c>
      <c r="M48" s="22">
        <f>IFERROR(__xludf.DUMMYFUNCTION("""COMPUTED_VALUE"""),127.58879742722023)</f>
        <v>127.5887974</v>
      </c>
      <c r="N48" s="22">
        <f>IFERROR(__xludf.DUMMYFUNCTION("""COMPUTED_VALUE"""),366.1453029128477)</f>
        <v>366.1453029</v>
      </c>
      <c r="O48" s="22">
        <f t="shared" si="1"/>
        <v>7.022373793</v>
      </c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tr">
        <f>IFERROR(__xludf.DUMMYFUNCTION("""COMPUTED_VALUE"""),"Mexico")</f>
        <v>Mexico</v>
      </c>
      <c r="B49" s="18">
        <f>IFERROR(__xludf.DUMMYFUNCTION("""COMPUTED_VALUE"""),44235.0)</f>
        <v>44235</v>
      </c>
      <c r="C49" s="19">
        <f>IFERROR(__xludf.DUMMYFUNCTION("""COMPUTED_VALUE"""),44241.0)</f>
        <v>44241</v>
      </c>
      <c r="D49" s="17">
        <f>IFERROR(__xludf.DUMMYFUNCTION("""COMPUTED_VALUE"""),6.0)</f>
        <v>6</v>
      </c>
      <c r="E49" s="17">
        <f>IFERROR(__xludf.DUMMYFUNCTION("""COMPUTED_VALUE"""),26858.0)</f>
        <v>26858</v>
      </c>
      <c r="F49" s="17">
        <f>IFERROR(__xludf.DUMMYFUNCTION("""COMPUTED_VALUE"""),8007.0)</f>
        <v>8007</v>
      </c>
      <c r="G49" s="20">
        <f>IFERROR(__xludf.DUMMYFUNCTION("""COMPUTED_VALUE"""),48.0)</f>
        <v>48</v>
      </c>
      <c r="H49" s="20">
        <f>IFERROR(__xludf.DUMMYFUNCTION("""COMPUTED_VALUE"""),22534.0)</f>
        <v>22534</v>
      </c>
      <c r="I49" s="20">
        <f>IFERROR(__xludf.DUMMYFUNCTION("""COMPUTED_VALUE"""),13789.6)</f>
        <v>13789.6</v>
      </c>
      <c r="J49" s="21">
        <f>IFERROR(__xludf.DUMMYFUNCTION("""COMPUTED_VALUE"""),11751.166666666666)</f>
        <v>11751.16667</v>
      </c>
      <c r="K49" s="22">
        <f>IFERROR(__xludf.DUMMYFUNCTION("""COMPUTED_VALUE"""),6.146832135979258)</f>
        <v>6.146832136</v>
      </c>
      <c r="L49" s="22">
        <f>IFERROR(__xludf.DUMMYFUNCTION("""COMPUTED_VALUE"""),9.021162595468331)</f>
        <v>9.021162595</v>
      </c>
      <c r="M49" s="22">
        <f>IFERROR(__xludf.DUMMYFUNCTION("""COMPUTED_VALUE"""),133.7356295631995)</f>
        <v>133.7356296</v>
      </c>
      <c r="N49" s="22">
        <f>IFERROR(__xludf.DUMMYFUNCTION("""COMPUTED_VALUE"""),375.16646550831604)</f>
        <v>375.1664655</v>
      </c>
      <c r="O49" s="22">
        <f t="shared" si="1"/>
        <v>2.874330459</v>
      </c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tr">
        <f>IFERROR(__xludf.DUMMYFUNCTION("""COMPUTED_VALUE"""),"Mexico")</f>
        <v>Mexico</v>
      </c>
      <c r="B50" s="18">
        <f>IFERROR(__xludf.DUMMYFUNCTION("""COMPUTED_VALUE"""),44242.0)</f>
        <v>44242</v>
      </c>
      <c r="C50" s="19">
        <f>IFERROR(__xludf.DUMMYFUNCTION("""COMPUTED_VALUE"""),44248.0)</f>
        <v>44248</v>
      </c>
      <c r="D50" s="17">
        <f>IFERROR(__xludf.DUMMYFUNCTION("""COMPUTED_VALUE"""),7.0)</f>
        <v>7</v>
      </c>
      <c r="E50" s="17">
        <f>IFERROR(__xludf.DUMMYFUNCTION("""COMPUTED_VALUE"""),25330.0)</f>
        <v>25330</v>
      </c>
      <c r="F50" s="17">
        <f>IFERROR(__xludf.DUMMYFUNCTION("""COMPUTED_VALUE"""),5900.0)</f>
        <v>5900</v>
      </c>
      <c r="G50" s="20">
        <f>IFERROR(__xludf.DUMMYFUNCTION("""COMPUTED_VALUE"""),49.0)</f>
        <v>49</v>
      </c>
      <c r="H50" s="20">
        <f>IFERROR(__xludf.DUMMYFUNCTION("""COMPUTED_VALUE"""),23495.0)</f>
        <v>23495</v>
      </c>
      <c r="I50" s="20">
        <f>IFERROR(__xludf.DUMMYFUNCTION("""COMPUTED_VALUE"""),13884.6)</f>
        <v>13884.6</v>
      </c>
      <c r="J50" s="21">
        <f>IFERROR(__xludf.DUMMYFUNCTION("""COMPUTED_VALUE"""),10605.333333333334)</f>
        <v>10605.33333</v>
      </c>
      <c r="K50" s="22">
        <f>IFERROR(__xludf.DUMMYFUNCTION("""COMPUTED_VALUE"""),4.52932554043682)</f>
        <v>4.52932554</v>
      </c>
      <c r="L50" s="22">
        <f>IFERROR(__xludf.DUMMYFUNCTION("""COMPUTED_VALUE"""),8.141526632459767)</f>
        <v>8.141526632</v>
      </c>
      <c r="M50" s="22">
        <f>IFERROR(__xludf.DUMMYFUNCTION("""COMPUTED_VALUE"""),138.2649551036363)</f>
        <v>138.2649551</v>
      </c>
      <c r="N50" s="22">
        <f>IFERROR(__xludf.DUMMYFUNCTION("""COMPUTED_VALUE"""),383.3079921407758)</f>
        <v>383.3079921</v>
      </c>
      <c r="O50" s="22">
        <f t="shared" si="1"/>
        <v>3.612201092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tr">
        <f>IFERROR(__xludf.DUMMYFUNCTION("""COMPUTED_VALUE"""),"Mexico")</f>
        <v>Mexico</v>
      </c>
      <c r="B51" s="18">
        <f>IFERROR(__xludf.DUMMYFUNCTION("""COMPUTED_VALUE"""),44249.0)</f>
        <v>44249</v>
      </c>
      <c r="C51" s="19">
        <f>IFERROR(__xludf.DUMMYFUNCTION("""COMPUTED_VALUE"""),44255.0)</f>
        <v>44255</v>
      </c>
      <c r="D51" s="17">
        <f>IFERROR(__xludf.DUMMYFUNCTION("""COMPUTED_VALUE"""),8.0)</f>
        <v>8</v>
      </c>
      <c r="E51" s="17">
        <f>IFERROR(__xludf.DUMMYFUNCTION("""COMPUTED_VALUE"""),24010.0)</f>
        <v>24010</v>
      </c>
      <c r="F51" s="17">
        <f>IFERROR(__xludf.DUMMYFUNCTION("""COMPUTED_VALUE"""),5608.0)</f>
        <v>5608</v>
      </c>
      <c r="G51" s="20">
        <f>IFERROR(__xludf.DUMMYFUNCTION("""COMPUTED_VALUE"""),50.0)</f>
        <v>50</v>
      </c>
      <c r="H51" s="20">
        <f>IFERROR(__xludf.DUMMYFUNCTION("""COMPUTED_VALUE"""),25342.0)</f>
        <v>25342</v>
      </c>
      <c r="I51" s="20">
        <f>IFERROR(__xludf.DUMMYFUNCTION("""COMPUTED_VALUE"""),14539.8)</f>
        <v>14539.8</v>
      </c>
      <c r="J51" s="21">
        <f>IFERROR(__xludf.DUMMYFUNCTION("""COMPUTED_VALUE"""),9582.333333333334)</f>
        <v>9582.333333</v>
      </c>
      <c r="K51" s="22">
        <f>IFERROR(__xludf.DUMMYFUNCTION("""COMPUTED_VALUE"""),4.305162310299948)</f>
        <v>4.30516231</v>
      </c>
      <c r="L51" s="22">
        <f>IFERROR(__xludf.DUMMYFUNCTION("""COMPUTED_VALUE"""),7.356187644685723)</f>
        <v>7.356187645</v>
      </c>
      <c r="M51" s="22">
        <f>IFERROR(__xludf.DUMMYFUNCTION("""COMPUTED_VALUE"""),142.57011741393626)</f>
        <v>142.5701174</v>
      </c>
      <c r="N51" s="22">
        <f>IFERROR(__xludf.DUMMYFUNCTION("""COMPUTED_VALUE"""),390.66417978546156)</f>
        <v>390.6641798</v>
      </c>
      <c r="O51" s="22">
        <f t="shared" si="1"/>
        <v>3.051025334</v>
      </c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tr">
        <f>IFERROR(__xludf.DUMMYFUNCTION("""COMPUTED_VALUE"""),"Mexico")</f>
        <v>Mexico</v>
      </c>
      <c r="B52" s="18">
        <f>IFERROR(__xludf.DUMMYFUNCTION("""COMPUTED_VALUE"""),44256.0)</f>
        <v>44256</v>
      </c>
      <c r="C52" s="19">
        <f>IFERROR(__xludf.DUMMYFUNCTION("""COMPUTED_VALUE"""),44262.0)</f>
        <v>44262</v>
      </c>
      <c r="D52" s="17">
        <f>IFERROR(__xludf.DUMMYFUNCTION("""COMPUTED_VALUE"""),9.0)</f>
        <v>9</v>
      </c>
      <c r="E52" s="17">
        <f>IFERROR(__xludf.DUMMYFUNCTION("""COMPUTED_VALUE"""),20488.0)</f>
        <v>20488</v>
      </c>
      <c r="F52" s="17">
        <f>IFERROR(__xludf.DUMMYFUNCTION("""COMPUTED_VALUE"""),4889.0)</f>
        <v>4889</v>
      </c>
      <c r="G52" s="20">
        <f>IFERROR(__xludf.DUMMYFUNCTION("""COMPUTED_VALUE"""),51.0)</f>
        <v>51</v>
      </c>
      <c r="H52" s="20">
        <f>IFERROR(__xludf.DUMMYFUNCTION("""COMPUTED_VALUE"""),26560.0)</f>
        <v>26560</v>
      </c>
      <c r="I52" s="20">
        <f>IFERROR(__xludf.DUMMYFUNCTION("""COMPUTED_VALUE"""),14573.6)</f>
        <v>14573.6</v>
      </c>
      <c r="J52" s="21">
        <f>IFERROR(__xludf.DUMMYFUNCTION("""COMPUTED_VALUE"""),6344.166666666666)</f>
        <v>6344.166667</v>
      </c>
      <c r="K52" s="22">
        <f>IFERROR(__xludf.DUMMYFUNCTION("""COMPUTED_VALUE"""),3.7531987402026465)</f>
        <v>3.75319874</v>
      </c>
      <c r="L52" s="22">
        <f>IFERROR(__xludf.DUMMYFUNCTION("""COMPUTED_VALUE"""),4.870304426461231)</f>
        <v>4.870304426</v>
      </c>
      <c r="M52" s="22">
        <f>IFERROR(__xludf.DUMMYFUNCTION("""COMPUTED_VALUE"""),146.3233161541389)</f>
        <v>146.3233162</v>
      </c>
      <c r="N52" s="22">
        <f>IFERROR(__xludf.DUMMYFUNCTION("""COMPUTED_VALUE"""),395.5344842119228)</f>
        <v>395.5344842</v>
      </c>
      <c r="O52" s="22">
        <f t="shared" si="1"/>
        <v>1.117105686</v>
      </c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tr">
        <f>IFERROR(__xludf.DUMMYFUNCTION("""COMPUTED_VALUE"""),"Mexico")</f>
        <v>Mexico</v>
      </c>
      <c r="B53" s="18">
        <f>IFERROR(__xludf.DUMMYFUNCTION("""COMPUTED_VALUE"""),44263.0)</f>
        <v>44263</v>
      </c>
      <c r="C53" s="19">
        <f>IFERROR(__xludf.DUMMYFUNCTION("""COMPUTED_VALUE"""),44269.0)</f>
        <v>44269</v>
      </c>
      <c r="D53" s="17">
        <f>IFERROR(__xludf.DUMMYFUNCTION("""COMPUTED_VALUE"""),10.0)</f>
        <v>10</v>
      </c>
      <c r="E53" s="17">
        <f>IFERROR(__xludf.DUMMYFUNCTION("""COMPUTED_VALUE"""),19752.0)</f>
        <v>19752</v>
      </c>
      <c r="F53" s="17">
        <f>IFERROR(__xludf.DUMMYFUNCTION("""COMPUTED_VALUE"""),4106.0)</f>
        <v>4106</v>
      </c>
      <c r="G53" s="20">
        <f>IFERROR(__xludf.DUMMYFUNCTION("""COMPUTED_VALUE"""),52.0)</f>
        <v>52</v>
      </c>
      <c r="H53" s="20">
        <f>IFERROR(__xludf.DUMMYFUNCTION("""COMPUTED_VALUE"""),29609.0)</f>
        <v>29609</v>
      </c>
      <c r="I53" s="20">
        <f>IFERROR(__xludf.DUMMYFUNCTION("""COMPUTED_VALUE"""),15430.0)</f>
        <v>15430</v>
      </c>
      <c r="J53" s="21">
        <f>IFERROR(__xludf.DUMMYFUNCTION("""COMPUTED_VALUE"""),5896.333333333334)</f>
        <v>5896.333333</v>
      </c>
      <c r="K53" s="22">
        <f>IFERROR(__xludf.DUMMYFUNCTION("""COMPUTED_VALUE"""),3.1521035032260314)</f>
        <v>3.152103503</v>
      </c>
      <c r="L53" s="22">
        <f>IFERROR(__xludf.DUMMYFUNCTION("""COMPUTED_VALUE"""),4.526510705355194)</f>
        <v>4.526510705</v>
      </c>
      <c r="M53" s="22">
        <f>IFERROR(__xludf.DUMMYFUNCTION("""COMPUTED_VALUE"""),149.47541965736494)</f>
        <v>149.4754197</v>
      </c>
      <c r="N53" s="22">
        <f>IFERROR(__xludf.DUMMYFUNCTION("""COMPUTED_VALUE"""),400.060994917278)</f>
        <v>400.0609949</v>
      </c>
      <c r="O53" s="22">
        <f t="shared" si="1"/>
        <v>1.374407202</v>
      </c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tr">
        <f>IFERROR(__xludf.DUMMYFUNCTION("""COMPUTED_VALUE"""),"Mexico")</f>
        <v>Mexico</v>
      </c>
      <c r="B54" s="18">
        <f>IFERROR(__xludf.DUMMYFUNCTION("""COMPUTED_VALUE"""),44270.0)</f>
        <v>44270</v>
      </c>
      <c r="C54" s="19">
        <f>IFERROR(__xludf.DUMMYFUNCTION("""COMPUTED_VALUE"""),44276.0)</f>
        <v>44276</v>
      </c>
      <c r="D54" s="17">
        <f>IFERROR(__xludf.DUMMYFUNCTION("""COMPUTED_VALUE"""),11.0)</f>
        <v>11</v>
      </c>
      <c r="E54" s="17">
        <f>IFERROR(__xludf.DUMMYFUNCTION("""COMPUTED_VALUE"""),18508.0)</f>
        <v>18508</v>
      </c>
      <c r="F54" s="17">
        <f>IFERROR(__xludf.DUMMYFUNCTION("""COMPUTED_VALUE"""),3326.0)</f>
        <v>3326</v>
      </c>
      <c r="G54" s="20">
        <f>IFERROR(__xludf.DUMMYFUNCTION("""COMPUTED_VALUE"""),53.0)</f>
        <v>53</v>
      </c>
      <c r="H54" s="20">
        <f>IFERROR(__xludf.DUMMYFUNCTION("""COMPUTED_VALUE"""),32637.0)</f>
        <v>32637</v>
      </c>
      <c r="I54" s="20">
        <f>IFERROR(__xludf.DUMMYFUNCTION("""COMPUTED_VALUE"""),14170.0)</f>
        <v>14170</v>
      </c>
      <c r="J54" s="21">
        <f>IFERROR(__xludf.DUMMYFUNCTION("""COMPUTED_VALUE"""),4912.333333333334)</f>
        <v>4912.333333</v>
      </c>
      <c r="K54" s="22">
        <f>IFERROR(__xludf.DUMMYFUNCTION("""COMPUTED_VALUE"""),2.553311313134384)</f>
        <v>2.553311313</v>
      </c>
      <c r="L54" s="22">
        <f>IFERROR(__xludf.DUMMYFUNCTION("""COMPUTED_VALUE"""),3.7711113270857304)</f>
        <v>3.771111327</v>
      </c>
      <c r="M54" s="22">
        <f>IFERROR(__xludf.DUMMYFUNCTION("""COMPUTED_VALUE"""),152.0287309704993)</f>
        <v>152.028731</v>
      </c>
      <c r="N54" s="22">
        <f>IFERROR(__xludf.DUMMYFUNCTION("""COMPUTED_VALUE"""),403.83210624436373)</f>
        <v>403.8321062</v>
      </c>
      <c r="O54" s="22">
        <f t="shared" si="1"/>
        <v>1.217800014</v>
      </c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tr">
        <f>IFERROR(__xludf.DUMMYFUNCTION("""COMPUTED_VALUE"""),"Mexico")</f>
        <v>Mexico</v>
      </c>
      <c r="B55" s="18">
        <f>IFERROR(__xludf.DUMMYFUNCTION("""COMPUTED_VALUE"""),44277.0)</f>
        <v>44277</v>
      </c>
      <c r="C55" s="19">
        <f>IFERROR(__xludf.DUMMYFUNCTION("""COMPUTED_VALUE"""),44283.0)</f>
        <v>44283</v>
      </c>
      <c r="D55" s="17">
        <f>IFERROR(__xludf.DUMMYFUNCTION("""COMPUTED_VALUE"""),12.0)</f>
        <v>12</v>
      </c>
      <c r="E55" s="17">
        <f>IFERROR(__xludf.DUMMYFUNCTION("""COMPUTED_VALUE"""),17801.0)</f>
        <v>17801</v>
      </c>
      <c r="F55" s="17">
        <f>IFERROR(__xludf.DUMMYFUNCTION("""COMPUTED_VALUE"""),3587.0)</f>
        <v>3587</v>
      </c>
      <c r="G55" s="20"/>
      <c r="H55" s="20"/>
      <c r="I55" s="20"/>
      <c r="J55" s="21">
        <f>IFERROR(__xludf.DUMMYFUNCTION("""COMPUTED_VALUE"""),4332.4)</f>
        <v>4332.4</v>
      </c>
      <c r="K55" s="22">
        <f>IFERROR(__xludf.DUMMYFUNCTION("""COMPUTED_VALUE"""),2.753676392126589)</f>
        <v>2.753676392</v>
      </c>
      <c r="L55" s="22">
        <f>IFERROR(__xludf.DUMMYFUNCTION("""COMPUTED_VALUE"""),3.3259067748116067)</f>
        <v>3.325906775</v>
      </c>
      <c r="M55" s="22">
        <f>IFERROR(__xludf.DUMMYFUNCTION("""COMPUTED_VALUE"""),154.7824073626259)</f>
        <v>154.7824074</v>
      </c>
      <c r="N55" s="22">
        <f>IFERROR(__xludf.DUMMYFUNCTION("""COMPUTED_VALUE"""),407.1580130191753)</f>
        <v>407.158013</v>
      </c>
      <c r="O55" s="22">
        <f t="shared" si="1"/>
        <v>0.5722303827</v>
      </c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tr">
        <f>IFERROR(__xludf.DUMMYFUNCTION("""COMPUTED_VALUE"""),"Mexico")</f>
        <v>Mexico</v>
      </c>
      <c r="B56" s="18">
        <f>IFERROR(__xludf.DUMMYFUNCTION("""COMPUTED_VALUE"""),44284.0)</f>
        <v>44284</v>
      </c>
      <c r="C56" s="19">
        <f>IFERROR(__xludf.DUMMYFUNCTION("""COMPUTED_VALUE"""),44290.0)</f>
        <v>44290</v>
      </c>
      <c r="D56" s="17">
        <f>IFERROR(__xludf.DUMMYFUNCTION("""COMPUTED_VALUE"""),13.0)</f>
        <v>13</v>
      </c>
      <c r="E56" s="17">
        <f>IFERROR(__xludf.DUMMYFUNCTION("""COMPUTED_VALUE"""),16992.0)</f>
        <v>16992</v>
      </c>
      <c r="F56" s="17">
        <f>IFERROR(__xludf.DUMMYFUNCTION("""COMPUTED_VALUE"""),2524.0)</f>
        <v>2524</v>
      </c>
      <c r="G56" s="20"/>
      <c r="H56" s="20"/>
      <c r="I56" s="20"/>
      <c r="J56" s="21">
        <f>IFERROR(__xludf.DUMMYFUNCTION("""COMPUTED_VALUE"""),3816.3999999999996)</f>
        <v>3816.4</v>
      </c>
      <c r="K56" s="22">
        <f>IFERROR(__xludf.DUMMYFUNCTION("""COMPUTED_VALUE"""),1.937630112552972)</f>
        <v>1.937630113</v>
      </c>
      <c r="L56" s="22">
        <f>IFERROR(__xludf.DUMMYFUNCTION("""COMPUTED_VALUE"""),2.929782710597132)</f>
        <v>2.929782711</v>
      </c>
      <c r="M56" s="22">
        <f>IFERROR(__xludf.DUMMYFUNCTION("""COMPUTED_VALUE"""),156.72003747517886)</f>
        <v>156.7200375</v>
      </c>
      <c r="N56" s="22">
        <f>IFERROR(__xludf.DUMMYFUNCTION("""COMPUTED_VALUE"""),410.08779572977244)</f>
        <v>410.0877957</v>
      </c>
      <c r="O56" s="22">
        <f t="shared" si="1"/>
        <v>0.992152598</v>
      </c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tr">
        <f>IFERROR(__xludf.DUMMYFUNCTION("""COMPUTED_VALUE"""),"Mexico")</f>
        <v>Mexico</v>
      </c>
      <c r="B57" s="18">
        <f>IFERROR(__xludf.DUMMYFUNCTION("""COMPUTED_VALUE"""),44291.0)</f>
        <v>44291</v>
      </c>
      <c r="C57" s="19">
        <f>IFERROR(__xludf.DUMMYFUNCTION("""COMPUTED_VALUE"""),44297.0)</f>
        <v>44297</v>
      </c>
      <c r="D57" s="17">
        <f>IFERROR(__xludf.DUMMYFUNCTION("""COMPUTED_VALUE"""),14.0)</f>
        <v>14</v>
      </c>
      <c r="E57" s="17">
        <f>IFERROR(__xludf.DUMMYFUNCTION("""COMPUTED_VALUE"""),17364.0)</f>
        <v>17364</v>
      </c>
      <c r="F57" s="17">
        <f>IFERROR(__xludf.DUMMYFUNCTION("""COMPUTED_VALUE"""),5191.0)</f>
        <v>5191</v>
      </c>
      <c r="G57" s="20"/>
      <c r="H57" s="20"/>
      <c r="I57" s="20"/>
      <c r="J57" s="21">
        <f>IFERROR(__xludf.DUMMYFUNCTION("""COMPUTED_VALUE"""),4107.4)</f>
        <v>4107.4</v>
      </c>
      <c r="K57" s="22">
        <f>IFERROR(__xludf.DUMMYFUNCTION("""COMPUTED_VALUE"""),3.9850387932894127)</f>
        <v>3.985038793</v>
      </c>
      <c r="L57" s="22">
        <f>IFERROR(__xludf.DUMMYFUNCTION("""COMPUTED_VALUE"""),3.153178258439016)</f>
        <v>3.153178258</v>
      </c>
      <c r="M57" s="22">
        <f>IFERROR(__xludf.DUMMYFUNCTION("""COMPUTED_VALUE"""),160.70507626846828)</f>
        <v>160.7050763</v>
      </c>
      <c r="N57" s="22">
        <f>IFERROR(__xludf.DUMMYFUNCTION("""COMPUTED_VALUE"""),413.24097398821146)</f>
        <v>413.240974</v>
      </c>
      <c r="O57" s="22">
        <f t="shared" si="1"/>
        <v>-0.8318605349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tr">
        <f>IFERROR(__xludf.DUMMYFUNCTION("""COMPUTED_VALUE"""),"Mexico")</f>
        <v>Mexico</v>
      </c>
      <c r="B58" s="18">
        <f>IFERROR(__xludf.DUMMYFUNCTION("""COMPUTED_VALUE"""),44298.0)</f>
        <v>44298</v>
      </c>
      <c r="C58" s="19">
        <f>IFERROR(__xludf.DUMMYFUNCTION("""COMPUTED_VALUE"""),44304.0)</f>
        <v>44304</v>
      </c>
      <c r="D58" s="17">
        <f>IFERROR(__xludf.DUMMYFUNCTION("""COMPUTED_VALUE"""),15.0)</f>
        <v>15</v>
      </c>
      <c r="E58" s="17">
        <f>IFERROR(__xludf.DUMMYFUNCTION("""COMPUTED_VALUE"""),16927.0)</f>
        <v>16927</v>
      </c>
      <c r="F58" s="17">
        <f>IFERROR(__xludf.DUMMYFUNCTION("""COMPUTED_VALUE"""),3001.0)</f>
        <v>3001</v>
      </c>
      <c r="G58" s="20"/>
      <c r="H58" s="20"/>
      <c r="I58" s="20"/>
      <c r="J58" s="21">
        <f>IFERROR(__xludf.DUMMYFUNCTION("""COMPUTED_VALUE"""),4039.0)</f>
        <v>4039</v>
      </c>
      <c r="K58" s="22">
        <f>IFERROR(__xludf.DUMMYFUNCTION("""COMPUTED_VALUE"""),2.3038145672628643)</f>
        <v>2.303814567</v>
      </c>
      <c r="L58" s="22">
        <f>IFERROR(__xludf.DUMMYFUNCTION("""COMPUTED_VALUE"""),3.100668789461749)</f>
        <v>3.100668789</v>
      </c>
      <c r="M58" s="22">
        <f>IFERROR(__xludf.DUMMYFUNCTION("""COMPUTED_VALUE"""),163.00889083573114)</f>
        <v>163.0088908</v>
      </c>
      <c r="N58" s="22">
        <f>IFERROR(__xludf.DUMMYFUNCTION("""COMPUTED_VALUE"""),416.3416427776732)</f>
        <v>416.3416428</v>
      </c>
      <c r="O58" s="22">
        <f t="shared" si="1"/>
        <v>0.7968542222</v>
      </c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tr">
        <f>IFERROR(__xludf.DUMMYFUNCTION("""COMPUTED_VALUE"""),"Mexico")</f>
        <v>Mexico</v>
      </c>
      <c r="B59" s="18">
        <f>IFERROR(__xludf.DUMMYFUNCTION("""COMPUTED_VALUE"""),44305.0)</f>
        <v>44305</v>
      </c>
      <c r="C59" s="19">
        <f>IFERROR(__xludf.DUMMYFUNCTION("""COMPUTED_VALUE"""),44311.0)</f>
        <v>44311</v>
      </c>
      <c r="D59" s="17">
        <f>IFERROR(__xludf.DUMMYFUNCTION("""COMPUTED_VALUE"""),16.0)</f>
        <v>16</v>
      </c>
      <c r="E59" s="17">
        <f>IFERROR(__xludf.DUMMYFUNCTION("""COMPUTED_VALUE"""),16037.0)</f>
        <v>16037</v>
      </c>
      <c r="F59" s="17">
        <f>IFERROR(__xludf.DUMMYFUNCTION("""COMPUTED_VALUE"""),2608.0)</f>
        <v>2608</v>
      </c>
      <c r="G59" s="20"/>
      <c r="H59" s="20"/>
      <c r="I59" s="20"/>
      <c r="J59" s="21">
        <f>IFERROR(__xludf.DUMMYFUNCTION("""COMPUTED_VALUE"""),3283.0)</f>
        <v>3283</v>
      </c>
      <c r="K59" s="22">
        <f>IFERROR(__xludf.DUMMYFUNCTION("""COMPUTED_VALUE"""),2.0021154253320725)</f>
        <v>2.002115425</v>
      </c>
      <c r="L59" s="22">
        <f>IFERROR(__xludf.DUMMYFUNCTION("""COMPUTED_VALUE"""),2.5203009744498446)</f>
        <v>2.520300974</v>
      </c>
      <c r="M59" s="22">
        <f>IFERROR(__xludf.DUMMYFUNCTION("""COMPUTED_VALUE"""),165.01100626106322)</f>
        <v>165.0110063</v>
      </c>
      <c r="N59" s="22">
        <f>IFERROR(__xludf.DUMMYFUNCTION("""COMPUTED_VALUE"""),418.86194375212307)</f>
        <v>418.8619438</v>
      </c>
      <c r="O59" s="22">
        <f t="shared" si="1"/>
        <v>0.5181855491</v>
      </c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tr">
        <f>IFERROR(__xludf.DUMMYFUNCTION("""COMPUTED_VALUE"""),"Mexico")</f>
        <v>Mexico</v>
      </c>
      <c r="B60" s="18">
        <f>IFERROR(__xludf.DUMMYFUNCTION("""COMPUTED_VALUE"""),44312.0)</f>
        <v>44312</v>
      </c>
      <c r="C60" s="19">
        <f>IFERROR(__xludf.DUMMYFUNCTION("""COMPUTED_VALUE"""),44318.0)</f>
        <v>44318</v>
      </c>
      <c r="D60" s="17">
        <f>IFERROR(__xludf.DUMMYFUNCTION("""COMPUTED_VALUE"""),17.0)</f>
        <v>17</v>
      </c>
      <c r="E60" s="17">
        <f>IFERROR(__xludf.DUMMYFUNCTION("""COMPUTED_VALUE"""),15511.0)</f>
        <v>15511</v>
      </c>
      <c r="F60" s="17">
        <f>IFERROR(__xludf.DUMMYFUNCTION("""COMPUTED_VALUE"""),2286.0)</f>
        <v>2286</v>
      </c>
      <c r="G60" s="20"/>
      <c r="H60" s="20"/>
      <c r="I60" s="20"/>
      <c r="J60" s="21">
        <f>IFERROR(__xludf.DUMMYFUNCTION("""COMPUTED_VALUE"""),2586.6000000000004)</f>
        <v>2586.6</v>
      </c>
      <c r="K60" s="22">
        <f>IFERROR(__xludf.DUMMYFUNCTION("""COMPUTED_VALUE"""),1.7549217263455206)</f>
        <v>1.754921726</v>
      </c>
      <c r="L60" s="22">
        <f>IFERROR(__xludf.DUMMYFUNCTION("""COMPUTED_VALUE"""),1.9856870242193019)</f>
        <v>1.985687024</v>
      </c>
      <c r="M60" s="22">
        <f>IFERROR(__xludf.DUMMYFUNCTION("""COMPUTED_VALUE"""),166.76592798740873)</f>
        <v>166.765928</v>
      </c>
      <c r="N60" s="22">
        <f>IFERROR(__xludf.DUMMYFUNCTION("""COMPUTED_VALUE"""),420.8476307763424)</f>
        <v>420.8476308</v>
      </c>
      <c r="O60" s="22">
        <f t="shared" si="1"/>
        <v>0.2307652979</v>
      </c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tr">
        <f>IFERROR(__xludf.DUMMYFUNCTION("""COMPUTED_VALUE"""),"Mexico")</f>
        <v>Mexico</v>
      </c>
      <c r="B61" s="18">
        <f>IFERROR(__xludf.DUMMYFUNCTION("""COMPUTED_VALUE"""),44319.0)</f>
        <v>44319</v>
      </c>
      <c r="C61" s="19">
        <f>IFERROR(__xludf.DUMMYFUNCTION("""COMPUTED_VALUE"""),44325.0)</f>
        <v>44325</v>
      </c>
      <c r="D61" s="17">
        <f>IFERROR(__xludf.DUMMYFUNCTION("""COMPUTED_VALUE"""),18.0)</f>
        <v>18</v>
      </c>
      <c r="E61" s="17">
        <f>IFERROR(__xludf.DUMMYFUNCTION("""COMPUTED_VALUE"""),15125.0)</f>
        <v>15125</v>
      </c>
      <c r="F61" s="17">
        <f>IFERROR(__xludf.DUMMYFUNCTION("""COMPUTED_VALUE"""),1752.0)</f>
        <v>1752</v>
      </c>
      <c r="G61" s="20"/>
      <c r="H61" s="20"/>
      <c r="I61" s="20"/>
      <c r="J61" s="21">
        <f>IFERROR(__xludf.DUMMYFUNCTION("""COMPUTED_VALUE"""),2277.0)</f>
        <v>2277</v>
      </c>
      <c r="K61" s="22">
        <f>IFERROR(__xludf.DUMMYFUNCTION("""COMPUTED_VALUE"""),1.344979380821239)</f>
        <v>1.344979381</v>
      </c>
      <c r="L61" s="22">
        <f>IFERROR(__xludf.DUMMYFUNCTION("""COMPUTED_VALUE"""),1.748012585690617)</f>
        <v>1.748012586</v>
      </c>
      <c r="M61" s="22">
        <f>IFERROR(__xludf.DUMMYFUNCTION("""COMPUTED_VALUE"""),168.11090736822996)</f>
        <v>168.1109074</v>
      </c>
      <c r="N61" s="22">
        <f>IFERROR(__xludf.DUMMYFUNCTION("""COMPUTED_VALUE"""),422.595643362033)</f>
        <v>422.5956434</v>
      </c>
      <c r="O61" s="22">
        <f t="shared" si="1"/>
        <v>0.4030332049</v>
      </c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tr">
        <f>IFERROR(__xludf.DUMMYFUNCTION("""COMPUTED_VALUE"""),"Mexico")</f>
        <v>Mexico</v>
      </c>
      <c r="B62" s="18">
        <f>IFERROR(__xludf.DUMMYFUNCTION("""COMPUTED_VALUE"""),44326.0)</f>
        <v>44326</v>
      </c>
      <c r="C62" s="19">
        <f>IFERROR(__xludf.DUMMYFUNCTION("""COMPUTED_VALUE"""),44332.0)</f>
        <v>44332</v>
      </c>
      <c r="D62" s="17">
        <f>IFERROR(__xludf.DUMMYFUNCTION("""COMPUTED_VALUE"""),19.0)</f>
        <v>19</v>
      </c>
      <c r="E62" s="17">
        <f>IFERROR(__xludf.DUMMYFUNCTION("""COMPUTED_VALUE"""),14734.0)</f>
        <v>14734</v>
      </c>
      <c r="F62" s="17">
        <f>IFERROR(__xludf.DUMMYFUNCTION("""COMPUTED_VALUE"""),1452.0)</f>
        <v>1452</v>
      </c>
      <c r="G62" s="20"/>
      <c r="H62" s="20"/>
      <c r="I62" s="20"/>
      <c r="J62" s="21">
        <f>IFERROR(__xludf.DUMMYFUNCTION("""COMPUTED_VALUE"""),1937.7999999999993)</f>
        <v>1937.8</v>
      </c>
      <c r="K62" s="22">
        <f>IFERROR(__xludf.DUMMYFUNCTION("""COMPUTED_VALUE"""),1.1146746923244513)</f>
        <v>1.114674692</v>
      </c>
      <c r="L62" s="22">
        <f>IFERROR(__xludf.DUMMYFUNCTION("""COMPUTED_VALUE"""),1.4876147512302487)</f>
        <v>1.487614751</v>
      </c>
      <c r="M62" s="22">
        <f>IFERROR(__xludf.DUMMYFUNCTION("""COMPUTED_VALUE"""),169.22558206055442)</f>
        <v>169.2255821</v>
      </c>
      <c r="N62" s="22">
        <f>IFERROR(__xludf.DUMMYFUNCTION("""COMPUTED_VALUE"""),424.08325811326324)</f>
        <v>424.0832581</v>
      </c>
      <c r="O62" s="22">
        <f t="shared" si="1"/>
        <v>0.3729400589</v>
      </c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tr">
        <f>IFERROR(__xludf.DUMMYFUNCTION("""COMPUTED_VALUE"""),"Mexico")</f>
        <v>Mexico</v>
      </c>
      <c r="B63" s="18">
        <f>IFERROR(__xludf.DUMMYFUNCTION("""COMPUTED_VALUE"""),44333.0)</f>
        <v>44333</v>
      </c>
      <c r="C63" s="19">
        <f>IFERROR(__xludf.DUMMYFUNCTION("""COMPUTED_VALUE"""),44339.0)</f>
        <v>44339</v>
      </c>
      <c r="D63" s="17">
        <f>IFERROR(__xludf.DUMMYFUNCTION("""COMPUTED_VALUE"""),20.0)</f>
        <v>20</v>
      </c>
      <c r="E63" s="17">
        <f>IFERROR(__xludf.DUMMYFUNCTION("""COMPUTED_VALUE"""),14264.0)</f>
        <v>14264</v>
      </c>
      <c r="F63" s="17">
        <f>IFERROR(__xludf.DUMMYFUNCTION("""COMPUTED_VALUE"""),1210.0)</f>
        <v>1210</v>
      </c>
      <c r="G63" s="20"/>
      <c r="H63" s="20"/>
      <c r="I63" s="20"/>
      <c r="J63" s="21">
        <f>IFERROR(__xludf.DUMMYFUNCTION("""COMPUTED_VALUE"""),1396.3999999999996)</f>
        <v>1396.4</v>
      </c>
      <c r="K63" s="22">
        <f>IFERROR(__xludf.DUMMYFUNCTION("""COMPUTED_VALUE"""),0.9288955769370428)</f>
        <v>0.9288955769</v>
      </c>
      <c r="L63" s="22">
        <f>IFERROR(__xludf.DUMMYFUNCTION("""COMPUTED_VALUE"""),1.0719915567230465)</f>
        <v>1.071991557</v>
      </c>
      <c r="M63" s="22">
        <f>IFERROR(__xludf.DUMMYFUNCTION("""COMPUTED_VALUE"""),170.15447763749145)</f>
        <v>170.1544776</v>
      </c>
      <c r="N63" s="22">
        <f>IFERROR(__xludf.DUMMYFUNCTION("""COMPUTED_VALUE"""),425.1552496699863)</f>
        <v>425.1552497</v>
      </c>
      <c r="O63" s="22">
        <f t="shared" si="1"/>
        <v>0.1430959798</v>
      </c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tr">
        <f>IFERROR(__xludf.DUMMYFUNCTION("""COMPUTED_VALUE"""),"Mexico")</f>
        <v>Mexico</v>
      </c>
      <c r="B64" s="18">
        <f>IFERROR(__xludf.DUMMYFUNCTION("""COMPUTED_VALUE"""),44340.0)</f>
        <v>44340</v>
      </c>
      <c r="C64" s="19">
        <f>IFERROR(__xludf.DUMMYFUNCTION("""COMPUTED_VALUE"""),44346.0)</f>
        <v>44346</v>
      </c>
      <c r="D64" s="17">
        <f>IFERROR(__xludf.DUMMYFUNCTION("""COMPUTED_VALUE"""),21.0)</f>
        <v>21</v>
      </c>
      <c r="E64" s="17">
        <f>IFERROR(__xludf.DUMMYFUNCTION("""COMPUTED_VALUE"""),14358.0)</f>
        <v>14358</v>
      </c>
      <c r="F64" s="17">
        <f>IFERROR(__xludf.DUMMYFUNCTION("""COMPUTED_VALUE"""),1860.0)</f>
        <v>1860</v>
      </c>
      <c r="G64" s="20"/>
      <c r="H64" s="20"/>
      <c r="I64" s="20"/>
      <c r="J64" s="21">
        <f>IFERROR(__xludf.DUMMYFUNCTION("""COMPUTED_VALUE"""),1293.0)</f>
        <v>1293</v>
      </c>
      <c r="K64" s="22">
        <f>IFERROR(__xludf.DUMMYFUNCTION("""COMPUTED_VALUE"""),1.4278890686800823)</f>
        <v>1.427889069</v>
      </c>
      <c r="L64" s="22">
        <f>IFERROR(__xludf.DUMMYFUNCTION("""COMPUTED_VALUE"""),0.992613207421154)</f>
        <v>0.9926132074</v>
      </c>
      <c r="M64" s="22">
        <f>IFERROR(__xludf.DUMMYFUNCTION("""COMPUTED_VALUE"""),171.58236670617154)</f>
        <v>171.5823667</v>
      </c>
      <c r="N64" s="22">
        <f>IFERROR(__xludf.DUMMYFUNCTION("""COMPUTED_VALUE"""),426.1478628774074)</f>
        <v>426.1478629</v>
      </c>
      <c r="O64" s="22">
        <f t="shared" si="1"/>
        <v>-0.4352758613</v>
      </c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tr">
        <f>IFERROR(__xludf.DUMMYFUNCTION("""COMPUTED_VALUE"""),"Mexico")</f>
        <v>Mexico</v>
      </c>
      <c r="B65" s="18">
        <f>IFERROR(__xludf.DUMMYFUNCTION("""COMPUTED_VALUE"""),44347.0)</f>
        <v>44347</v>
      </c>
      <c r="C65" s="19">
        <f>IFERROR(__xludf.DUMMYFUNCTION("""COMPUTED_VALUE"""),44353.0)</f>
        <v>44353</v>
      </c>
      <c r="D65" s="17">
        <f>IFERROR(__xludf.DUMMYFUNCTION("""COMPUTED_VALUE"""),22.0)</f>
        <v>22</v>
      </c>
      <c r="E65" s="17">
        <f>IFERROR(__xludf.DUMMYFUNCTION("""COMPUTED_VALUE"""),13943.0)</f>
        <v>13943</v>
      </c>
      <c r="F65" s="17">
        <f>IFERROR(__xludf.DUMMYFUNCTION("""COMPUTED_VALUE"""),1025.0)</f>
        <v>1025</v>
      </c>
      <c r="G65" s="20"/>
      <c r="H65" s="20"/>
      <c r="I65" s="20"/>
      <c r="J65" s="21">
        <f>IFERROR(__xludf.DUMMYFUNCTION("""COMPUTED_VALUE"""),1274.0)</f>
        <v>1274</v>
      </c>
      <c r="K65" s="22">
        <f>IFERROR(__xludf.DUMMYFUNCTION("""COMPUTED_VALUE"""),0.7868743523640239)</f>
        <v>0.7868743524</v>
      </c>
      <c r="L65" s="22">
        <f>IFERROR(__xludf.DUMMYFUNCTION("""COMPUTED_VALUE"""),0.9780272438163574)</f>
        <v>0.9780272438</v>
      </c>
      <c r="M65" s="22">
        <f>IFERROR(__xludf.DUMMYFUNCTION("""COMPUTED_VALUE"""),172.36924105853558)</f>
        <v>172.3692411</v>
      </c>
      <c r="N65" s="22">
        <f>IFERROR(__xludf.DUMMYFUNCTION("""COMPUTED_VALUE"""),427.1258901212238)</f>
        <v>427.1258901</v>
      </c>
      <c r="O65" s="22">
        <f t="shared" si="1"/>
        <v>0.1911528915</v>
      </c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tr">
        <f>IFERROR(__xludf.DUMMYFUNCTION("""COMPUTED_VALUE"""),"Mexico")</f>
        <v>Mexico</v>
      </c>
      <c r="B66" s="18">
        <f>IFERROR(__xludf.DUMMYFUNCTION("""COMPUTED_VALUE"""),44354.0)</f>
        <v>44354</v>
      </c>
      <c r="C66" s="19">
        <f>IFERROR(__xludf.DUMMYFUNCTION("""COMPUTED_VALUE"""),44360.0)</f>
        <v>44360</v>
      </c>
      <c r="D66" s="17">
        <f>IFERROR(__xludf.DUMMYFUNCTION("""COMPUTED_VALUE"""),23.0)</f>
        <v>23</v>
      </c>
      <c r="E66" s="17">
        <f>IFERROR(__xludf.DUMMYFUNCTION("""COMPUTED_VALUE"""),14140.0)</f>
        <v>14140</v>
      </c>
      <c r="F66" s="17">
        <f>IFERROR(__xludf.DUMMYFUNCTION("""COMPUTED_VALUE"""),1346.0)</f>
        <v>1346</v>
      </c>
      <c r="G66" s="20"/>
      <c r="H66" s="20"/>
      <c r="I66" s="20"/>
      <c r="J66" s="21">
        <f>IFERROR(__xludf.DUMMYFUNCTION("""COMPUTED_VALUE"""),1530.6000000000004)</f>
        <v>1530.6</v>
      </c>
      <c r="K66" s="22">
        <f>IFERROR(__xludf.DUMMYFUNCTION("""COMPUTED_VALUE"""),1.0333003690555864)</f>
        <v>1.033300369</v>
      </c>
      <c r="L66" s="22">
        <f>IFERROR(__xludf.DUMMYFUNCTION("""COMPUTED_VALUE"""),1.17501452071061)</f>
        <v>1.175014521</v>
      </c>
      <c r="M66" s="22">
        <f>IFERROR(__xludf.DUMMYFUNCTION("""COMPUTED_VALUE"""),173.40254142759116)</f>
        <v>173.4025414</v>
      </c>
      <c r="N66" s="22">
        <f>IFERROR(__xludf.DUMMYFUNCTION("""COMPUTED_VALUE"""),428.3009046419344)</f>
        <v>428.3009046</v>
      </c>
      <c r="O66" s="22">
        <f t="shared" si="1"/>
        <v>0.1417141517</v>
      </c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tr">
        <f>IFERROR(__xludf.DUMMYFUNCTION("""COMPUTED_VALUE"""),"Mexico")</f>
        <v>Mexico</v>
      </c>
      <c r="B67" s="18">
        <f>IFERROR(__xludf.DUMMYFUNCTION("""COMPUTED_VALUE"""),44361.0)</f>
        <v>44361</v>
      </c>
      <c r="C67" s="19">
        <f>IFERROR(__xludf.DUMMYFUNCTION("""COMPUTED_VALUE"""),44367.0)</f>
        <v>44367</v>
      </c>
      <c r="D67" s="17">
        <f>IFERROR(__xludf.DUMMYFUNCTION("""COMPUTED_VALUE"""),24.0)</f>
        <v>24</v>
      </c>
      <c r="E67" s="17">
        <f>IFERROR(__xludf.DUMMYFUNCTION("""COMPUTED_VALUE"""),14261.0)</f>
        <v>14261</v>
      </c>
      <c r="F67" s="17">
        <f>IFERROR(__xludf.DUMMYFUNCTION("""COMPUTED_VALUE"""),1037.0)</f>
        <v>1037</v>
      </c>
      <c r="G67" s="20"/>
      <c r="H67" s="20"/>
      <c r="I67" s="20"/>
      <c r="J67" s="21">
        <f>IFERROR(__xludf.DUMMYFUNCTION("""COMPUTED_VALUE"""),1805.7999999999993)</f>
        <v>1805.8</v>
      </c>
      <c r="K67" s="22">
        <f>IFERROR(__xludf.DUMMYFUNCTION("""COMPUTED_VALUE"""),0.7960865399038954)</f>
        <v>0.7960865399</v>
      </c>
      <c r="L67" s="22">
        <f>IFERROR(__xludf.DUMMYFUNCTION("""COMPUTED_VALUE"""),1.3862806882916623)</f>
        <v>1.386280688</v>
      </c>
      <c r="M67" s="22">
        <f>IFERROR(__xludf.DUMMYFUNCTION("""COMPUTED_VALUE"""),174.19862796749504)</f>
        <v>174.198628</v>
      </c>
      <c r="N67" s="22">
        <f>IFERROR(__xludf.DUMMYFUNCTION("""COMPUTED_VALUE"""),429.68718533022604)</f>
        <v>429.6871853</v>
      </c>
      <c r="O67" s="22">
        <f t="shared" si="1"/>
        <v>0.5901941484</v>
      </c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tr">
        <f>IFERROR(__xludf.DUMMYFUNCTION("""COMPUTED_VALUE"""),"Mexico")</f>
        <v>Mexico</v>
      </c>
      <c r="B68" s="18">
        <f>IFERROR(__xludf.DUMMYFUNCTION("""COMPUTED_VALUE"""),44368.0)</f>
        <v>44368</v>
      </c>
      <c r="C68" s="19">
        <f>IFERROR(__xludf.DUMMYFUNCTION("""COMPUTED_VALUE"""),44374.0)</f>
        <v>44374</v>
      </c>
      <c r="D68" s="17">
        <f>IFERROR(__xludf.DUMMYFUNCTION("""COMPUTED_VALUE"""),25.0)</f>
        <v>25</v>
      </c>
      <c r="E68" s="17">
        <f>IFERROR(__xludf.DUMMYFUNCTION("""COMPUTED_VALUE"""),14323.0)</f>
        <v>14323</v>
      </c>
      <c r="F68" s="17">
        <f>IFERROR(__xludf.DUMMYFUNCTION("""COMPUTED_VALUE"""),1377.0)</f>
        <v>1377</v>
      </c>
      <c r="G68" s="20"/>
      <c r="H68" s="20"/>
      <c r="I68" s="20"/>
      <c r="J68" s="21">
        <f>IFERROR(__xludf.DUMMYFUNCTION("""COMPUTED_VALUE"""),1668.0)</f>
        <v>1668</v>
      </c>
      <c r="K68" s="22">
        <f>IFERROR(__xludf.DUMMYFUNCTION("""COMPUTED_VALUE"""),1.0570985202002545)</f>
        <v>1.05709852</v>
      </c>
      <c r="L68" s="22">
        <f>IFERROR(__xludf.DUMMYFUNCTION("""COMPUTED_VALUE"""),1.2804940680421384)</f>
        <v>1.280494068</v>
      </c>
      <c r="M68" s="22">
        <f>IFERROR(__xludf.DUMMYFUNCTION("""COMPUTED_VALUE"""),175.25572648769528)</f>
        <v>175.2557265</v>
      </c>
      <c r="N68" s="22">
        <f>IFERROR(__xludf.DUMMYFUNCTION("""COMPUTED_VALUE"""),430.96767939826816)</f>
        <v>430.9676794</v>
      </c>
      <c r="O68" s="22">
        <f t="shared" si="1"/>
        <v>0.2233955478</v>
      </c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tr">
        <f>IFERROR(__xludf.DUMMYFUNCTION("""COMPUTED_VALUE"""),"Mexico")</f>
        <v>Mexico</v>
      </c>
      <c r="B69" s="18">
        <f>IFERROR(__xludf.DUMMYFUNCTION("""COMPUTED_VALUE"""),44375.0)</f>
        <v>44375</v>
      </c>
      <c r="C69" s="19">
        <f>IFERROR(__xludf.DUMMYFUNCTION("""COMPUTED_VALUE"""),44381.0)</f>
        <v>44381</v>
      </c>
      <c r="D69" s="17">
        <f>IFERROR(__xludf.DUMMYFUNCTION("""COMPUTED_VALUE"""),26.0)</f>
        <v>26</v>
      </c>
      <c r="E69" s="17">
        <f>IFERROR(__xludf.DUMMYFUNCTION("""COMPUTED_VALUE"""),14582.0)</f>
        <v>14582</v>
      </c>
      <c r="F69" s="17">
        <f>IFERROR(__xludf.DUMMYFUNCTION("""COMPUTED_VALUE"""),1058.0)</f>
        <v>1058</v>
      </c>
      <c r="G69" s="20"/>
      <c r="H69" s="20"/>
      <c r="I69" s="20"/>
      <c r="J69" s="21">
        <f>IFERROR(__xludf.DUMMYFUNCTION("""COMPUTED_VALUE"""),2135.7999999999993)</f>
        <v>2135.8</v>
      </c>
      <c r="K69" s="22">
        <f>IFERROR(__xludf.DUMMYFUNCTION("""COMPUTED_VALUE"""),0.8122078680986705)</f>
        <v>0.8122078681</v>
      </c>
      <c r="L69" s="22">
        <f>IFERROR(__xludf.DUMMYFUNCTION("""COMPUTED_VALUE"""),1.6396158456381282)</f>
        <v>1.639615846</v>
      </c>
      <c r="M69" s="22">
        <f>IFERROR(__xludf.DUMMYFUNCTION("""COMPUTED_VALUE"""),176.06793435579397)</f>
        <v>176.0679344</v>
      </c>
      <c r="N69" s="22">
        <f>IFERROR(__xludf.DUMMYFUNCTION("""COMPUTED_VALUE"""),432.60729524390626)</f>
        <v>432.6072952</v>
      </c>
      <c r="O69" s="22">
        <f t="shared" si="1"/>
        <v>0.8274079775</v>
      </c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tr">
        <f>IFERROR(__xludf.DUMMYFUNCTION("""COMPUTED_VALUE"""),"Mexico")</f>
        <v>Mexico</v>
      </c>
      <c r="B70" s="18">
        <f>IFERROR(__xludf.DUMMYFUNCTION("""COMPUTED_VALUE"""),44382.0)</f>
        <v>44382</v>
      </c>
      <c r="C70" s="19">
        <f>IFERROR(__xludf.DUMMYFUNCTION("""COMPUTED_VALUE"""),44388.0)</f>
        <v>44388</v>
      </c>
      <c r="D70" s="17">
        <f>IFERROR(__xludf.DUMMYFUNCTION("""COMPUTED_VALUE"""),27.0)</f>
        <v>27</v>
      </c>
      <c r="E70" s="17">
        <f>IFERROR(__xludf.DUMMYFUNCTION("""COMPUTED_VALUE"""),15444.0)</f>
        <v>15444</v>
      </c>
      <c r="F70" s="17">
        <f>IFERROR(__xludf.DUMMYFUNCTION("""COMPUTED_VALUE"""),1347.0)</f>
        <v>1347</v>
      </c>
      <c r="G70" s="20"/>
      <c r="H70" s="20"/>
      <c r="I70" s="20"/>
      <c r="J70" s="21">
        <f>IFERROR(__xludf.DUMMYFUNCTION("""COMPUTED_VALUE"""),2871.0)</f>
        <v>2871</v>
      </c>
      <c r="K70" s="22">
        <f>IFERROR(__xludf.DUMMYFUNCTION("""COMPUTED_VALUE"""),1.0340680513505758)</f>
        <v>1.034068051</v>
      </c>
      <c r="L70" s="22">
        <f>IFERROR(__xludf.DUMMYFUNCTION("""COMPUTED_VALUE"""),2.204015868914256)</f>
        <v>2.204015869</v>
      </c>
      <c r="M70" s="22">
        <f>IFERROR(__xludf.DUMMYFUNCTION("""COMPUTED_VALUE"""),177.10200240714454)</f>
        <v>177.1020024</v>
      </c>
      <c r="N70" s="22">
        <f>IFERROR(__xludf.DUMMYFUNCTION("""COMPUTED_VALUE"""),434.81131111282053)</f>
        <v>434.8113111</v>
      </c>
      <c r="O70" s="22">
        <f t="shared" si="1"/>
        <v>1.169947818</v>
      </c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tr">
        <f>IFERROR(__xludf.DUMMYFUNCTION("""COMPUTED_VALUE"""),"Mexico")</f>
        <v>Mexico</v>
      </c>
      <c r="B71" s="18">
        <f>IFERROR(__xludf.DUMMYFUNCTION("""COMPUTED_VALUE"""),44389.0)</f>
        <v>44389</v>
      </c>
      <c r="C71" s="19">
        <f>IFERROR(__xludf.DUMMYFUNCTION("""COMPUTED_VALUE"""),44395.0)</f>
        <v>44395</v>
      </c>
      <c r="D71" s="17">
        <f>IFERROR(__xludf.DUMMYFUNCTION("""COMPUTED_VALUE"""),28.0)</f>
        <v>28</v>
      </c>
      <c r="E71" s="17">
        <f>IFERROR(__xludf.DUMMYFUNCTION("""COMPUTED_VALUE"""),16410.0)</f>
        <v>16410</v>
      </c>
      <c r="F71" s="17">
        <f>IFERROR(__xludf.DUMMYFUNCTION("""COMPUTED_VALUE"""),1362.0)</f>
        <v>1362</v>
      </c>
      <c r="G71" s="20"/>
      <c r="H71" s="20"/>
      <c r="I71" s="20"/>
      <c r="J71" s="21">
        <f>IFERROR(__xludf.DUMMYFUNCTION("""COMPUTED_VALUE"""),3837.7999999999993)</f>
        <v>3837.8</v>
      </c>
      <c r="K71" s="22">
        <f>IFERROR(__xludf.DUMMYFUNCTION("""COMPUTED_VALUE"""),1.0455832857754153)</f>
        <v>1.045583286</v>
      </c>
      <c r="L71" s="22">
        <f>IFERROR(__xludf.DUMMYFUNCTION("""COMPUTED_VALUE"""),2.946211111709903)</f>
        <v>2.946211112</v>
      </c>
      <c r="M71" s="22">
        <f>IFERROR(__xludf.DUMMYFUNCTION("""COMPUTED_VALUE"""),178.14758569291996)</f>
        <v>178.1475857</v>
      </c>
      <c r="N71" s="22">
        <f>IFERROR(__xludf.DUMMYFUNCTION("""COMPUTED_VALUE"""),437.7575222245304)</f>
        <v>437.7575222</v>
      </c>
      <c r="O71" s="22">
        <f t="shared" si="1"/>
        <v>1.900627826</v>
      </c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tr">
        <f>IFERROR(__xludf.DUMMYFUNCTION("""COMPUTED_VALUE"""),"Mexico")</f>
        <v>Mexico</v>
      </c>
      <c r="B72" s="18">
        <f>IFERROR(__xludf.DUMMYFUNCTION("""COMPUTED_VALUE"""),44396.0)</f>
        <v>44396</v>
      </c>
      <c r="C72" s="19">
        <f>IFERROR(__xludf.DUMMYFUNCTION("""COMPUTED_VALUE"""),44402.0)</f>
        <v>44402</v>
      </c>
      <c r="D72" s="17">
        <f>IFERROR(__xludf.DUMMYFUNCTION("""COMPUTED_VALUE"""),29.0)</f>
        <v>29</v>
      </c>
      <c r="E72" s="17">
        <f>IFERROR(__xludf.DUMMYFUNCTION("""COMPUTED_VALUE"""),18342.0)</f>
        <v>18342</v>
      </c>
      <c r="F72" s="17">
        <f>IFERROR(__xludf.DUMMYFUNCTION("""COMPUTED_VALUE"""),2093.0)</f>
        <v>2093</v>
      </c>
      <c r="G72" s="20"/>
      <c r="H72" s="20"/>
      <c r="I72" s="20"/>
      <c r="J72" s="21">
        <f>IFERROR(__xludf.DUMMYFUNCTION("""COMPUTED_VALUE"""),5653.799999999999)</f>
        <v>5653.8</v>
      </c>
      <c r="K72" s="22">
        <f>IFERROR(__xludf.DUMMYFUNCTION("""COMPUTED_VALUE"""),1.6067590434125874)</f>
        <v>1.606759043</v>
      </c>
      <c r="L72" s="22">
        <f>IFERROR(__xludf.DUMMYFUNCTION("""COMPUTED_VALUE"""),4.340322159410456)</f>
        <v>4.340322159</v>
      </c>
      <c r="M72" s="22">
        <f>IFERROR(__xludf.DUMMYFUNCTION("""COMPUTED_VALUE"""),179.75434473633254)</f>
        <v>179.7543447</v>
      </c>
      <c r="N72" s="22">
        <f>IFERROR(__xludf.DUMMYFUNCTION("""COMPUTED_VALUE"""),442.09784438394087)</f>
        <v>442.0978444</v>
      </c>
      <c r="O72" s="22">
        <f t="shared" si="1"/>
        <v>2.733563116</v>
      </c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tr">
        <f>IFERROR(__xludf.DUMMYFUNCTION("""COMPUTED_VALUE"""),"Mexico")</f>
        <v>Mexico</v>
      </c>
      <c r="B73" s="18">
        <f>IFERROR(__xludf.DUMMYFUNCTION("""COMPUTED_VALUE"""),44403.0)</f>
        <v>44403</v>
      </c>
      <c r="C73" s="19">
        <f>IFERROR(__xludf.DUMMYFUNCTION("""COMPUTED_VALUE"""),44409.0)</f>
        <v>44409</v>
      </c>
      <c r="D73" s="17">
        <f>IFERROR(__xludf.DUMMYFUNCTION("""COMPUTED_VALUE"""),30.0)</f>
        <v>30</v>
      </c>
      <c r="E73" s="17">
        <f>IFERROR(__xludf.DUMMYFUNCTION("""COMPUTED_VALUE"""),20721.0)</f>
        <v>20721</v>
      </c>
      <c r="F73" s="17">
        <f>IFERROR(__xludf.DUMMYFUNCTION("""COMPUTED_VALUE"""),2610.0)</f>
        <v>2610</v>
      </c>
      <c r="G73" s="20"/>
      <c r="H73" s="20"/>
      <c r="I73" s="20"/>
      <c r="J73" s="21">
        <f>IFERROR(__xludf.DUMMYFUNCTION("""COMPUTED_VALUE"""),7976.6)</f>
        <v>7976.6</v>
      </c>
      <c r="K73" s="22">
        <f>IFERROR(__xludf.DUMMYFUNCTION("""COMPUTED_VALUE"""),2.003650789922051)</f>
        <v>2.00365079</v>
      </c>
      <c r="L73" s="22">
        <f>IFERROR(__xludf.DUMMYFUNCTION("""COMPUTED_VALUE"""),6.123494594211583)</f>
        <v>6.123494594</v>
      </c>
      <c r="M73" s="22">
        <f>IFERROR(__xludf.DUMMYFUNCTION("""COMPUTED_VALUE"""),181.7579955262546)</f>
        <v>181.7579955</v>
      </c>
      <c r="N73" s="22">
        <f>IFERROR(__xludf.DUMMYFUNCTION("""COMPUTED_VALUE"""),448.22133897815246)</f>
        <v>448.221339</v>
      </c>
      <c r="O73" s="22">
        <f t="shared" si="1"/>
        <v>4.119843804</v>
      </c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tr">
        <f>IFERROR(__xludf.DUMMYFUNCTION("""COMPUTED_VALUE"""),"Mexico")</f>
        <v>Mexico</v>
      </c>
      <c r="B74" s="18">
        <f>IFERROR(__xludf.DUMMYFUNCTION("""COMPUTED_VALUE"""),44410.0)</f>
        <v>44410</v>
      </c>
      <c r="C74" s="19">
        <f>IFERROR(__xludf.DUMMYFUNCTION("""COMPUTED_VALUE"""),44416.0)</f>
        <v>44416</v>
      </c>
      <c r="D74" s="17">
        <f>IFERROR(__xludf.DUMMYFUNCTION("""COMPUTED_VALUE"""),31.0)</f>
        <v>31</v>
      </c>
      <c r="E74" s="17">
        <f>IFERROR(__xludf.DUMMYFUNCTION("""COMPUTED_VALUE"""),23457.0)</f>
        <v>23457</v>
      </c>
      <c r="F74" s="17">
        <f>IFERROR(__xludf.DUMMYFUNCTION("""COMPUTED_VALUE"""),3386.0)</f>
        <v>3386</v>
      </c>
      <c r="G74" s="20"/>
      <c r="H74" s="20"/>
      <c r="I74" s="20"/>
      <c r="J74" s="21">
        <f>IFERROR(__xludf.DUMMYFUNCTION("""COMPUTED_VALUE"""),10637.2)</f>
        <v>10637.2</v>
      </c>
      <c r="K74" s="22">
        <f>IFERROR(__xludf.DUMMYFUNCTION("""COMPUTED_VALUE"""),2.599372250833741)</f>
        <v>2.599372251</v>
      </c>
      <c r="L74" s="22">
        <f>IFERROR(__xludf.DUMMYFUNCTION("""COMPUTED_VALUE"""),8.165990108260093)</f>
        <v>8.165990108</v>
      </c>
      <c r="M74" s="22">
        <f>IFERROR(__xludf.DUMMYFUNCTION("""COMPUTED_VALUE"""),184.35736777708834)</f>
        <v>184.3573678</v>
      </c>
      <c r="N74" s="22">
        <f>IFERROR(__xludf.DUMMYFUNCTION("""COMPUTED_VALUE"""),456.38732908641254)</f>
        <v>456.3873291</v>
      </c>
      <c r="O74" s="22">
        <f t="shared" si="1"/>
        <v>5.566617857</v>
      </c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tr">
        <f>IFERROR(__xludf.DUMMYFUNCTION("""COMPUTED_VALUE"""),"Mexico")</f>
        <v>Mexico</v>
      </c>
      <c r="B75" s="18">
        <f>IFERROR(__xludf.DUMMYFUNCTION("""COMPUTED_VALUE"""),44417.0)</f>
        <v>44417</v>
      </c>
      <c r="C75" s="19">
        <f>IFERROR(__xludf.DUMMYFUNCTION("""COMPUTED_VALUE"""),44423.0)</f>
        <v>44423</v>
      </c>
      <c r="D75" s="17">
        <f>IFERROR(__xludf.DUMMYFUNCTION("""COMPUTED_VALUE"""),32.0)</f>
        <v>32</v>
      </c>
      <c r="E75" s="17">
        <f>IFERROR(__xludf.DUMMYFUNCTION("""COMPUTED_VALUE"""),25423.0)</f>
        <v>25423</v>
      </c>
      <c r="F75" s="17">
        <f>IFERROR(__xludf.DUMMYFUNCTION("""COMPUTED_VALUE"""),3747.0)</f>
        <v>3747</v>
      </c>
      <c r="G75" s="20"/>
      <c r="H75" s="20"/>
      <c r="I75" s="20"/>
      <c r="J75" s="21">
        <f>IFERROR(__xludf.DUMMYFUNCTION("""COMPUTED_VALUE"""),12879.4)</f>
        <v>12879.4</v>
      </c>
      <c r="K75" s="22">
        <f>IFERROR(__xludf.DUMMYFUNCTION("""COMPUTED_VALUE"""),2.8765055593248756)</f>
        <v>2.876505559</v>
      </c>
      <c r="L75" s="22">
        <f>IFERROR(__xludf.DUMMYFUNCTION("""COMPUTED_VALUE"""),9.887287350085082)</f>
        <v>9.88728735</v>
      </c>
      <c r="M75" s="22">
        <f>IFERROR(__xludf.DUMMYFUNCTION("""COMPUTED_VALUE"""),187.2338733364132)</f>
        <v>187.2338733</v>
      </c>
      <c r="N75" s="22">
        <f>IFERROR(__xludf.DUMMYFUNCTION("""COMPUTED_VALUE"""),466.27461643649764)</f>
        <v>466.2746164</v>
      </c>
      <c r="O75" s="22">
        <f t="shared" si="1"/>
        <v>7.010781791</v>
      </c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tr">
        <f>IFERROR(__xludf.DUMMYFUNCTION("""COMPUTED_VALUE"""),"Mexico")</f>
        <v>Mexico</v>
      </c>
      <c r="B76" s="18">
        <f>IFERROR(__xludf.DUMMYFUNCTION("""COMPUTED_VALUE"""),44424.0)</f>
        <v>44424</v>
      </c>
      <c r="C76" s="19">
        <f>IFERROR(__xludf.DUMMYFUNCTION("""COMPUTED_VALUE"""),44430.0)</f>
        <v>44430</v>
      </c>
      <c r="D76" s="17">
        <f>IFERROR(__xludf.DUMMYFUNCTION("""COMPUTED_VALUE"""),33.0)</f>
        <v>33</v>
      </c>
      <c r="E76" s="17">
        <f>IFERROR(__xludf.DUMMYFUNCTION("""COMPUTED_VALUE"""),26786.0)</f>
        <v>26786</v>
      </c>
      <c r="F76" s="17">
        <f>IFERROR(__xludf.DUMMYFUNCTION("""COMPUTED_VALUE"""),4988.0)</f>
        <v>4988</v>
      </c>
      <c r="G76" s="20"/>
      <c r="H76" s="20"/>
      <c r="I76" s="20"/>
      <c r="J76" s="21">
        <f>IFERROR(__xludf.DUMMYFUNCTION("""COMPUTED_VALUE"""),14183.0)</f>
        <v>14183</v>
      </c>
      <c r="K76" s="22">
        <f>IFERROR(__xludf.DUMMYFUNCTION("""COMPUTED_VALUE"""),3.8291992874065865)</f>
        <v>3.829199287</v>
      </c>
      <c r="L76" s="22">
        <f>IFERROR(__xludf.DUMMYFUNCTION("""COMPUTED_VALUE"""),10.888037989833123)</f>
        <v>10.88803799</v>
      </c>
      <c r="M76" s="22">
        <f>IFERROR(__xludf.DUMMYFUNCTION("""COMPUTED_VALUE"""),191.0630726238198)</f>
        <v>191.0630726</v>
      </c>
      <c r="N76" s="22">
        <f>IFERROR(__xludf.DUMMYFUNCTION("""COMPUTED_VALUE"""),477.16265442633073)</f>
        <v>477.1626544</v>
      </c>
      <c r="O76" s="22">
        <f t="shared" si="1"/>
        <v>7.058838702</v>
      </c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tr">
        <f>IFERROR(__xludf.DUMMYFUNCTION("""COMPUTED_VALUE"""),"Mexico")</f>
        <v>Mexico</v>
      </c>
      <c r="B77" s="18">
        <f>IFERROR(__xludf.DUMMYFUNCTION("""COMPUTED_VALUE"""),44431.0)</f>
        <v>44431</v>
      </c>
      <c r="C77" s="19">
        <f>IFERROR(__xludf.DUMMYFUNCTION("""COMPUTED_VALUE"""),44437.0)</f>
        <v>44437</v>
      </c>
      <c r="D77" s="17">
        <f>IFERROR(__xludf.DUMMYFUNCTION("""COMPUTED_VALUE"""),34.0)</f>
        <v>34</v>
      </c>
      <c r="E77" s="17">
        <f>IFERROR(__xludf.DUMMYFUNCTION("""COMPUTED_VALUE"""),25778.0)</f>
        <v>25778</v>
      </c>
      <c r="F77" s="17">
        <f>IFERROR(__xludf.DUMMYFUNCTION("""COMPUTED_VALUE"""),5010.0)</f>
        <v>5010</v>
      </c>
      <c r="G77" s="20"/>
      <c r="H77" s="20"/>
      <c r="I77" s="20"/>
      <c r="J77" s="21">
        <f>IFERROR(__xludf.DUMMYFUNCTION("""COMPUTED_VALUE"""),13349.4)</f>
        <v>13349.4</v>
      </c>
      <c r="K77" s="22">
        <f>IFERROR(__xludf.DUMMYFUNCTION("""COMPUTED_VALUE"""),3.8460882978963506)</f>
        <v>3.846088298</v>
      </c>
      <c r="L77" s="22">
        <f>IFERROR(__xludf.DUMMYFUNCTION("""COMPUTED_VALUE"""),10.24809802873005)</f>
        <v>10.24809803</v>
      </c>
      <c r="M77" s="22">
        <f>IFERROR(__xludf.DUMMYFUNCTION("""COMPUTED_VALUE"""),194.90916092171616)</f>
        <v>194.9091609</v>
      </c>
      <c r="N77" s="22">
        <f>IFERROR(__xludf.DUMMYFUNCTION("""COMPUTED_VALUE"""),487.4107524550608)</f>
        <v>487.4107525</v>
      </c>
      <c r="O77" s="22">
        <f t="shared" si="1"/>
        <v>6.402009731</v>
      </c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tr">
        <f>IFERROR(__xludf.DUMMYFUNCTION("""COMPUTED_VALUE"""),"Mexico")</f>
        <v>Mexico</v>
      </c>
      <c r="B78" s="18">
        <f>IFERROR(__xludf.DUMMYFUNCTION("""COMPUTED_VALUE"""),44438.0)</f>
        <v>44438</v>
      </c>
      <c r="C78" s="19">
        <f>IFERROR(__xludf.DUMMYFUNCTION("""COMPUTED_VALUE"""),44444.0)</f>
        <v>44444</v>
      </c>
      <c r="D78" s="17">
        <f>IFERROR(__xludf.DUMMYFUNCTION("""COMPUTED_VALUE"""),35.0)</f>
        <v>35</v>
      </c>
      <c r="E78" s="17">
        <f>IFERROR(__xludf.DUMMYFUNCTION("""COMPUTED_VALUE"""),25052.0)</f>
        <v>25052</v>
      </c>
      <c r="F78" s="17">
        <f>IFERROR(__xludf.DUMMYFUNCTION("""COMPUTED_VALUE"""),4975.0)</f>
        <v>4975</v>
      </c>
      <c r="G78" s="20"/>
      <c r="H78" s="20"/>
      <c r="I78" s="20"/>
      <c r="J78" s="21">
        <f>IFERROR(__xludf.DUMMYFUNCTION("""COMPUTED_VALUE"""),12687.4)</f>
        <v>12687.4</v>
      </c>
      <c r="K78" s="22">
        <f>IFERROR(__xludf.DUMMYFUNCTION("""COMPUTED_VALUE"""),3.8192194175717256)</f>
        <v>3.819219418</v>
      </c>
      <c r="L78" s="22">
        <f>IFERROR(__xludf.DUMMYFUNCTION("""COMPUTED_VALUE"""),9.739892349447139)</f>
        <v>9.739892349</v>
      </c>
      <c r="M78" s="22">
        <f>IFERROR(__xludf.DUMMYFUNCTION("""COMPUTED_VALUE"""),198.7283803392879)</f>
        <v>198.7283803</v>
      </c>
      <c r="N78" s="22">
        <f>IFERROR(__xludf.DUMMYFUNCTION("""COMPUTED_VALUE"""),497.1506448045079)</f>
        <v>497.1506448</v>
      </c>
      <c r="O78" s="22">
        <f t="shared" si="1"/>
        <v>5.920672932</v>
      </c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tr">
        <f>IFERROR(__xludf.DUMMYFUNCTION("""COMPUTED_VALUE"""),"Mexico")</f>
        <v>Mexico</v>
      </c>
      <c r="B79" s="18">
        <f>IFERROR(__xludf.DUMMYFUNCTION("""COMPUTED_VALUE"""),44445.0)</f>
        <v>44445</v>
      </c>
      <c r="C79" s="19">
        <f>IFERROR(__xludf.DUMMYFUNCTION("""COMPUTED_VALUE"""),44451.0)</f>
        <v>44451</v>
      </c>
      <c r="D79" s="17">
        <f>IFERROR(__xludf.DUMMYFUNCTION("""COMPUTED_VALUE"""),36.0)</f>
        <v>36</v>
      </c>
      <c r="E79" s="17">
        <f>IFERROR(__xludf.DUMMYFUNCTION("""COMPUTED_VALUE"""),23022.0)</f>
        <v>23022</v>
      </c>
      <c r="F79" s="17">
        <f>IFERROR(__xludf.DUMMYFUNCTION("""COMPUTED_VALUE"""),4608.0)</f>
        <v>4608</v>
      </c>
      <c r="G79" s="20"/>
      <c r="H79" s="20"/>
      <c r="I79" s="20"/>
      <c r="J79" s="21">
        <f>IFERROR(__xludf.DUMMYFUNCTION("""COMPUTED_VALUE"""),10536.4)</f>
        <v>10536.4</v>
      </c>
      <c r="K79" s="22">
        <f>IFERROR(__xludf.DUMMYFUNCTION("""COMPUTED_VALUE"""),3.537480015310656)</f>
        <v>3.537480015</v>
      </c>
      <c r="L79" s="22">
        <f>IFERROR(__xludf.DUMMYFUNCTION("""COMPUTED_VALUE"""),8.088607732925173)</f>
        <v>8.088607733</v>
      </c>
      <c r="M79" s="22">
        <f>IFERROR(__xludf.DUMMYFUNCTION("""COMPUTED_VALUE"""),202.26586035459854)</f>
        <v>202.2658604</v>
      </c>
      <c r="N79" s="22">
        <f>IFERROR(__xludf.DUMMYFUNCTION("""COMPUTED_VALUE"""),505.2392525374331)</f>
        <v>505.2392525</v>
      </c>
      <c r="O79" s="22">
        <f t="shared" si="1"/>
        <v>4.551127718</v>
      </c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tr">
        <f>IFERROR(__xludf.DUMMYFUNCTION("""COMPUTED_VALUE"""),"Mexico")</f>
        <v>Mexico</v>
      </c>
      <c r="B80" s="18">
        <f>IFERROR(__xludf.DUMMYFUNCTION("""COMPUTED_VALUE"""),44452.0)</f>
        <v>44452</v>
      </c>
      <c r="C80" s="19">
        <f>IFERROR(__xludf.DUMMYFUNCTION("""COMPUTED_VALUE"""),44458.0)</f>
        <v>44458</v>
      </c>
      <c r="D80" s="17">
        <f>IFERROR(__xludf.DUMMYFUNCTION("""COMPUTED_VALUE"""),37.0)</f>
        <v>37</v>
      </c>
      <c r="E80" s="17">
        <f>IFERROR(__xludf.DUMMYFUNCTION("""COMPUTED_VALUE"""),21506.0)</f>
        <v>21506</v>
      </c>
      <c r="F80" s="17">
        <f>IFERROR(__xludf.DUMMYFUNCTION("""COMPUTED_VALUE"""),3755.0)</f>
        <v>3755</v>
      </c>
      <c r="G80" s="20"/>
      <c r="H80" s="20"/>
      <c r="I80" s="20"/>
      <c r="J80" s="21">
        <f>IFERROR(__xludf.DUMMYFUNCTION("""COMPUTED_VALUE"""),8833.8)</f>
        <v>8833.8</v>
      </c>
      <c r="K80" s="22">
        <f>IFERROR(__xludf.DUMMYFUNCTION("""COMPUTED_VALUE"""),2.88264701768479)</f>
        <v>2.882647018</v>
      </c>
      <c r="L80" s="22">
        <f>IFERROR(__xludf.DUMMYFUNCTION("""COMPUTED_VALUE"""),6.781551857476404)</f>
        <v>6.781551857</v>
      </c>
      <c r="M80" s="22">
        <f>IFERROR(__xludf.DUMMYFUNCTION("""COMPUTED_VALUE"""),205.14850737228335)</f>
        <v>205.1485074</v>
      </c>
      <c r="N80" s="22">
        <f>IFERROR(__xludf.DUMMYFUNCTION("""COMPUTED_VALUE"""),512.0208043949095)</f>
        <v>512.0208044</v>
      </c>
      <c r="O80" s="22">
        <f t="shared" si="1"/>
        <v>3.89890484</v>
      </c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tr">
        <f>IFERROR(__xludf.DUMMYFUNCTION("""COMPUTED_VALUE"""),"Mexico")</f>
        <v>Mexico</v>
      </c>
      <c r="B81" s="18">
        <f>IFERROR(__xludf.DUMMYFUNCTION("""COMPUTED_VALUE"""),44459.0)</f>
        <v>44459</v>
      </c>
      <c r="C81" s="19">
        <f>IFERROR(__xludf.DUMMYFUNCTION("""COMPUTED_VALUE"""),44465.0)</f>
        <v>44465</v>
      </c>
      <c r="D81" s="17">
        <f>IFERROR(__xludf.DUMMYFUNCTION("""COMPUTED_VALUE"""),38.0)</f>
        <v>38</v>
      </c>
      <c r="E81" s="17">
        <f>IFERROR(__xludf.DUMMYFUNCTION("""COMPUTED_VALUE"""),19587.0)</f>
        <v>19587</v>
      </c>
      <c r="F81" s="17">
        <f>IFERROR(__xludf.DUMMYFUNCTION("""COMPUTED_VALUE"""),3947.0)</f>
        <v>3947</v>
      </c>
      <c r="G81" s="20"/>
      <c r="H81" s="20"/>
      <c r="I81" s="20"/>
      <c r="J81" s="21">
        <f>IFERROR(__xludf.DUMMYFUNCTION("""COMPUTED_VALUE"""),6755.799999999999)</f>
        <v>6755.8</v>
      </c>
      <c r="K81" s="22">
        <f>IFERROR(__xludf.DUMMYFUNCTION("""COMPUTED_VALUE"""),3.030042018322734)</f>
        <v>3.030042018</v>
      </c>
      <c r="L81" s="22">
        <f>IFERROR(__xludf.DUMMYFUNCTION("""COMPUTED_VALUE"""),5.186308048488656)</f>
        <v>5.186308048</v>
      </c>
      <c r="M81" s="22">
        <f>IFERROR(__xludf.DUMMYFUNCTION("""COMPUTED_VALUE"""),208.1785493906061)</f>
        <v>208.1785494</v>
      </c>
      <c r="N81" s="22">
        <f>IFERROR(__xludf.DUMMYFUNCTION("""COMPUTED_VALUE"""),517.2071124433982)</f>
        <v>517.2071124</v>
      </c>
      <c r="O81" s="22">
        <f t="shared" si="1"/>
        <v>2.15626603</v>
      </c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tr">
        <f>IFERROR(__xludf.DUMMYFUNCTION("""COMPUTED_VALUE"""),"Mexico")</f>
        <v>Mexico</v>
      </c>
      <c r="B82" s="18">
        <f>IFERROR(__xludf.DUMMYFUNCTION("""COMPUTED_VALUE"""),44466.0)</f>
        <v>44466</v>
      </c>
      <c r="C82" s="19">
        <f>IFERROR(__xludf.DUMMYFUNCTION("""COMPUTED_VALUE"""),44472.0)</f>
        <v>44472</v>
      </c>
      <c r="D82" s="17">
        <f>IFERROR(__xludf.DUMMYFUNCTION("""COMPUTED_VALUE"""),39.0)</f>
        <v>39</v>
      </c>
      <c r="E82" s="17">
        <f>IFERROR(__xludf.DUMMYFUNCTION("""COMPUTED_VALUE"""),17718.0)</f>
        <v>17718</v>
      </c>
      <c r="F82" s="17">
        <f>IFERROR(__xludf.DUMMYFUNCTION("""COMPUTED_VALUE"""),3142.0)</f>
        <v>3142</v>
      </c>
      <c r="G82" s="20"/>
      <c r="H82" s="20"/>
      <c r="I82" s="20"/>
      <c r="J82" s="21">
        <f>IFERROR(__xludf.DUMMYFUNCTION("""COMPUTED_VALUE"""),5159.6)</f>
        <v>5159.6</v>
      </c>
      <c r="K82" s="22">
        <f>IFERROR(__xludf.DUMMYFUNCTION("""COMPUTED_VALUE"""),2.412057770856354)</f>
        <v>2.412057771</v>
      </c>
      <c r="L82" s="22">
        <f>IFERROR(__xludf.DUMMYFUNCTION("""COMPUTED_VALUE"""),3.9609335692267496)</f>
        <v>3.960933569</v>
      </c>
      <c r="M82" s="22">
        <f>IFERROR(__xludf.DUMMYFUNCTION("""COMPUTED_VALUE"""),210.59060716146246)</f>
        <v>210.5906072</v>
      </c>
      <c r="N82" s="22">
        <f>IFERROR(__xludf.DUMMYFUNCTION("""COMPUTED_VALUE"""),521.1680460126249)</f>
        <v>521.168046</v>
      </c>
      <c r="O82" s="22">
        <f t="shared" si="1"/>
        <v>1.548875798</v>
      </c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3" t="str">
        <f>IFERROR(__xludf.DUMMYFUNCTION("""COMPUTED_VALUE"""),"Mexico")</f>
        <v>Mexico</v>
      </c>
      <c r="B83" s="24">
        <f>IFERROR(__xludf.DUMMYFUNCTION("""COMPUTED_VALUE"""),44473.0)</f>
        <v>44473</v>
      </c>
      <c r="C83" s="25">
        <f>IFERROR(__xludf.DUMMYFUNCTION("""COMPUTED_VALUE"""),44479.0)</f>
        <v>44479</v>
      </c>
      <c r="D83" s="23">
        <f>IFERROR(__xludf.DUMMYFUNCTION("""COMPUTED_VALUE"""),40.0)</f>
        <v>40</v>
      </c>
      <c r="E83" s="23">
        <f>IFERROR(__xludf.DUMMYFUNCTION("""COMPUTED_VALUE"""),15572.0)</f>
        <v>15572</v>
      </c>
      <c r="F83" s="23">
        <f>IFERROR(__xludf.DUMMYFUNCTION("""COMPUTED_VALUE"""),3494.0)</f>
        <v>3494</v>
      </c>
      <c r="G83" s="26"/>
      <c r="H83" s="26"/>
      <c r="I83" s="26"/>
      <c r="J83" s="27">
        <f>IFERROR(__xludf.DUMMYFUNCTION("""COMPUTED_VALUE"""),2697.2000000000007)</f>
        <v>2697.2</v>
      </c>
      <c r="K83" s="28">
        <f>IFERROR(__xludf.DUMMYFUNCTION("""COMPUTED_VALUE"""),2.6822819386925847)</f>
        <v>2.682281939</v>
      </c>
      <c r="L83" s="28">
        <f>IFERROR(__xludf.DUMMYFUNCTION("""COMPUTED_VALUE"""),2.0705926860451176)</f>
        <v>2.070592686</v>
      </c>
      <c r="M83" s="28">
        <f>IFERROR(__xludf.DUMMYFUNCTION("""COMPUTED_VALUE"""),213.27288910015506)</f>
        <v>213.2728891</v>
      </c>
      <c r="N83" s="28">
        <f>IFERROR(__xludf.DUMMYFUNCTION("""COMPUTED_VALUE"""),523.23863869867)</f>
        <v>523.2386387</v>
      </c>
      <c r="O83" s="28">
        <f t="shared" si="1"/>
        <v>-0.6116892526</v>
      </c>
      <c r="P83" s="29"/>
      <c r="Q83" s="29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tr">
        <f>IFERROR(__xludf.DUMMYFUNCTION("QUERY('Peru CON'!A2:N89,""SELECT *"",0)"),"Peru")</f>
        <v>Peru</v>
      </c>
      <c r="B84" s="18">
        <f>IFERROR(__xludf.DUMMYFUNCTION("""COMPUTED_VALUE"""),43892.0)</f>
        <v>43892</v>
      </c>
      <c r="C84" s="19">
        <f>IFERROR(__xludf.DUMMYFUNCTION("""COMPUTED_VALUE"""),43898.0)</f>
        <v>43898</v>
      </c>
      <c r="D84" s="17">
        <f>IFERROR(__xludf.DUMMYFUNCTION("""COMPUTED_VALUE"""),10.0)</f>
        <v>10</v>
      </c>
      <c r="E84" s="17">
        <f>IFERROR(__xludf.DUMMYFUNCTION("""COMPUTED_VALUE"""),2409.0)</f>
        <v>2409</v>
      </c>
      <c r="F84" s="17">
        <f>IFERROR(__xludf.DUMMYFUNCTION("""COMPUTED_VALUE"""),2.0)</f>
        <v>2</v>
      </c>
      <c r="G84" s="20">
        <f>IFERROR(__xludf.DUMMYFUNCTION("""COMPUTED_VALUE"""),1.0)</f>
        <v>1</v>
      </c>
      <c r="H84" s="20">
        <f>IFERROR(__xludf.DUMMYFUNCTION("""COMPUTED_VALUE"""),3985.0)</f>
        <v>3985</v>
      </c>
      <c r="I84" s="20">
        <f>IFERROR(__xludf.DUMMYFUNCTION("""COMPUTED_VALUE"""),2054.5)</f>
        <v>2054.5</v>
      </c>
      <c r="J84" s="21">
        <f>IFERROR(__xludf.DUMMYFUNCTION("""COMPUTED_VALUE"""),400.66666666666674)</f>
        <v>400.6666667</v>
      </c>
      <c r="K84" s="22">
        <f>IFERROR(__xludf.DUMMYFUNCTION("""COMPUTED_VALUE"""),0.005995308970496035)</f>
        <v>0.00599530897</v>
      </c>
      <c r="L84" s="22">
        <f>IFERROR(__xludf.DUMMYFUNCTION("""COMPUTED_VALUE"""),1.201060230422706)</f>
        <v>1.20106023</v>
      </c>
      <c r="M84" s="22">
        <f>IFERROR(__xludf.DUMMYFUNCTION("""COMPUTED_VALUE"""),0.005995308970496035)</f>
        <v>0.00599530897</v>
      </c>
      <c r="N84" s="22">
        <f>IFERROR(__xludf.DUMMYFUNCTION("""COMPUTED_VALUE"""),1.201060230422706)</f>
        <v>1.20106023</v>
      </c>
      <c r="O84" s="22">
        <f t="shared" si="1"/>
        <v>1.195064921</v>
      </c>
      <c r="P84" s="5" t="s">
        <v>3</v>
      </c>
      <c r="Q84" s="4">
        <v>3.3359415E7</v>
      </c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tr">
        <f>IFERROR(__xludf.DUMMYFUNCTION("""COMPUTED_VALUE"""),"Peru")</f>
        <v>Peru</v>
      </c>
      <c r="B85" s="18">
        <f>IFERROR(__xludf.DUMMYFUNCTION("""COMPUTED_VALUE"""),43899.0)</f>
        <v>43899</v>
      </c>
      <c r="C85" s="19">
        <f>IFERROR(__xludf.DUMMYFUNCTION("""COMPUTED_VALUE"""),43905.0)</f>
        <v>43905</v>
      </c>
      <c r="D85" s="17">
        <f>IFERROR(__xludf.DUMMYFUNCTION("""COMPUTED_VALUE"""),11.0)</f>
        <v>11</v>
      </c>
      <c r="E85" s="17">
        <f>IFERROR(__xludf.DUMMYFUNCTION("""COMPUTED_VALUE"""),2469.0)</f>
        <v>2469</v>
      </c>
      <c r="F85" s="17">
        <f>IFERROR(__xludf.DUMMYFUNCTION("""COMPUTED_VALUE"""),3.0)</f>
        <v>3</v>
      </c>
      <c r="G85" s="20">
        <f>IFERROR(__xludf.DUMMYFUNCTION("""COMPUTED_VALUE"""),2.0)</f>
        <v>2</v>
      </c>
      <c r="H85" s="20">
        <f>IFERROR(__xludf.DUMMYFUNCTION("""COMPUTED_VALUE"""),4638.0)</f>
        <v>4638</v>
      </c>
      <c r="I85" s="20">
        <f>IFERROR(__xludf.DUMMYFUNCTION("""COMPUTED_VALUE"""),2051.5)</f>
        <v>2051.5</v>
      </c>
      <c r="J85" s="21">
        <f>IFERROR(__xludf.DUMMYFUNCTION("""COMPUTED_VALUE"""),417.3333333333335)</f>
        <v>417.3333333</v>
      </c>
      <c r="K85" s="22">
        <f>IFERROR(__xludf.DUMMYFUNCTION("""COMPUTED_VALUE"""),0.008992963455744053)</f>
        <v>0.008992963456</v>
      </c>
      <c r="L85" s="22">
        <f>IFERROR(__xludf.DUMMYFUNCTION("""COMPUTED_VALUE"""),1.251021138510173)</f>
        <v>1.251021139</v>
      </c>
      <c r="M85" s="22">
        <f>IFERROR(__xludf.DUMMYFUNCTION("""COMPUTED_VALUE"""),0.014988272426240089)</f>
        <v>0.01498827243</v>
      </c>
      <c r="N85" s="22">
        <f>IFERROR(__xludf.DUMMYFUNCTION("""COMPUTED_VALUE"""),2.452081368932879)</f>
        <v>2.452081369</v>
      </c>
      <c r="O85" s="22">
        <f t="shared" si="1"/>
        <v>1.242028175</v>
      </c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tr">
        <f>IFERROR(__xludf.DUMMYFUNCTION("""COMPUTED_VALUE"""),"Peru")</f>
        <v>Peru</v>
      </c>
      <c r="B86" s="18">
        <f>IFERROR(__xludf.DUMMYFUNCTION("""COMPUTED_VALUE"""),43906.0)</f>
        <v>43906</v>
      </c>
      <c r="C86" s="19">
        <f>IFERROR(__xludf.DUMMYFUNCTION("""COMPUTED_VALUE"""),43912.0)</f>
        <v>43912</v>
      </c>
      <c r="D86" s="17">
        <f>IFERROR(__xludf.DUMMYFUNCTION("""COMPUTED_VALUE"""),12.0)</f>
        <v>12</v>
      </c>
      <c r="E86" s="17">
        <f>IFERROR(__xludf.DUMMYFUNCTION("""COMPUTED_VALUE"""),2185.0)</f>
        <v>2185</v>
      </c>
      <c r="F86" s="17">
        <f>IFERROR(__xludf.DUMMYFUNCTION("""COMPUTED_VALUE"""),29.0)</f>
        <v>29</v>
      </c>
      <c r="G86" s="20">
        <f>IFERROR(__xludf.DUMMYFUNCTION("""COMPUTED_VALUE"""),3.0)</f>
        <v>3</v>
      </c>
      <c r="H86" s="20">
        <f>IFERROR(__xludf.DUMMYFUNCTION("""COMPUTED_VALUE"""),5704.0)</f>
        <v>5704</v>
      </c>
      <c r="I86" s="20">
        <f>IFERROR(__xludf.DUMMYFUNCTION("""COMPUTED_VALUE"""),2030.75)</f>
        <v>2030.75</v>
      </c>
      <c r="J86" s="21">
        <f>IFERROR(__xludf.DUMMYFUNCTION("""COMPUTED_VALUE"""),189.0)</f>
        <v>189</v>
      </c>
      <c r="K86" s="22">
        <f>IFERROR(__xludf.DUMMYFUNCTION("""COMPUTED_VALUE"""),0.08693198007219251)</f>
        <v>0.08693198007</v>
      </c>
      <c r="L86" s="22">
        <f>IFERROR(__xludf.DUMMYFUNCTION("""COMPUTED_VALUE"""),0.5665566977118753)</f>
        <v>0.5665566977</v>
      </c>
      <c r="M86" s="22">
        <f>IFERROR(__xludf.DUMMYFUNCTION("""COMPUTED_VALUE"""),0.10192025249843259)</f>
        <v>0.1019202525</v>
      </c>
      <c r="N86" s="22">
        <f>IFERROR(__xludf.DUMMYFUNCTION("""COMPUTED_VALUE"""),3.0186380666447543)</f>
        <v>3.018638067</v>
      </c>
      <c r="O86" s="22">
        <f t="shared" si="1"/>
        <v>0.4796247176</v>
      </c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tr">
        <f>IFERROR(__xludf.DUMMYFUNCTION("""COMPUTED_VALUE"""),"Peru")</f>
        <v>Peru</v>
      </c>
      <c r="B87" s="18">
        <f>IFERROR(__xludf.DUMMYFUNCTION("""COMPUTED_VALUE"""),43913.0)</f>
        <v>43913</v>
      </c>
      <c r="C87" s="19">
        <f>IFERROR(__xludf.DUMMYFUNCTION("""COMPUTED_VALUE"""),43919.0)</f>
        <v>43919</v>
      </c>
      <c r="D87" s="17">
        <f>IFERROR(__xludf.DUMMYFUNCTION("""COMPUTED_VALUE"""),13.0)</f>
        <v>13</v>
      </c>
      <c r="E87" s="17">
        <f>IFERROR(__xludf.DUMMYFUNCTION("""COMPUTED_VALUE"""),2150.0)</f>
        <v>2150</v>
      </c>
      <c r="F87" s="17">
        <f>IFERROR(__xludf.DUMMYFUNCTION("""COMPUTED_VALUE"""),61.0)</f>
        <v>61</v>
      </c>
      <c r="G87" s="20">
        <f>IFERROR(__xludf.DUMMYFUNCTION("""COMPUTED_VALUE"""),4.0)</f>
        <v>4</v>
      </c>
      <c r="H87" s="20">
        <f>IFERROR(__xludf.DUMMYFUNCTION("""COMPUTED_VALUE"""),6707.0)</f>
        <v>6707</v>
      </c>
      <c r="I87" s="20">
        <f>IFERROR(__xludf.DUMMYFUNCTION("""COMPUTED_VALUE"""),2049.25)</f>
        <v>2049.25</v>
      </c>
      <c r="J87" s="21">
        <f>IFERROR(__xludf.DUMMYFUNCTION("""COMPUTED_VALUE"""),190.0)</f>
        <v>190</v>
      </c>
      <c r="K87" s="22">
        <f>IFERROR(__xludf.DUMMYFUNCTION("""COMPUTED_VALUE"""),0.1828569236001291)</f>
        <v>0.1828569236</v>
      </c>
      <c r="L87" s="22">
        <f>IFERROR(__xludf.DUMMYFUNCTION("""COMPUTED_VALUE"""),0.5695543521971234)</f>
        <v>0.5695543522</v>
      </c>
      <c r="M87" s="22">
        <f>IFERROR(__xludf.DUMMYFUNCTION("""COMPUTED_VALUE"""),0.2847771760985617)</f>
        <v>0.2847771761</v>
      </c>
      <c r="N87" s="22">
        <f>IFERROR(__xludf.DUMMYFUNCTION("""COMPUTED_VALUE"""),3.588192418841878)</f>
        <v>3.588192419</v>
      </c>
      <c r="O87" s="22">
        <f t="shared" si="1"/>
        <v>0.3866974286</v>
      </c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tr">
        <f>IFERROR(__xludf.DUMMYFUNCTION("""COMPUTED_VALUE"""),"Peru")</f>
        <v>Peru</v>
      </c>
      <c r="B88" s="18">
        <f>IFERROR(__xludf.DUMMYFUNCTION("""COMPUTED_VALUE"""),43920.0)</f>
        <v>43920</v>
      </c>
      <c r="C88" s="19">
        <f>IFERROR(__xludf.DUMMYFUNCTION("""COMPUTED_VALUE"""),43926.0)</f>
        <v>43926</v>
      </c>
      <c r="D88" s="17">
        <f>IFERROR(__xludf.DUMMYFUNCTION("""COMPUTED_VALUE"""),14.0)</f>
        <v>14</v>
      </c>
      <c r="E88" s="17">
        <f>IFERROR(__xludf.DUMMYFUNCTION("""COMPUTED_VALUE"""),2390.0)</f>
        <v>2390</v>
      </c>
      <c r="F88" s="17">
        <f>IFERROR(__xludf.DUMMYFUNCTION("""COMPUTED_VALUE"""),222.0)</f>
        <v>222</v>
      </c>
      <c r="G88" s="20">
        <f>IFERROR(__xludf.DUMMYFUNCTION("""COMPUTED_VALUE"""),5.0)</f>
        <v>5</v>
      </c>
      <c r="H88" s="20">
        <f>IFERROR(__xludf.DUMMYFUNCTION("""COMPUTED_VALUE"""),7021.0)</f>
        <v>7021</v>
      </c>
      <c r="I88" s="20">
        <f>IFERROR(__xludf.DUMMYFUNCTION("""COMPUTED_VALUE"""),2092.25)</f>
        <v>2092.25</v>
      </c>
      <c r="J88" s="21">
        <f>IFERROR(__xludf.DUMMYFUNCTION("""COMPUTED_VALUE"""),422.0)</f>
        <v>422</v>
      </c>
      <c r="K88" s="22">
        <f>IFERROR(__xludf.DUMMYFUNCTION("""COMPUTED_VALUE"""),0.6654792957250599)</f>
        <v>0.6654792957</v>
      </c>
      <c r="L88" s="22">
        <f>IFERROR(__xludf.DUMMYFUNCTION("""COMPUTED_VALUE"""),1.2650101927746635)</f>
        <v>1.265010193</v>
      </c>
      <c r="M88" s="22">
        <f>IFERROR(__xludf.DUMMYFUNCTION("""COMPUTED_VALUE"""),0.9502564718236216)</f>
        <v>0.9502564718</v>
      </c>
      <c r="N88" s="22">
        <f>IFERROR(__xludf.DUMMYFUNCTION("""COMPUTED_VALUE"""),4.853202611616542)</f>
        <v>4.853202612</v>
      </c>
      <c r="O88" s="22">
        <f t="shared" si="1"/>
        <v>0.599530897</v>
      </c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tr">
        <f>IFERROR(__xludf.DUMMYFUNCTION("""COMPUTED_VALUE"""),"Peru")</f>
        <v>Peru</v>
      </c>
      <c r="B89" s="18">
        <f>IFERROR(__xludf.DUMMYFUNCTION("""COMPUTED_VALUE"""),43927.0)</f>
        <v>43927</v>
      </c>
      <c r="C89" s="19">
        <f>IFERROR(__xludf.DUMMYFUNCTION("""COMPUTED_VALUE"""),43933.0)</f>
        <v>43933</v>
      </c>
      <c r="D89" s="17">
        <f>IFERROR(__xludf.DUMMYFUNCTION("""COMPUTED_VALUE"""),15.0)</f>
        <v>15</v>
      </c>
      <c r="E89" s="17">
        <f>IFERROR(__xludf.DUMMYFUNCTION("""COMPUTED_VALUE"""),2514.0)</f>
        <v>2514</v>
      </c>
      <c r="F89" s="17">
        <f>IFERROR(__xludf.DUMMYFUNCTION("""COMPUTED_VALUE"""),529.0)</f>
        <v>529</v>
      </c>
      <c r="G89" s="20">
        <f>IFERROR(__xludf.DUMMYFUNCTION("""COMPUTED_VALUE"""),6.0)</f>
        <v>6</v>
      </c>
      <c r="H89" s="20">
        <f>IFERROR(__xludf.DUMMYFUNCTION("""COMPUTED_VALUE"""),7687.0)</f>
        <v>7687</v>
      </c>
      <c r="I89" s="20">
        <f>IFERROR(__xludf.DUMMYFUNCTION("""COMPUTED_VALUE"""),2058.25)</f>
        <v>2058.25</v>
      </c>
      <c r="J89" s="21">
        <f>IFERROR(__xludf.DUMMYFUNCTION("""COMPUTED_VALUE"""),617.6666666666667)</f>
        <v>617.6666667</v>
      </c>
      <c r="K89" s="22">
        <f>IFERROR(__xludf.DUMMYFUNCTION("""COMPUTED_VALUE"""),1.5857592226962014)</f>
        <v>1.585759223</v>
      </c>
      <c r="L89" s="22">
        <f>IFERROR(__xludf.DUMMYFUNCTION("""COMPUTED_VALUE"""),1.8515512537215257)</f>
        <v>1.851551254</v>
      </c>
      <c r="M89" s="22">
        <f>IFERROR(__xludf.DUMMYFUNCTION("""COMPUTED_VALUE"""),2.536015694519823)</f>
        <v>2.536015695</v>
      </c>
      <c r="N89" s="22">
        <f>IFERROR(__xludf.DUMMYFUNCTION("""COMPUTED_VALUE"""),6.704753865338068)</f>
        <v>6.704753865</v>
      </c>
      <c r="O89" s="22">
        <f t="shared" si="1"/>
        <v>0.265792031</v>
      </c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tr">
        <f>IFERROR(__xludf.DUMMYFUNCTION("""COMPUTED_VALUE"""),"Peru")</f>
        <v>Peru</v>
      </c>
      <c r="B90" s="18">
        <f>IFERROR(__xludf.DUMMYFUNCTION("""COMPUTED_VALUE"""),43934.0)</f>
        <v>43934</v>
      </c>
      <c r="C90" s="19">
        <f>IFERROR(__xludf.DUMMYFUNCTION("""COMPUTED_VALUE"""),43940.0)</f>
        <v>43940</v>
      </c>
      <c r="D90" s="17">
        <f>IFERROR(__xludf.DUMMYFUNCTION("""COMPUTED_VALUE"""),16.0)</f>
        <v>16</v>
      </c>
      <c r="E90" s="17">
        <f>IFERROR(__xludf.DUMMYFUNCTION("""COMPUTED_VALUE"""),3096.0)</f>
        <v>3096</v>
      </c>
      <c r="F90" s="17">
        <f>IFERROR(__xludf.DUMMYFUNCTION("""COMPUTED_VALUE"""),940.0)</f>
        <v>940</v>
      </c>
      <c r="G90" s="20">
        <f>IFERROR(__xludf.DUMMYFUNCTION("""COMPUTED_VALUE"""),7.0)</f>
        <v>7</v>
      </c>
      <c r="H90" s="20">
        <f>IFERROR(__xludf.DUMMYFUNCTION("""COMPUTED_VALUE"""),7711.0)</f>
        <v>7711</v>
      </c>
      <c r="I90" s="20">
        <f>IFERROR(__xludf.DUMMYFUNCTION("""COMPUTED_VALUE"""),2086.0)</f>
        <v>2086</v>
      </c>
      <c r="J90" s="21">
        <f>IFERROR(__xludf.DUMMYFUNCTION("""COMPUTED_VALUE"""),1120.0)</f>
        <v>1120</v>
      </c>
      <c r="K90" s="22">
        <f>IFERROR(__xludf.DUMMYFUNCTION("""COMPUTED_VALUE"""),2.8177952161331365)</f>
        <v>2.817795216</v>
      </c>
      <c r="L90" s="22">
        <f>IFERROR(__xludf.DUMMYFUNCTION("""COMPUTED_VALUE"""),3.3573730234777797)</f>
        <v>3.357373023</v>
      </c>
      <c r="M90" s="22">
        <f>IFERROR(__xludf.DUMMYFUNCTION("""COMPUTED_VALUE"""),5.353810910652959)</f>
        <v>5.353810911</v>
      </c>
      <c r="N90" s="22">
        <f>IFERROR(__xludf.DUMMYFUNCTION("""COMPUTED_VALUE"""),10.062126888815847)</f>
        <v>10.06212689</v>
      </c>
      <c r="O90" s="22">
        <f t="shared" si="1"/>
        <v>0.5395778073</v>
      </c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tr">
        <f>IFERROR(__xludf.DUMMYFUNCTION("""COMPUTED_VALUE"""),"Peru")</f>
        <v>Peru</v>
      </c>
      <c r="B91" s="18">
        <f>IFERROR(__xludf.DUMMYFUNCTION("""COMPUTED_VALUE"""),43941.0)</f>
        <v>43941</v>
      </c>
      <c r="C91" s="19">
        <f>IFERROR(__xludf.DUMMYFUNCTION("""COMPUTED_VALUE"""),43947.0)</f>
        <v>43947</v>
      </c>
      <c r="D91" s="17">
        <f>IFERROR(__xludf.DUMMYFUNCTION("""COMPUTED_VALUE"""),17.0)</f>
        <v>17</v>
      </c>
      <c r="E91" s="17">
        <f>IFERROR(__xludf.DUMMYFUNCTION("""COMPUTED_VALUE"""),3881.0)</f>
        <v>3881</v>
      </c>
      <c r="F91" s="17">
        <f>IFERROR(__xludf.DUMMYFUNCTION("""COMPUTED_VALUE"""),1702.0)</f>
        <v>1702</v>
      </c>
      <c r="G91" s="20">
        <f>IFERROR(__xludf.DUMMYFUNCTION("""COMPUTED_VALUE"""),8.0)</f>
        <v>8</v>
      </c>
      <c r="H91" s="20">
        <f>IFERROR(__xludf.DUMMYFUNCTION("""COMPUTED_VALUE"""),7393.0)</f>
        <v>7393</v>
      </c>
      <c r="I91" s="20">
        <f>IFERROR(__xludf.DUMMYFUNCTION("""COMPUTED_VALUE"""),2136.0)</f>
        <v>2136</v>
      </c>
      <c r="J91" s="21">
        <f>IFERROR(__xludf.DUMMYFUNCTION("""COMPUTED_VALUE"""),1981.3333333333333)</f>
        <v>1981.333333</v>
      </c>
      <c r="K91" s="22">
        <f>IFERROR(__xludf.DUMMYFUNCTION("""COMPUTED_VALUE"""),5.102007933892126)</f>
        <v>5.102007934</v>
      </c>
      <c r="L91" s="22">
        <f>IFERROR(__xludf.DUMMYFUNCTION("""COMPUTED_VALUE"""),5.939352753438072)</f>
        <v>5.939352753</v>
      </c>
      <c r="M91" s="22">
        <f>IFERROR(__xludf.DUMMYFUNCTION("""COMPUTED_VALUE"""),10.455818844545085)</f>
        <v>10.45581884</v>
      </c>
      <c r="N91" s="22">
        <f>IFERROR(__xludf.DUMMYFUNCTION("""COMPUTED_VALUE"""),16.00147964225392)</f>
        <v>16.00147964</v>
      </c>
      <c r="O91" s="22">
        <f t="shared" si="1"/>
        <v>0.8373448195</v>
      </c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tr">
        <f>IFERROR(__xludf.DUMMYFUNCTION("""COMPUTED_VALUE"""),"Peru")</f>
        <v>Peru</v>
      </c>
      <c r="B92" s="18">
        <f>IFERROR(__xludf.DUMMYFUNCTION("""COMPUTED_VALUE"""),43948.0)</f>
        <v>43948</v>
      </c>
      <c r="C92" s="19">
        <f>IFERROR(__xludf.DUMMYFUNCTION("""COMPUTED_VALUE"""),43954.0)</f>
        <v>43954</v>
      </c>
      <c r="D92" s="17">
        <f>IFERROR(__xludf.DUMMYFUNCTION("""COMPUTED_VALUE"""),18.0)</f>
        <v>18</v>
      </c>
      <c r="E92" s="17">
        <f>IFERROR(__xludf.DUMMYFUNCTION("""COMPUTED_VALUE"""),4752.0)</f>
        <v>4752</v>
      </c>
      <c r="F92" s="17">
        <f>IFERROR(__xludf.DUMMYFUNCTION("""COMPUTED_VALUE"""),2516.0)</f>
        <v>2516</v>
      </c>
      <c r="G92" s="20">
        <f>IFERROR(__xludf.DUMMYFUNCTION("""COMPUTED_VALUE"""),9.0)</f>
        <v>9</v>
      </c>
      <c r="H92" s="20">
        <f>IFERROR(__xludf.DUMMYFUNCTION("""COMPUTED_VALUE"""),7500.0)</f>
        <v>7500</v>
      </c>
      <c r="I92" s="20">
        <f>IFERROR(__xludf.DUMMYFUNCTION("""COMPUTED_VALUE"""),2197.0)</f>
        <v>2197</v>
      </c>
      <c r="J92" s="21">
        <f>IFERROR(__xludf.DUMMYFUNCTION("""COMPUTED_VALUE"""),2768.333333333333)</f>
        <v>2768.333333</v>
      </c>
      <c r="K92" s="22">
        <f>IFERROR(__xludf.DUMMYFUNCTION("""COMPUTED_VALUE"""),7.542098684884012)</f>
        <v>7.542098685</v>
      </c>
      <c r="L92" s="22">
        <f>IFERROR(__xludf.DUMMYFUNCTION("""COMPUTED_VALUE"""),8.298506833328261)</f>
        <v>8.298506833</v>
      </c>
      <c r="M92" s="22">
        <f>IFERROR(__xludf.DUMMYFUNCTION("""COMPUTED_VALUE"""),17.997917529429095)</f>
        <v>17.99791753</v>
      </c>
      <c r="N92" s="22">
        <f>IFERROR(__xludf.DUMMYFUNCTION("""COMPUTED_VALUE"""),24.29998647558218)</f>
        <v>24.29998648</v>
      </c>
      <c r="O92" s="22">
        <f t="shared" si="1"/>
        <v>0.7564081484</v>
      </c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tr">
        <f>IFERROR(__xludf.DUMMYFUNCTION("""COMPUTED_VALUE"""),"Peru")</f>
        <v>Peru</v>
      </c>
      <c r="B93" s="18">
        <f>IFERROR(__xludf.DUMMYFUNCTION("""COMPUTED_VALUE"""),43955.0)</f>
        <v>43955</v>
      </c>
      <c r="C93" s="19">
        <f>IFERROR(__xludf.DUMMYFUNCTION("""COMPUTED_VALUE"""),43961.0)</f>
        <v>43961</v>
      </c>
      <c r="D93" s="17">
        <f>IFERROR(__xludf.DUMMYFUNCTION("""COMPUTED_VALUE"""),19.0)</f>
        <v>19</v>
      </c>
      <c r="E93" s="17">
        <f>IFERROR(__xludf.DUMMYFUNCTION("""COMPUTED_VALUE"""),5451.0)</f>
        <v>5451</v>
      </c>
      <c r="F93" s="17">
        <f>IFERROR(__xludf.DUMMYFUNCTION("""COMPUTED_VALUE"""),3254.0)</f>
        <v>3254</v>
      </c>
      <c r="G93" s="20">
        <f>IFERROR(__xludf.DUMMYFUNCTION("""COMPUTED_VALUE"""),10.0)</f>
        <v>10</v>
      </c>
      <c r="H93" s="20">
        <f>IFERROR(__xludf.DUMMYFUNCTION("""COMPUTED_VALUE"""),4894.0)</f>
        <v>4894</v>
      </c>
      <c r="I93" s="20">
        <f>IFERROR(__xludf.DUMMYFUNCTION("""COMPUTED_VALUE"""),2008.3333333333333)</f>
        <v>2008.333333</v>
      </c>
      <c r="J93" s="21">
        <f>IFERROR(__xludf.DUMMYFUNCTION("""COMPUTED_VALUE"""),3540.0)</f>
        <v>3540</v>
      </c>
      <c r="K93" s="22">
        <f>IFERROR(__xludf.DUMMYFUNCTION("""COMPUTED_VALUE"""),9.75436769499705)</f>
        <v>9.754367695</v>
      </c>
      <c r="L93" s="22">
        <f>IFERROR(__xludf.DUMMYFUNCTION("""COMPUTED_VALUE"""),10.611696877777982)</f>
        <v>10.61169688</v>
      </c>
      <c r="M93" s="22">
        <f>IFERROR(__xludf.DUMMYFUNCTION("""COMPUTED_VALUE"""),27.752285224426146)</f>
        <v>27.75228522</v>
      </c>
      <c r="N93" s="22">
        <f>IFERROR(__xludf.DUMMYFUNCTION("""COMPUTED_VALUE"""),34.91168335336016)</f>
        <v>34.91168335</v>
      </c>
      <c r="O93" s="22">
        <f t="shared" si="1"/>
        <v>0.8573291828</v>
      </c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tr">
        <f>IFERROR(__xludf.DUMMYFUNCTION("""COMPUTED_VALUE"""),"Peru")</f>
        <v>Peru</v>
      </c>
      <c r="B94" s="18">
        <f>IFERROR(__xludf.DUMMYFUNCTION("""COMPUTED_VALUE"""),43962.0)</f>
        <v>43962</v>
      </c>
      <c r="C94" s="19">
        <f>IFERROR(__xludf.DUMMYFUNCTION("""COMPUTED_VALUE"""),43968.0)</f>
        <v>43968</v>
      </c>
      <c r="D94" s="17">
        <f>IFERROR(__xludf.DUMMYFUNCTION("""COMPUTED_VALUE"""),20.0)</f>
        <v>20</v>
      </c>
      <c r="E94" s="17">
        <f>IFERROR(__xludf.DUMMYFUNCTION("""COMPUTED_VALUE"""),5967.0)</f>
        <v>5967</v>
      </c>
      <c r="F94" s="17">
        <f>IFERROR(__xludf.DUMMYFUNCTION("""COMPUTED_VALUE"""),3577.0)</f>
        <v>3577</v>
      </c>
      <c r="G94" s="20">
        <f>IFERROR(__xludf.DUMMYFUNCTION("""COMPUTED_VALUE"""),11.0)</f>
        <v>11</v>
      </c>
      <c r="H94" s="20">
        <f>IFERROR(__xludf.DUMMYFUNCTION("""COMPUTED_VALUE"""),4948.0)</f>
        <v>4948</v>
      </c>
      <c r="I94" s="20">
        <f>IFERROR(__xludf.DUMMYFUNCTION("""COMPUTED_VALUE"""),2051.6666666666665)</f>
        <v>2051.666667</v>
      </c>
      <c r="J94" s="21">
        <f>IFERROR(__xludf.DUMMYFUNCTION("""COMPUTED_VALUE"""),3983.0)</f>
        <v>3983</v>
      </c>
      <c r="K94" s="22">
        <f>IFERROR(__xludf.DUMMYFUNCTION("""COMPUTED_VALUE"""),10.72261009373216)</f>
        <v>10.72261009</v>
      </c>
      <c r="L94" s="22">
        <f>IFERROR(__xludf.DUMMYFUNCTION("""COMPUTED_VALUE"""),11.939657814742853)</f>
        <v>11.93965781</v>
      </c>
      <c r="M94" s="22">
        <f>IFERROR(__xludf.DUMMYFUNCTION("""COMPUTED_VALUE"""),38.4748953181583)</f>
        <v>38.47489532</v>
      </c>
      <c r="N94" s="22">
        <f>IFERROR(__xludf.DUMMYFUNCTION("""COMPUTED_VALUE"""),46.85134116810301)</f>
        <v>46.85134117</v>
      </c>
      <c r="O94" s="22">
        <f t="shared" si="1"/>
        <v>1.217047721</v>
      </c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tr">
        <f>IFERROR(__xludf.DUMMYFUNCTION("""COMPUTED_VALUE"""),"Peru")</f>
        <v>Peru</v>
      </c>
      <c r="B95" s="18">
        <f>IFERROR(__xludf.DUMMYFUNCTION("""COMPUTED_VALUE"""),43969.0)</f>
        <v>43969</v>
      </c>
      <c r="C95" s="19">
        <f>IFERROR(__xludf.DUMMYFUNCTION("""COMPUTED_VALUE"""),43975.0)</f>
        <v>43975</v>
      </c>
      <c r="D95" s="17">
        <f>IFERROR(__xludf.DUMMYFUNCTION("""COMPUTED_VALUE"""),21.0)</f>
        <v>21</v>
      </c>
      <c r="E95" s="17">
        <f>IFERROR(__xludf.DUMMYFUNCTION("""COMPUTED_VALUE"""),6347.0)</f>
        <v>6347</v>
      </c>
      <c r="F95" s="17">
        <f>IFERROR(__xludf.DUMMYFUNCTION("""COMPUTED_VALUE"""),3809.0)</f>
        <v>3809</v>
      </c>
      <c r="G95" s="20">
        <f>IFERROR(__xludf.DUMMYFUNCTION("""COMPUTED_VALUE"""),12.0)</f>
        <v>12</v>
      </c>
      <c r="H95" s="20">
        <f>IFERROR(__xludf.DUMMYFUNCTION("""COMPUTED_VALUE"""),4877.5)</f>
        <v>4877.5</v>
      </c>
      <c r="I95" s="20">
        <f>IFERROR(__xludf.DUMMYFUNCTION("""COMPUTED_VALUE"""),1996.0)</f>
        <v>1996</v>
      </c>
      <c r="J95" s="21">
        <f>IFERROR(__xludf.DUMMYFUNCTION("""COMPUTED_VALUE"""),4313.0)</f>
        <v>4313</v>
      </c>
      <c r="K95" s="22">
        <f>IFERROR(__xludf.DUMMYFUNCTION("""COMPUTED_VALUE"""),11.418065934309698)</f>
        <v>11.41806593</v>
      </c>
      <c r="L95" s="22">
        <f>IFERROR(__xludf.DUMMYFUNCTION("""COMPUTED_VALUE"""),12.9288837948747)</f>
        <v>12.92888379</v>
      </c>
      <c r="M95" s="22">
        <f>IFERROR(__xludf.DUMMYFUNCTION("""COMPUTED_VALUE"""),49.892961252468)</f>
        <v>49.89296125</v>
      </c>
      <c r="N95" s="22">
        <f>IFERROR(__xludf.DUMMYFUNCTION("""COMPUTED_VALUE"""),59.78022496297771)</f>
        <v>59.78022496</v>
      </c>
      <c r="O95" s="22">
        <f t="shared" si="1"/>
        <v>1.510817861</v>
      </c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tr">
        <f>IFERROR(__xludf.DUMMYFUNCTION("""COMPUTED_VALUE"""),"Peru")</f>
        <v>Peru</v>
      </c>
      <c r="B96" s="18">
        <f>IFERROR(__xludf.DUMMYFUNCTION("""COMPUTED_VALUE"""),43976.0)</f>
        <v>43976</v>
      </c>
      <c r="C96" s="19">
        <f>IFERROR(__xludf.DUMMYFUNCTION("""COMPUTED_VALUE"""),43982.0)</f>
        <v>43982</v>
      </c>
      <c r="D96" s="17">
        <f>IFERROR(__xludf.DUMMYFUNCTION("""COMPUTED_VALUE"""),22.0)</f>
        <v>22</v>
      </c>
      <c r="E96" s="17">
        <f>IFERROR(__xludf.DUMMYFUNCTION("""COMPUTED_VALUE"""),6554.0)</f>
        <v>6554</v>
      </c>
      <c r="F96" s="17">
        <f>IFERROR(__xludf.DUMMYFUNCTION("""COMPUTED_VALUE"""),4066.0)</f>
        <v>4066</v>
      </c>
      <c r="G96" s="20">
        <f>IFERROR(__xludf.DUMMYFUNCTION("""COMPUTED_VALUE"""),13.0)</f>
        <v>13</v>
      </c>
      <c r="H96" s="20">
        <f>IFERROR(__xludf.DUMMYFUNCTION("""COMPUTED_VALUE"""),5025.0)</f>
        <v>5025</v>
      </c>
      <c r="I96" s="20">
        <f>IFERROR(__xludf.DUMMYFUNCTION("""COMPUTED_VALUE"""),1960.0)</f>
        <v>1960</v>
      </c>
      <c r="J96" s="21">
        <f>IFERROR(__xludf.DUMMYFUNCTION("""COMPUTED_VALUE"""),4504.0)</f>
        <v>4504</v>
      </c>
      <c r="K96" s="22">
        <f>IFERROR(__xludf.DUMMYFUNCTION("""COMPUTED_VALUE"""),12.18846313701844)</f>
        <v>12.18846314</v>
      </c>
      <c r="L96" s="22">
        <f>IFERROR(__xludf.DUMMYFUNCTION("""COMPUTED_VALUE"""),13.501435801557072)</f>
        <v>13.5014358</v>
      </c>
      <c r="M96" s="22">
        <f>IFERROR(__xludf.DUMMYFUNCTION("""COMPUTED_VALUE"""),62.081424389486436)</f>
        <v>62.08142439</v>
      </c>
      <c r="N96" s="22">
        <f>IFERROR(__xludf.DUMMYFUNCTION("""COMPUTED_VALUE"""),73.28166076453479)</f>
        <v>73.28166076</v>
      </c>
      <c r="O96" s="22">
        <f t="shared" si="1"/>
        <v>1.312972665</v>
      </c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tr">
        <f>IFERROR(__xludf.DUMMYFUNCTION("""COMPUTED_VALUE"""),"Peru")</f>
        <v>Peru</v>
      </c>
      <c r="B97" s="18">
        <f>IFERROR(__xludf.DUMMYFUNCTION("""COMPUTED_VALUE"""),43983.0)</f>
        <v>43983</v>
      </c>
      <c r="C97" s="19">
        <f>IFERROR(__xludf.DUMMYFUNCTION("""COMPUTED_VALUE"""),43989.0)</f>
        <v>43989</v>
      </c>
      <c r="D97" s="17">
        <f>IFERROR(__xludf.DUMMYFUNCTION("""COMPUTED_VALUE"""),23.0)</f>
        <v>23</v>
      </c>
      <c r="E97" s="17">
        <f>IFERROR(__xludf.DUMMYFUNCTION("""COMPUTED_VALUE"""),6647.0)</f>
        <v>6647</v>
      </c>
      <c r="F97" s="17">
        <f>IFERROR(__xludf.DUMMYFUNCTION("""COMPUTED_VALUE"""),4124.0)</f>
        <v>4124</v>
      </c>
      <c r="G97" s="20">
        <f>IFERROR(__xludf.DUMMYFUNCTION("""COMPUTED_VALUE"""),14.0)</f>
        <v>14</v>
      </c>
      <c r="H97" s="20">
        <f>IFERROR(__xludf.DUMMYFUNCTION("""COMPUTED_VALUE"""),5429.0)</f>
        <v>5429</v>
      </c>
      <c r="I97" s="20">
        <f>IFERROR(__xludf.DUMMYFUNCTION("""COMPUTED_VALUE"""),1968.0)</f>
        <v>1968</v>
      </c>
      <c r="J97" s="21">
        <f>IFERROR(__xludf.DUMMYFUNCTION("""COMPUTED_VALUE"""),4512.0)</f>
        <v>4512</v>
      </c>
      <c r="K97" s="22">
        <f>IFERROR(__xludf.DUMMYFUNCTION("""COMPUTED_VALUE"""),12.362327097162826)</f>
        <v>12.3623271</v>
      </c>
      <c r="L97" s="22">
        <f>IFERROR(__xludf.DUMMYFUNCTION("""COMPUTED_VALUE"""),13.525417037439055)</f>
        <v>13.52541704</v>
      </c>
      <c r="M97" s="22">
        <f>IFERROR(__xludf.DUMMYFUNCTION("""COMPUTED_VALUE"""),74.44375148664926)</f>
        <v>74.44375149</v>
      </c>
      <c r="N97" s="22">
        <f>IFERROR(__xludf.DUMMYFUNCTION("""COMPUTED_VALUE"""),86.80707780197385)</f>
        <v>86.8070778</v>
      </c>
      <c r="O97" s="22">
        <f t="shared" si="1"/>
        <v>1.16308994</v>
      </c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tr">
        <f>IFERROR(__xludf.DUMMYFUNCTION("""COMPUTED_VALUE"""),"Peru")</f>
        <v>Peru</v>
      </c>
      <c r="B98" s="18">
        <f>IFERROR(__xludf.DUMMYFUNCTION("""COMPUTED_VALUE"""),43990.0)</f>
        <v>43990</v>
      </c>
      <c r="C98" s="19">
        <f>IFERROR(__xludf.DUMMYFUNCTION("""COMPUTED_VALUE"""),43996.0)</f>
        <v>43996</v>
      </c>
      <c r="D98" s="17">
        <f>IFERROR(__xludf.DUMMYFUNCTION("""COMPUTED_VALUE"""),24.0)</f>
        <v>24</v>
      </c>
      <c r="E98" s="17">
        <f>IFERROR(__xludf.DUMMYFUNCTION("""COMPUTED_VALUE"""),6725.0)</f>
        <v>6725</v>
      </c>
      <c r="F98" s="17">
        <f>IFERROR(__xludf.DUMMYFUNCTION("""COMPUTED_VALUE"""),4176.0)</f>
        <v>4176</v>
      </c>
      <c r="G98" s="20">
        <f>IFERROR(__xludf.DUMMYFUNCTION("""COMPUTED_VALUE"""),15.0)</f>
        <v>15</v>
      </c>
      <c r="H98" s="20">
        <f>IFERROR(__xludf.DUMMYFUNCTION("""COMPUTED_VALUE"""),5470.0)</f>
        <v>5470</v>
      </c>
      <c r="I98" s="20">
        <f>IFERROR(__xludf.DUMMYFUNCTION("""COMPUTED_VALUE"""),1896.3333333333333)</f>
        <v>1896.333333</v>
      </c>
      <c r="J98" s="21">
        <f>IFERROR(__xludf.DUMMYFUNCTION("""COMPUTED_VALUE"""),4575.0)</f>
        <v>4575</v>
      </c>
      <c r="K98" s="22">
        <f>IFERROR(__xludf.DUMMYFUNCTION("""COMPUTED_VALUE"""),12.518205130395723)</f>
        <v>12.51820513</v>
      </c>
      <c r="L98" s="22">
        <f>IFERROR(__xludf.DUMMYFUNCTION("""COMPUTED_VALUE"""),13.71426927000968)</f>
        <v>13.71426927</v>
      </c>
      <c r="M98" s="22">
        <f>IFERROR(__xludf.DUMMYFUNCTION("""COMPUTED_VALUE"""),86.96195661704499)</f>
        <v>86.96195662</v>
      </c>
      <c r="N98" s="22">
        <f>IFERROR(__xludf.DUMMYFUNCTION("""COMPUTED_VALUE"""),100.52134707198353)</f>
        <v>100.5213471</v>
      </c>
      <c r="O98" s="22">
        <f t="shared" si="1"/>
        <v>1.19606414</v>
      </c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tr">
        <f>IFERROR(__xludf.DUMMYFUNCTION("""COMPUTED_VALUE"""),"Peru")</f>
        <v>Peru</v>
      </c>
      <c r="B99" s="18">
        <f>IFERROR(__xludf.DUMMYFUNCTION("""COMPUTED_VALUE"""),43997.0)</f>
        <v>43997</v>
      </c>
      <c r="C99" s="19">
        <f>IFERROR(__xludf.DUMMYFUNCTION("""COMPUTED_VALUE"""),44003.0)</f>
        <v>44003</v>
      </c>
      <c r="D99" s="17">
        <f>IFERROR(__xludf.DUMMYFUNCTION("""COMPUTED_VALUE"""),25.0)</f>
        <v>25</v>
      </c>
      <c r="E99" s="17">
        <f>IFERROR(__xludf.DUMMYFUNCTION("""COMPUTED_VALUE"""),6593.0)</f>
        <v>6593</v>
      </c>
      <c r="F99" s="17">
        <f>IFERROR(__xludf.DUMMYFUNCTION("""COMPUTED_VALUE"""),4330.0)</f>
        <v>4330</v>
      </c>
      <c r="G99" s="20">
        <f>IFERROR(__xludf.DUMMYFUNCTION("""COMPUTED_VALUE"""),16.0)</f>
        <v>16</v>
      </c>
      <c r="H99" s="20">
        <f>IFERROR(__xludf.DUMMYFUNCTION("""COMPUTED_VALUE"""),5671.0)</f>
        <v>5671</v>
      </c>
      <c r="I99" s="20">
        <f>IFERROR(__xludf.DUMMYFUNCTION("""COMPUTED_VALUE"""),1976.0)</f>
        <v>1976</v>
      </c>
      <c r="J99" s="21">
        <f>IFERROR(__xludf.DUMMYFUNCTION("""COMPUTED_VALUE"""),4369.666666666666)</f>
        <v>4369.666667</v>
      </c>
      <c r="K99" s="22">
        <f>IFERROR(__xludf.DUMMYFUNCTION("""COMPUTED_VALUE"""),12.979843921123916)</f>
        <v>12.97984392</v>
      </c>
      <c r="L99" s="22">
        <f>IFERROR(__xludf.DUMMYFUNCTION("""COMPUTED_VALUE"""),13.098750882372087)</f>
        <v>13.09875088</v>
      </c>
      <c r="M99" s="22">
        <f>IFERROR(__xludf.DUMMYFUNCTION("""COMPUTED_VALUE"""),99.9418005381689)</f>
        <v>99.94180054</v>
      </c>
      <c r="N99" s="22">
        <f>IFERROR(__xludf.DUMMYFUNCTION("""COMPUTED_VALUE"""),113.62009795435561)</f>
        <v>113.620098</v>
      </c>
      <c r="O99" s="22">
        <f t="shared" si="1"/>
        <v>0.1189069612</v>
      </c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tr">
        <f>IFERROR(__xludf.DUMMYFUNCTION("""COMPUTED_VALUE"""),"Peru")</f>
        <v>Peru</v>
      </c>
      <c r="B100" s="18">
        <f>IFERROR(__xludf.DUMMYFUNCTION("""COMPUTED_VALUE"""),44004.0)</f>
        <v>44004</v>
      </c>
      <c r="C100" s="19">
        <f>IFERROR(__xludf.DUMMYFUNCTION("""COMPUTED_VALUE"""),44010.0)</f>
        <v>44010</v>
      </c>
      <c r="D100" s="17">
        <f>IFERROR(__xludf.DUMMYFUNCTION("""COMPUTED_VALUE"""),26.0)</f>
        <v>26</v>
      </c>
      <c r="E100" s="17">
        <f>IFERROR(__xludf.DUMMYFUNCTION("""COMPUTED_VALUE"""),6159.0)</f>
        <v>6159</v>
      </c>
      <c r="F100" s="17">
        <f>IFERROR(__xludf.DUMMYFUNCTION("""COMPUTED_VALUE"""),3530.0)</f>
        <v>3530</v>
      </c>
      <c r="G100" s="20">
        <f>IFERROR(__xludf.DUMMYFUNCTION("""COMPUTED_VALUE"""),17.0)</f>
        <v>17</v>
      </c>
      <c r="H100" s="20">
        <f>IFERROR(__xludf.DUMMYFUNCTION("""COMPUTED_VALUE"""),5788.0)</f>
        <v>5788</v>
      </c>
      <c r="I100" s="20">
        <f>IFERROR(__xludf.DUMMYFUNCTION("""COMPUTED_VALUE"""),1899.6666666666667)</f>
        <v>1899.666667</v>
      </c>
      <c r="J100" s="21">
        <f>IFERROR(__xludf.DUMMYFUNCTION("""COMPUTED_VALUE"""),3958.6666666666665)</f>
        <v>3958.666667</v>
      </c>
      <c r="K100" s="22">
        <f>IFERROR(__xludf.DUMMYFUNCTION("""COMPUTED_VALUE"""),10.581720332925503)</f>
        <v>10.58172033</v>
      </c>
      <c r="L100" s="22">
        <f>IFERROR(__xludf.DUMMYFUNCTION("""COMPUTED_VALUE"""),11.866714888935153)</f>
        <v>11.86671489</v>
      </c>
      <c r="M100" s="22">
        <f>IFERROR(__xludf.DUMMYFUNCTION("""COMPUTED_VALUE"""),110.5235208710944)</f>
        <v>110.5235209</v>
      </c>
      <c r="N100" s="22">
        <f>IFERROR(__xludf.DUMMYFUNCTION("""COMPUTED_VALUE"""),125.48681284329076)</f>
        <v>125.4868128</v>
      </c>
      <c r="O100" s="22">
        <f t="shared" si="1"/>
        <v>1.284994556</v>
      </c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tr">
        <f>IFERROR(__xludf.DUMMYFUNCTION("""COMPUTED_VALUE"""),"Peru")</f>
        <v>Peru</v>
      </c>
      <c r="B101" s="18">
        <f>IFERROR(__xludf.DUMMYFUNCTION("""COMPUTED_VALUE"""),44011.0)</f>
        <v>44011</v>
      </c>
      <c r="C101" s="19">
        <f>IFERROR(__xludf.DUMMYFUNCTION("""COMPUTED_VALUE"""),44017.0)</f>
        <v>44017</v>
      </c>
      <c r="D101" s="17">
        <f>IFERROR(__xludf.DUMMYFUNCTION("""COMPUTED_VALUE"""),27.0)</f>
        <v>27</v>
      </c>
      <c r="E101" s="17">
        <f>IFERROR(__xludf.DUMMYFUNCTION("""COMPUTED_VALUE"""),6237.0)</f>
        <v>6237</v>
      </c>
      <c r="F101" s="17">
        <f>IFERROR(__xludf.DUMMYFUNCTION("""COMPUTED_VALUE"""),3755.0)</f>
        <v>3755</v>
      </c>
      <c r="G101" s="20">
        <f>IFERROR(__xludf.DUMMYFUNCTION("""COMPUTED_VALUE"""),18.0)</f>
        <v>18</v>
      </c>
      <c r="H101" s="20">
        <f>IFERROR(__xludf.DUMMYFUNCTION("""COMPUTED_VALUE"""),5961.5)</f>
        <v>5961.5</v>
      </c>
      <c r="I101" s="20">
        <f>IFERROR(__xludf.DUMMYFUNCTION("""COMPUTED_VALUE"""),1983.6666666666667)</f>
        <v>1983.666667</v>
      </c>
      <c r="J101" s="21">
        <f>IFERROR(__xludf.DUMMYFUNCTION("""COMPUTED_VALUE"""),3997.0)</f>
        <v>3997</v>
      </c>
      <c r="K101" s="22">
        <f>IFERROR(__xludf.DUMMYFUNCTION("""COMPUTED_VALUE"""),11.256192592106308)</f>
        <v>11.25619259</v>
      </c>
      <c r="L101" s="22">
        <f>IFERROR(__xludf.DUMMYFUNCTION("""COMPUTED_VALUE"""),11.981624977536327)</f>
        <v>11.98162498</v>
      </c>
      <c r="M101" s="22">
        <f>IFERROR(__xludf.DUMMYFUNCTION("""COMPUTED_VALUE"""),121.77971346320071)</f>
        <v>121.7797135</v>
      </c>
      <c r="N101" s="22">
        <f>IFERROR(__xludf.DUMMYFUNCTION("""COMPUTED_VALUE"""),137.4684378208271)</f>
        <v>137.4684378</v>
      </c>
      <c r="O101" s="22">
        <f t="shared" si="1"/>
        <v>0.7254323854</v>
      </c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tr">
        <f>IFERROR(__xludf.DUMMYFUNCTION("""COMPUTED_VALUE"""),"Peru")</f>
        <v>Peru</v>
      </c>
      <c r="B102" s="18">
        <f>IFERROR(__xludf.DUMMYFUNCTION("""COMPUTED_VALUE"""),44018.0)</f>
        <v>44018</v>
      </c>
      <c r="C102" s="19">
        <f>IFERROR(__xludf.DUMMYFUNCTION("""COMPUTED_VALUE"""),44024.0)</f>
        <v>44024</v>
      </c>
      <c r="D102" s="17">
        <f>IFERROR(__xludf.DUMMYFUNCTION("""COMPUTED_VALUE"""),28.0)</f>
        <v>28</v>
      </c>
      <c r="E102" s="17">
        <f>IFERROR(__xludf.DUMMYFUNCTION("""COMPUTED_VALUE"""),6493.0)</f>
        <v>6493</v>
      </c>
      <c r="F102" s="17">
        <f>IFERROR(__xludf.DUMMYFUNCTION("""COMPUTED_VALUE"""),3903.0)</f>
        <v>3903</v>
      </c>
      <c r="G102" s="20">
        <f>IFERROR(__xludf.DUMMYFUNCTION("""COMPUTED_VALUE"""),19.0)</f>
        <v>19</v>
      </c>
      <c r="H102" s="20">
        <f>IFERROR(__xludf.DUMMYFUNCTION("""COMPUTED_VALUE"""),5992.0)</f>
        <v>5992</v>
      </c>
      <c r="I102" s="20">
        <f>IFERROR(__xludf.DUMMYFUNCTION("""COMPUTED_VALUE"""),1911.0)</f>
        <v>1911</v>
      </c>
      <c r="J102" s="21">
        <f>IFERROR(__xludf.DUMMYFUNCTION("""COMPUTED_VALUE"""),4351.333333333334)</f>
        <v>4351.333333</v>
      </c>
      <c r="K102" s="22">
        <f>IFERROR(__xludf.DUMMYFUNCTION("""COMPUTED_VALUE"""),11.699845455923013)</f>
        <v>11.69984546</v>
      </c>
      <c r="L102" s="22">
        <f>IFERROR(__xludf.DUMMYFUNCTION("""COMPUTED_VALUE"""),13.043793883475875)</f>
        <v>13.04379388</v>
      </c>
      <c r="M102" s="22">
        <f>IFERROR(__xludf.DUMMYFUNCTION("""COMPUTED_VALUE"""),133.47955891912372)</f>
        <v>133.4795589</v>
      </c>
      <c r="N102" s="22">
        <f>IFERROR(__xludf.DUMMYFUNCTION("""COMPUTED_VALUE"""),150.51223170430296)</f>
        <v>150.5122317</v>
      </c>
      <c r="O102" s="22">
        <f t="shared" si="1"/>
        <v>1.343948428</v>
      </c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tr">
        <f>IFERROR(__xludf.DUMMYFUNCTION("""COMPUTED_VALUE"""),"Peru")</f>
        <v>Peru</v>
      </c>
      <c r="B103" s="18">
        <f>IFERROR(__xludf.DUMMYFUNCTION("""COMPUTED_VALUE"""),44025.0)</f>
        <v>44025</v>
      </c>
      <c r="C103" s="19">
        <f>IFERROR(__xludf.DUMMYFUNCTION("""COMPUTED_VALUE"""),44031.0)</f>
        <v>44031</v>
      </c>
      <c r="D103" s="17">
        <f>IFERROR(__xludf.DUMMYFUNCTION("""COMPUTED_VALUE"""),29.0)</f>
        <v>29</v>
      </c>
      <c r="E103" s="17">
        <f>IFERROR(__xludf.DUMMYFUNCTION("""COMPUTED_VALUE"""),6763.0)</f>
        <v>6763</v>
      </c>
      <c r="F103" s="17">
        <f>IFERROR(__xludf.DUMMYFUNCTION("""COMPUTED_VALUE"""),4901.0)</f>
        <v>4901</v>
      </c>
      <c r="G103" s="20">
        <f>IFERROR(__xludf.DUMMYFUNCTION("""COMPUTED_VALUE"""),20.0)</f>
        <v>20</v>
      </c>
      <c r="H103" s="20">
        <f>IFERROR(__xludf.DUMMYFUNCTION("""COMPUTED_VALUE"""),6010.0)</f>
        <v>6010</v>
      </c>
      <c r="I103" s="20">
        <f>IFERROR(__xludf.DUMMYFUNCTION("""COMPUTED_VALUE"""),1984.0)</f>
        <v>1984</v>
      </c>
      <c r="J103" s="21">
        <f>IFERROR(__xludf.DUMMYFUNCTION("""COMPUTED_VALUE"""),4563.333333333334)</f>
        <v>4563.333333</v>
      </c>
      <c r="K103" s="22">
        <f>IFERROR(__xludf.DUMMYFUNCTION("""COMPUTED_VALUE"""),14.691504632200536)</f>
        <v>14.69150463</v>
      </c>
      <c r="L103" s="22">
        <f>IFERROR(__xludf.DUMMYFUNCTION("""COMPUTED_VALUE"""),13.679296634348455)</f>
        <v>13.67929663</v>
      </c>
      <c r="M103" s="22">
        <f>IFERROR(__xludf.DUMMYFUNCTION("""COMPUTED_VALUE"""),148.17106355132427)</f>
        <v>148.1710636</v>
      </c>
      <c r="N103" s="22">
        <f>IFERROR(__xludf.DUMMYFUNCTION("""COMPUTED_VALUE"""),164.1915283386514)</f>
        <v>164.1915283</v>
      </c>
      <c r="O103" s="22">
        <f t="shared" si="1"/>
        <v>-1.012207998</v>
      </c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tr">
        <f>IFERROR(__xludf.DUMMYFUNCTION("""COMPUTED_VALUE"""),"Peru")</f>
        <v>Peru</v>
      </c>
      <c r="B104" s="18">
        <f>IFERROR(__xludf.DUMMYFUNCTION("""COMPUTED_VALUE"""),44032.0)</f>
        <v>44032</v>
      </c>
      <c r="C104" s="19">
        <f>IFERROR(__xludf.DUMMYFUNCTION("""COMPUTED_VALUE"""),44038.0)</f>
        <v>44038</v>
      </c>
      <c r="D104" s="17">
        <f>IFERROR(__xludf.DUMMYFUNCTION("""COMPUTED_VALUE"""),30.0)</f>
        <v>30</v>
      </c>
      <c r="E104" s="17">
        <f>IFERROR(__xludf.DUMMYFUNCTION("""COMPUTED_VALUE"""),6778.0)</f>
        <v>6778</v>
      </c>
      <c r="F104" s="17">
        <f>IFERROR(__xludf.DUMMYFUNCTION("""COMPUTED_VALUE"""),3480.0)</f>
        <v>3480</v>
      </c>
      <c r="G104" s="20">
        <f>IFERROR(__xludf.DUMMYFUNCTION("""COMPUTED_VALUE"""),21.0)</f>
        <v>21</v>
      </c>
      <c r="H104" s="20">
        <f>IFERROR(__xludf.DUMMYFUNCTION("""COMPUTED_VALUE"""),5988.0)</f>
        <v>5988</v>
      </c>
      <c r="I104" s="20">
        <f>IFERROR(__xludf.DUMMYFUNCTION("""COMPUTED_VALUE"""),2034.0)</f>
        <v>2034</v>
      </c>
      <c r="J104" s="21">
        <f>IFERROR(__xludf.DUMMYFUNCTION("""COMPUTED_VALUE"""),4562.666666666666)</f>
        <v>4562.666667</v>
      </c>
      <c r="K104" s="22">
        <f>IFERROR(__xludf.DUMMYFUNCTION("""COMPUTED_VALUE"""),10.431837608663102)</f>
        <v>10.43183761</v>
      </c>
      <c r="L104" s="22">
        <f>IFERROR(__xludf.DUMMYFUNCTION("""COMPUTED_VALUE"""),13.677298198024953)</f>
        <v>13.6772982</v>
      </c>
      <c r="M104" s="22">
        <f>IFERROR(__xludf.DUMMYFUNCTION("""COMPUTED_VALUE"""),158.60290115998737)</f>
        <v>158.6029012</v>
      </c>
      <c r="N104" s="22">
        <f>IFERROR(__xludf.DUMMYFUNCTION("""COMPUTED_VALUE"""),177.86882653667635)</f>
        <v>177.8688265</v>
      </c>
      <c r="O104" s="22">
        <f t="shared" si="1"/>
        <v>3.245460589</v>
      </c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tr">
        <f>IFERROR(__xludf.DUMMYFUNCTION("""COMPUTED_VALUE"""),"Peru")</f>
        <v>Peru</v>
      </c>
      <c r="B105" s="18">
        <f>IFERROR(__xludf.DUMMYFUNCTION("""COMPUTED_VALUE"""),44039.0)</f>
        <v>44039</v>
      </c>
      <c r="C105" s="19">
        <f>IFERROR(__xludf.DUMMYFUNCTION("""COMPUTED_VALUE"""),44045.0)</f>
        <v>44045</v>
      </c>
      <c r="D105" s="17">
        <f>IFERROR(__xludf.DUMMYFUNCTION("""COMPUTED_VALUE"""),31.0)</f>
        <v>31</v>
      </c>
      <c r="E105" s="17">
        <f>IFERROR(__xludf.DUMMYFUNCTION("""COMPUTED_VALUE"""),6918.0)</f>
        <v>6918</v>
      </c>
      <c r="F105" s="17">
        <f>IFERROR(__xludf.DUMMYFUNCTION("""COMPUTED_VALUE"""),4376.0)</f>
        <v>4376</v>
      </c>
      <c r="G105" s="20">
        <f>IFERROR(__xludf.DUMMYFUNCTION("""COMPUTED_VALUE"""),22.0)</f>
        <v>22</v>
      </c>
      <c r="H105" s="20">
        <f>IFERROR(__xludf.DUMMYFUNCTION("""COMPUTED_VALUE"""),5922.5)</f>
        <v>5922.5</v>
      </c>
      <c r="I105" s="20">
        <f>IFERROR(__xludf.DUMMYFUNCTION("""COMPUTED_VALUE"""),2050.0)</f>
        <v>2050</v>
      </c>
      <c r="J105" s="21">
        <f>IFERROR(__xludf.DUMMYFUNCTION("""COMPUTED_VALUE"""),4735.333333333334)</f>
        <v>4735.333333</v>
      </c>
      <c r="K105" s="22">
        <f>IFERROR(__xludf.DUMMYFUNCTION("""COMPUTED_VALUE"""),13.117736027445327)</f>
        <v>13.11773603</v>
      </c>
      <c r="L105" s="22">
        <f>IFERROR(__xludf.DUMMYFUNCTION("""COMPUTED_VALUE"""),14.194893205811114)</f>
        <v>14.19489321</v>
      </c>
      <c r="M105" s="22">
        <f>IFERROR(__xludf.DUMMYFUNCTION("""COMPUTED_VALUE"""),171.7206371874327)</f>
        <v>171.7206372</v>
      </c>
      <c r="N105" s="22">
        <f>IFERROR(__xludf.DUMMYFUNCTION("""COMPUTED_VALUE"""),192.06371974248748)</f>
        <v>192.0637197</v>
      </c>
      <c r="O105" s="22">
        <f t="shared" si="1"/>
        <v>1.077157178</v>
      </c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tr">
        <f>IFERROR(__xludf.DUMMYFUNCTION("""COMPUTED_VALUE"""),"Peru")</f>
        <v>Peru</v>
      </c>
      <c r="B106" s="18">
        <f>IFERROR(__xludf.DUMMYFUNCTION("""COMPUTED_VALUE"""),44046.0)</f>
        <v>44046</v>
      </c>
      <c r="C106" s="19">
        <f>IFERROR(__xludf.DUMMYFUNCTION("""COMPUTED_VALUE"""),44052.0)</f>
        <v>44052</v>
      </c>
      <c r="D106" s="17">
        <f>IFERROR(__xludf.DUMMYFUNCTION("""COMPUTED_VALUE"""),32.0)</f>
        <v>32</v>
      </c>
      <c r="E106" s="17">
        <f>IFERROR(__xludf.DUMMYFUNCTION("""COMPUTED_VALUE"""),7120.0)</f>
        <v>7120</v>
      </c>
      <c r="F106" s="17">
        <f>IFERROR(__xludf.DUMMYFUNCTION("""COMPUTED_VALUE"""),4433.0)</f>
        <v>4433</v>
      </c>
      <c r="G106" s="20">
        <f>IFERROR(__xludf.DUMMYFUNCTION("""COMPUTED_VALUE"""),23.0)</f>
        <v>23</v>
      </c>
      <c r="H106" s="20">
        <f>IFERROR(__xludf.DUMMYFUNCTION("""COMPUTED_VALUE"""),5686.5)</f>
        <v>5686.5</v>
      </c>
      <c r="I106" s="20">
        <f>IFERROR(__xludf.DUMMYFUNCTION("""COMPUTED_VALUE"""),2135.0)</f>
        <v>2135</v>
      </c>
      <c r="J106" s="21">
        <f>IFERROR(__xludf.DUMMYFUNCTION("""COMPUTED_VALUE"""),4889.666666666666)</f>
        <v>4889.666667</v>
      </c>
      <c r="K106" s="22">
        <f>IFERROR(__xludf.DUMMYFUNCTION("""COMPUTED_VALUE"""),13.288602333104462)</f>
        <v>13.28860233</v>
      </c>
      <c r="L106" s="22">
        <f>IFERROR(__xludf.DUMMYFUNCTION("""COMPUTED_VALUE"""),14.657531214701056)</f>
        <v>14.65753121</v>
      </c>
      <c r="M106" s="22">
        <f>IFERROR(__xludf.DUMMYFUNCTION("""COMPUTED_VALUE"""),185.00923952053714)</f>
        <v>185.0092395</v>
      </c>
      <c r="N106" s="22">
        <f>IFERROR(__xludf.DUMMYFUNCTION("""COMPUTED_VALUE"""),206.72125095718854)</f>
        <v>206.721251</v>
      </c>
      <c r="O106" s="22">
        <f t="shared" si="1"/>
        <v>1.368928882</v>
      </c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tr">
        <f>IFERROR(__xludf.DUMMYFUNCTION("""COMPUTED_VALUE"""),"Peru")</f>
        <v>Peru</v>
      </c>
      <c r="B107" s="18">
        <f>IFERROR(__xludf.DUMMYFUNCTION("""COMPUTED_VALUE"""),44053.0)</f>
        <v>44053</v>
      </c>
      <c r="C107" s="19">
        <f>IFERROR(__xludf.DUMMYFUNCTION("""COMPUTED_VALUE"""),44059.0)</f>
        <v>44059</v>
      </c>
      <c r="D107" s="17">
        <f>IFERROR(__xludf.DUMMYFUNCTION("""COMPUTED_VALUE"""),33.0)</f>
        <v>33</v>
      </c>
      <c r="E107" s="17">
        <f>IFERROR(__xludf.DUMMYFUNCTION("""COMPUTED_VALUE"""),6717.0)</f>
        <v>6717</v>
      </c>
      <c r="F107" s="17">
        <f>IFERROR(__xludf.DUMMYFUNCTION("""COMPUTED_VALUE"""),4322.0)</f>
        <v>4322</v>
      </c>
      <c r="G107" s="20">
        <f>IFERROR(__xludf.DUMMYFUNCTION("""COMPUTED_VALUE"""),24.0)</f>
        <v>24</v>
      </c>
      <c r="H107" s="20">
        <f>IFERROR(__xludf.DUMMYFUNCTION("""COMPUTED_VALUE"""),5529.0)</f>
        <v>5529</v>
      </c>
      <c r="I107" s="20">
        <f>IFERROR(__xludf.DUMMYFUNCTION("""COMPUTED_VALUE"""),2150.0)</f>
        <v>2150</v>
      </c>
      <c r="J107" s="21">
        <f>IFERROR(__xludf.DUMMYFUNCTION("""COMPUTED_VALUE"""),4582.0)</f>
        <v>4582</v>
      </c>
      <c r="K107" s="22">
        <f>IFERROR(__xludf.DUMMYFUNCTION("""COMPUTED_VALUE"""),12.955862685241934)</f>
        <v>12.95586269</v>
      </c>
      <c r="L107" s="22">
        <f>IFERROR(__xludf.DUMMYFUNCTION("""COMPUTED_VALUE"""),13.735252851406416)</f>
        <v>13.73525285</v>
      </c>
      <c r="M107" s="22">
        <f>IFERROR(__xludf.DUMMYFUNCTION("""COMPUTED_VALUE"""),197.96510220577906)</f>
        <v>197.9651022</v>
      </c>
      <c r="N107" s="22">
        <f>IFERROR(__xludf.DUMMYFUNCTION("""COMPUTED_VALUE"""),220.45650380859496)</f>
        <v>220.4565038</v>
      </c>
      <c r="O107" s="22">
        <f t="shared" si="1"/>
        <v>0.7793901662</v>
      </c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tr">
        <f>IFERROR(__xludf.DUMMYFUNCTION("""COMPUTED_VALUE"""),"Peru")</f>
        <v>Peru</v>
      </c>
      <c r="B108" s="18">
        <f>IFERROR(__xludf.DUMMYFUNCTION("""COMPUTED_VALUE"""),44060.0)</f>
        <v>44060</v>
      </c>
      <c r="C108" s="19">
        <f>IFERROR(__xludf.DUMMYFUNCTION("""COMPUTED_VALUE"""),44066.0)</f>
        <v>44066</v>
      </c>
      <c r="D108" s="17">
        <f>IFERROR(__xludf.DUMMYFUNCTION("""COMPUTED_VALUE"""),34.0)</f>
        <v>34</v>
      </c>
      <c r="E108" s="17">
        <f>IFERROR(__xludf.DUMMYFUNCTION("""COMPUTED_VALUE"""),6128.0)</f>
        <v>6128</v>
      </c>
      <c r="F108" s="17">
        <f>IFERROR(__xludf.DUMMYFUNCTION("""COMPUTED_VALUE"""),3786.0)</f>
        <v>3786</v>
      </c>
      <c r="G108" s="20">
        <f>IFERROR(__xludf.DUMMYFUNCTION("""COMPUTED_VALUE"""),25.0)</f>
        <v>25</v>
      </c>
      <c r="H108" s="20">
        <f>IFERROR(__xludf.DUMMYFUNCTION("""COMPUTED_VALUE"""),5308.5)</f>
        <v>5308.5</v>
      </c>
      <c r="I108" s="20">
        <f>IFERROR(__xludf.DUMMYFUNCTION("""COMPUTED_VALUE"""),2223.3333333333335)</f>
        <v>2223.333333</v>
      </c>
      <c r="J108" s="21">
        <f>IFERROR(__xludf.DUMMYFUNCTION("""COMPUTED_VALUE"""),4005.0)</f>
        <v>4005</v>
      </c>
      <c r="K108" s="22">
        <f>IFERROR(__xludf.DUMMYFUNCTION("""COMPUTED_VALUE"""),11.349119881148996)</f>
        <v>11.34911988</v>
      </c>
      <c r="L108" s="22">
        <f>IFERROR(__xludf.DUMMYFUNCTION("""COMPUTED_VALUE"""),12.00560621341831)</f>
        <v>12.00560621</v>
      </c>
      <c r="M108" s="22">
        <f>IFERROR(__xludf.DUMMYFUNCTION("""COMPUTED_VALUE"""),209.31422208692805)</f>
        <v>209.3142221</v>
      </c>
      <c r="N108" s="22">
        <f>IFERROR(__xludf.DUMMYFUNCTION("""COMPUTED_VALUE"""),232.46211002201326)</f>
        <v>232.46211</v>
      </c>
      <c r="O108" s="22">
        <f t="shared" si="1"/>
        <v>0.6564863323</v>
      </c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tr">
        <f>IFERROR(__xludf.DUMMYFUNCTION("""COMPUTED_VALUE"""),"Peru")</f>
        <v>Peru</v>
      </c>
      <c r="B109" s="18">
        <f>IFERROR(__xludf.DUMMYFUNCTION("""COMPUTED_VALUE"""),44067.0)</f>
        <v>44067</v>
      </c>
      <c r="C109" s="19">
        <f>IFERROR(__xludf.DUMMYFUNCTION("""COMPUTED_VALUE"""),44073.0)</f>
        <v>44073</v>
      </c>
      <c r="D109" s="17">
        <f>IFERROR(__xludf.DUMMYFUNCTION("""COMPUTED_VALUE"""),35.0)</f>
        <v>35</v>
      </c>
      <c r="E109" s="17">
        <f>IFERROR(__xludf.DUMMYFUNCTION("""COMPUTED_VALUE"""),5578.0)</f>
        <v>5578</v>
      </c>
      <c r="F109" s="17">
        <f>IFERROR(__xludf.DUMMYFUNCTION("""COMPUTED_VALUE"""),3401.0)</f>
        <v>3401</v>
      </c>
      <c r="G109" s="20">
        <f>IFERROR(__xludf.DUMMYFUNCTION("""COMPUTED_VALUE"""),26.0)</f>
        <v>26</v>
      </c>
      <c r="H109" s="20">
        <f>IFERROR(__xludf.DUMMYFUNCTION("""COMPUTED_VALUE"""),4987.5)</f>
        <v>4987.5</v>
      </c>
      <c r="I109" s="20">
        <f>IFERROR(__xludf.DUMMYFUNCTION("""COMPUTED_VALUE"""),2200.3333333333335)</f>
        <v>2200.333333</v>
      </c>
      <c r="J109" s="21">
        <f>IFERROR(__xludf.DUMMYFUNCTION("""COMPUTED_VALUE"""),3384.6666666666665)</f>
        <v>3384.666667</v>
      </c>
      <c r="K109" s="22">
        <f>IFERROR(__xludf.DUMMYFUNCTION("""COMPUTED_VALUE"""),10.195022904328509)</f>
        <v>10.1950229</v>
      </c>
      <c r="L109" s="22">
        <f>IFERROR(__xludf.DUMMYFUNCTION("""COMPUTED_VALUE"""),10.14606121440279)</f>
        <v>10.14606121</v>
      </c>
      <c r="M109" s="22">
        <f>IFERROR(__xludf.DUMMYFUNCTION("""COMPUTED_VALUE"""),219.50924499125657)</f>
        <v>219.509245</v>
      </c>
      <c r="N109" s="22">
        <f>IFERROR(__xludf.DUMMYFUNCTION("""COMPUTED_VALUE"""),242.60817123641604)</f>
        <v>242.6081712</v>
      </c>
      <c r="O109" s="22">
        <f t="shared" si="1"/>
        <v>-0.04896168993</v>
      </c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tr">
        <f>IFERROR(__xludf.DUMMYFUNCTION("""COMPUTED_VALUE"""),"Peru")</f>
        <v>Peru</v>
      </c>
      <c r="B110" s="18">
        <f>IFERROR(__xludf.DUMMYFUNCTION("""COMPUTED_VALUE"""),44074.0)</f>
        <v>44074</v>
      </c>
      <c r="C110" s="19">
        <f>IFERROR(__xludf.DUMMYFUNCTION("""COMPUTED_VALUE"""),44080.0)</f>
        <v>44080</v>
      </c>
      <c r="D110" s="17">
        <f>IFERROR(__xludf.DUMMYFUNCTION("""COMPUTED_VALUE"""),36.0)</f>
        <v>36</v>
      </c>
      <c r="E110" s="17">
        <f>IFERROR(__xludf.DUMMYFUNCTION("""COMPUTED_VALUE"""),4730.0)</f>
        <v>4730</v>
      </c>
      <c r="F110" s="17">
        <f>IFERROR(__xludf.DUMMYFUNCTION("""COMPUTED_VALUE"""),2674.0)</f>
        <v>2674</v>
      </c>
      <c r="G110" s="20">
        <f>IFERROR(__xludf.DUMMYFUNCTION("""COMPUTED_VALUE"""),27.0)</f>
        <v>27</v>
      </c>
      <c r="H110" s="20">
        <f>IFERROR(__xludf.DUMMYFUNCTION("""COMPUTED_VALUE"""),4918.0)</f>
        <v>4918</v>
      </c>
      <c r="I110" s="20">
        <f>IFERROR(__xludf.DUMMYFUNCTION("""COMPUTED_VALUE"""),2240.0)</f>
        <v>2240</v>
      </c>
      <c r="J110" s="21">
        <f>IFERROR(__xludf.DUMMYFUNCTION("""COMPUTED_VALUE"""),2562.0)</f>
        <v>2562</v>
      </c>
      <c r="K110" s="22">
        <f>IFERROR(__xludf.DUMMYFUNCTION("""COMPUTED_VALUE"""),8.0157280935532)</f>
        <v>8.015728094</v>
      </c>
      <c r="L110" s="22">
        <f>IFERROR(__xludf.DUMMYFUNCTION("""COMPUTED_VALUE"""),7.67999079120542)</f>
        <v>7.679990791</v>
      </c>
      <c r="M110" s="22">
        <f>IFERROR(__xludf.DUMMYFUNCTION("""COMPUTED_VALUE"""),227.52497308480977)</f>
        <v>227.5249731</v>
      </c>
      <c r="N110" s="22">
        <f>IFERROR(__xludf.DUMMYFUNCTION("""COMPUTED_VALUE"""),250.28816202762147)</f>
        <v>250.288162</v>
      </c>
      <c r="O110" s="22">
        <f t="shared" si="1"/>
        <v>-0.3357373023</v>
      </c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tr">
        <f>IFERROR(__xludf.DUMMYFUNCTION("""COMPUTED_VALUE"""),"Peru")</f>
        <v>Peru</v>
      </c>
      <c r="B111" s="18">
        <f>IFERROR(__xludf.DUMMYFUNCTION("""COMPUTED_VALUE"""),44081.0)</f>
        <v>44081</v>
      </c>
      <c r="C111" s="19">
        <f>IFERROR(__xludf.DUMMYFUNCTION("""COMPUTED_VALUE"""),44087.0)</f>
        <v>44087</v>
      </c>
      <c r="D111" s="17">
        <f>IFERROR(__xludf.DUMMYFUNCTION("""COMPUTED_VALUE"""),37.0)</f>
        <v>37</v>
      </c>
      <c r="E111" s="17">
        <f>IFERROR(__xludf.DUMMYFUNCTION("""COMPUTED_VALUE"""),4275.0)</f>
        <v>4275</v>
      </c>
      <c r="F111" s="17">
        <f>IFERROR(__xludf.DUMMYFUNCTION("""COMPUTED_VALUE"""),2214.0)</f>
        <v>2214</v>
      </c>
      <c r="G111" s="20">
        <f>IFERROR(__xludf.DUMMYFUNCTION("""COMPUTED_VALUE"""),28.0)</f>
        <v>28</v>
      </c>
      <c r="H111" s="20">
        <f>IFERROR(__xludf.DUMMYFUNCTION("""COMPUTED_VALUE"""),4913.0)</f>
        <v>4913</v>
      </c>
      <c r="I111" s="20">
        <f>IFERROR(__xludf.DUMMYFUNCTION("""COMPUTED_VALUE"""),2141.6666666666665)</f>
        <v>2141.666667</v>
      </c>
      <c r="J111" s="21">
        <f>IFERROR(__xludf.DUMMYFUNCTION("""COMPUTED_VALUE"""),2100.0)</f>
        <v>2100</v>
      </c>
      <c r="K111" s="22">
        <f>IFERROR(__xludf.DUMMYFUNCTION("""COMPUTED_VALUE"""),6.636807030339111)</f>
        <v>6.63680703</v>
      </c>
      <c r="L111" s="22">
        <f>IFERROR(__xludf.DUMMYFUNCTION("""COMPUTED_VALUE"""),6.295074419020837)</f>
        <v>6.295074419</v>
      </c>
      <c r="M111" s="22">
        <f>IFERROR(__xludf.DUMMYFUNCTION("""COMPUTED_VALUE"""),234.16178011514887)</f>
        <v>234.1617801</v>
      </c>
      <c r="N111" s="22">
        <f>IFERROR(__xludf.DUMMYFUNCTION("""COMPUTED_VALUE"""),256.58323644664233)</f>
        <v>256.5832364</v>
      </c>
      <c r="O111" s="22">
        <f t="shared" si="1"/>
        <v>-0.3417326113</v>
      </c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tr">
        <f>IFERROR(__xludf.DUMMYFUNCTION("""COMPUTED_VALUE"""),"Peru")</f>
        <v>Peru</v>
      </c>
      <c r="B112" s="18">
        <f>IFERROR(__xludf.DUMMYFUNCTION("""COMPUTED_VALUE"""),44088.0)</f>
        <v>44088</v>
      </c>
      <c r="C112" s="19">
        <f>IFERROR(__xludf.DUMMYFUNCTION("""COMPUTED_VALUE"""),44094.0)</f>
        <v>44094</v>
      </c>
      <c r="D112" s="17">
        <f>IFERROR(__xludf.DUMMYFUNCTION("""COMPUTED_VALUE"""),38.0)</f>
        <v>38</v>
      </c>
      <c r="E112" s="17">
        <f>IFERROR(__xludf.DUMMYFUNCTION("""COMPUTED_VALUE"""),3885.0)</f>
        <v>3885</v>
      </c>
      <c r="F112" s="17">
        <f>IFERROR(__xludf.DUMMYFUNCTION("""COMPUTED_VALUE"""),1889.0)</f>
        <v>1889</v>
      </c>
      <c r="G112" s="20">
        <f>IFERROR(__xludf.DUMMYFUNCTION("""COMPUTED_VALUE"""),29.0)</f>
        <v>29</v>
      </c>
      <c r="H112" s="20">
        <f>IFERROR(__xludf.DUMMYFUNCTION("""COMPUTED_VALUE"""),5006.5)</f>
        <v>5006.5</v>
      </c>
      <c r="I112" s="20">
        <f>IFERROR(__xludf.DUMMYFUNCTION("""COMPUTED_VALUE"""),2199.6666666666665)</f>
        <v>2199.666667</v>
      </c>
      <c r="J112" s="21">
        <f>IFERROR(__xludf.DUMMYFUNCTION("""COMPUTED_VALUE"""),1671.6666666666665)</f>
        <v>1671.666667</v>
      </c>
      <c r="K112" s="22">
        <f>IFERROR(__xludf.DUMMYFUNCTION("""COMPUTED_VALUE"""),5.662569322633505)</f>
        <v>5.662569323</v>
      </c>
      <c r="L112" s="22">
        <f>IFERROR(__xludf.DUMMYFUNCTION("""COMPUTED_VALUE"""),5.011079081172936)</f>
        <v>5.011079081</v>
      </c>
      <c r="M112" s="22">
        <f>IFERROR(__xludf.DUMMYFUNCTION("""COMPUTED_VALUE"""),239.8243494377824)</f>
        <v>239.8243494</v>
      </c>
      <c r="N112" s="22">
        <f>IFERROR(__xludf.DUMMYFUNCTION("""COMPUTED_VALUE"""),261.59431552781524)</f>
        <v>261.5943155</v>
      </c>
      <c r="O112" s="22">
        <f t="shared" si="1"/>
        <v>-0.6514902415</v>
      </c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tr">
        <f>IFERROR(__xludf.DUMMYFUNCTION("""COMPUTED_VALUE"""),"Peru")</f>
        <v>Peru</v>
      </c>
      <c r="B113" s="18">
        <f>IFERROR(__xludf.DUMMYFUNCTION("""COMPUTED_VALUE"""),44095.0)</f>
        <v>44095</v>
      </c>
      <c r="C113" s="19">
        <f>IFERROR(__xludf.DUMMYFUNCTION("""COMPUTED_VALUE"""),44101.0)</f>
        <v>44101</v>
      </c>
      <c r="D113" s="17">
        <f>IFERROR(__xludf.DUMMYFUNCTION("""COMPUTED_VALUE"""),39.0)</f>
        <v>39</v>
      </c>
      <c r="E113" s="17">
        <f>IFERROR(__xludf.DUMMYFUNCTION("""COMPUTED_VALUE"""),3483.0)</f>
        <v>3483</v>
      </c>
      <c r="F113" s="17">
        <f>IFERROR(__xludf.DUMMYFUNCTION("""COMPUTED_VALUE"""),1591.0)</f>
        <v>1591</v>
      </c>
      <c r="G113" s="20">
        <f>IFERROR(__xludf.DUMMYFUNCTION("""COMPUTED_VALUE"""),30.0)</f>
        <v>30</v>
      </c>
      <c r="H113" s="20">
        <f>IFERROR(__xludf.DUMMYFUNCTION("""COMPUTED_VALUE"""),4971.0)</f>
        <v>4971</v>
      </c>
      <c r="I113" s="20">
        <f>IFERROR(__xludf.DUMMYFUNCTION("""COMPUTED_VALUE"""),2215.3333333333335)</f>
        <v>2215.333333</v>
      </c>
      <c r="J113" s="21">
        <f>IFERROR(__xludf.DUMMYFUNCTION("""COMPUTED_VALUE"""),1265.6666666666665)</f>
        <v>1265.666667</v>
      </c>
      <c r="K113" s="22">
        <f>IFERROR(__xludf.DUMMYFUNCTION("""COMPUTED_VALUE"""),4.769268286029596)</f>
        <v>4.769268286</v>
      </c>
      <c r="L113" s="22">
        <f>IFERROR(__xludf.DUMMYFUNCTION("""COMPUTED_VALUE"""),3.7940313601622404)</f>
        <v>3.79403136</v>
      </c>
      <c r="M113" s="22">
        <f>IFERROR(__xludf.DUMMYFUNCTION("""COMPUTED_VALUE"""),244.59361772381197)</f>
        <v>244.5936177</v>
      </c>
      <c r="N113" s="22">
        <f>IFERROR(__xludf.DUMMYFUNCTION("""COMPUTED_VALUE"""),265.3883468879775)</f>
        <v>265.3883469</v>
      </c>
      <c r="O113" s="22">
        <f t="shared" si="1"/>
        <v>-0.9752369259</v>
      </c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tr">
        <f>IFERROR(__xludf.DUMMYFUNCTION("""COMPUTED_VALUE"""),"Peru")</f>
        <v>Peru</v>
      </c>
      <c r="B114" s="18">
        <f>IFERROR(__xludf.DUMMYFUNCTION("""COMPUTED_VALUE"""),44102.0)</f>
        <v>44102</v>
      </c>
      <c r="C114" s="19">
        <f>IFERROR(__xludf.DUMMYFUNCTION("""COMPUTED_VALUE"""),44108.0)</f>
        <v>44108</v>
      </c>
      <c r="D114" s="17">
        <f>IFERROR(__xludf.DUMMYFUNCTION("""COMPUTED_VALUE"""),40.0)</f>
        <v>40</v>
      </c>
      <c r="E114" s="17">
        <f>IFERROR(__xludf.DUMMYFUNCTION("""COMPUTED_VALUE"""),3235.0)</f>
        <v>3235</v>
      </c>
      <c r="F114" s="17">
        <f>IFERROR(__xludf.DUMMYFUNCTION("""COMPUTED_VALUE"""),1213.0)</f>
        <v>1213</v>
      </c>
      <c r="G114" s="20">
        <f>IFERROR(__xludf.DUMMYFUNCTION("""COMPUTED_VALUE"""),31.0)</f>
        <v>31</v>
      </c>
      <c r="H114" s="20">
        <f>IFERROR(__xludf.DUMMYFUNCTION("""COMPUTED_VALUE"""),4990.0)</f>
        <v>4990</v>
      </c>
      <c r="I114" s="20">
        <f>IFERROR(__xludf.DUMMYFUNCTION("""COMPUTED_VALUE"""),2182.6666666666665)</f>
        <v>2182.666667</v>
      </c>
      <c r="J114" s="21">
        <f>IFERROR(__xludf.DUMMYFUNCTION("""COMPUTED_VALUE"""),1083.3333333333335)</f>
        <v>1083.333333</v>
      </c>
      <c r="K114" s="22">
        <f>IFERROR(__xludf.DUMMYFUNCTION("""COMPUTED_VALUE"""),3.636154890605846)</f>
        <v>3.636154891</v>
      </c>
      <c r="L114" s="22">
        <f>IFERROR(__xludf.DUMMYFUNCTION("""COMPUTED_VALUE"""),3.2474590256853526)</f>
        <v>3.247459026</v>
      </c>
      <c r="M114" s="22">
        <f>IFERROR(__xludf.DUMMYFUNCTION("""COMPUTED_VALUE"""),248.2297726144178)</f>
        <v>248.2297726</v>
      </c>
      <c r="N114" s="22">
        <f>IFERROR(__xludf.DUMMYFUNCTION("""COMPUTED_VALUE"""),268.63580591366286)</f>
        <v>268.6358059</v>
      </c>
      <c r="O114" s="22">
        <f t="shared" si="1"/>
        <v>-0.3886958649</v>
      </c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tr">
        <f>IFERROR(__xludf.DUMMYFUNCTION("""COMPUTED_VALUE"""),"Peru")</f>
        <v>Peru</v>
      </c>
      <c r="B115" s="18">
        <f>IFERROR(__xludf.DUMMYFUNCTION("""COMPUTED_VALUE"""),44109.0)</f>
        <v>44109</v>
      </c>
      <c r="C115" s="19">
        <f>IFERROR(__xludf.DUMMYFUNCTION("""COMPUTED_VALUE"""),44115.0)</f>
        <v>44115</v>
      </c>
      <c r="D115" s="17">
        <f>IFERROR(__xludf.DUMMYFUNCTION("""COMPUTED_VALUE"""),41.0)</f>
        <v>41</v>
      </c>
      <c r="E115" s="17">
        <f>IFERROR(__xludf.DUMMYFUNCTION("""COMPUTED_VALUE"""),3147.0)</f>
        <v>3147</v>
      </c>
      <c r="F115" s="17">
        <f>IFERROR(__xludf.DUMMYFUNCTION("""COMPUTED_VALUE"""),1170.0)</f>
        <v>1170</v>
      </c>
      <c r="G115" s="20">
        <f>IFERROR(__xludf.DUMMYFUNCTION("""COMPUTED_VALUE"""),32.0)</f>
        <v>32</v>
      </c>
      <c r="H115" s="20">
        <f>IFERROR(__xludf.DUMMYFUNCTION("""COMPUTED_VALUE"""),5116.0)</f>
        <v>5116</v>
      </c>
      <c r="I115" s="20">
        <f>IFERROR(__xludf.DUMMYFUNCTION("""COMPUTED_VALUE"""),2230.3333333333335)</f>
        <v>2230.333333</v>
      </c>
      <c r="J115" s="21">
        <f>IFERROR(__xludf.DUMMYFUNCTION("""COMPUTED_VALUE"""),955.3333333333335)</f>
        <v>955.3333333</v>
      </c>
      <c r="K115" s="22">
        <f>IFERROR(__xludf.DUMMYFUNCTION("""COMPUTED_VALUE"""),3.5072557477401807)</f>
        <v>3.507255748</v>
      </c>
      <c r="L115" s="22">
        <f>IFERROR(__xludf.DUMMYFUNCTION("""COMPUTED_VALUE"""),2.863759251573607)</f>
        <v>2.863759252</v>
      </c>
      <c r="M115" s="22">
        <f>IFERROR(__xludf.DUMMYFUNCTION("""COMPUTED_VALUE"""),251.737028362158)</f>
        <v>251.7370284</v>
      </c>
      <c r="N115" s="22">
        <f>IFERROR(__xludf.DUMMYFUNCTION("""COMPUTED_VALUE"""),271.49956516523645)</f>
        <v>271.4995652</v>
      </c>
      <c r="O115" s="22">
        <f t="shared" si="1"/>
        <v>-0.6434964962</v>
      </c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tr">
        <f>IFERROR(__xludf.DUMMYFUNCTION("""COMPUTED_VALUE"""),"Peru")</f>
        <v>Peru</v>
      </c>
      <c r="B116" s="18">
        <f>IFERROR(__xludf.DUMMYFUNCTION("""COMPUTED_VALUE"""),44116.0)</f>
        <v>44116</v>
      </c>
      <c r="C116" s="19">
        <f>IFERROR(__xludf.DUMMYFUNCTION("""COMPUTED_VALUE"""),44122.0)</f>
        <v>44122</v>
      </c>
      <c r="D116" s="17">
        <f>IFERROR(__xludf.DUMMYFUNCTION("""COMPUTED_VALUE"""),42.0)</f>
        <v>42</v>
      </c>
      <c r="E116" s="17">
        <f>IFERROR(__xludf.DUMMYFUNCTION("""COMPUTED_VALUE"""),3001.0)</f>
        <v>3001</v>
      </c>
      <c r="F116" s="17">
        <f>IFERROR(__xludf.DUMMYFUNCTION("""COMPUTED_VALUE"""),978.0)</f>
        <v>978</v>
      </c>
      <c r="G116" s="20">
        <f>IFERROR(__xludf.DUMMYFUNCTION("""COMPUTED_VALUE"""),33.0)</f>
        <v>33</v>
      </c>
      <c r="H116" s="20">
        <f>IFERROR(__xludf.DUMMYFUNCTION("""COMPUTED_VALUE"""),4826.5)</f>
        <v>4826.5</v>
      </c>
      <c r="I116" s="20">
        <f>IFERROR(__xludf.DUMMYFUNCTION("""COMPUTED_VALUE"""),2135.0)</f>
        <v>2135</v>
      </c>
      <c r="J116" s="21">
        <f>IFERROR(__xludf.DUMMYFUNCTION("""COMPUTED_VALUE"""),768.0)</f>
        <v>768</v>
      </c>
      <c r="K116" s="22">
        <f>IFERROR(__xludf.DUMMYFUNCTION("""COMPUTED_VALUE"""),2.9317060865725613)</f>
        <v>2.931706087</v>
      </c>
      <c r="L116" s="22">
        <f>IFERROR(__xludf.DUMMYFUNCTION("""COMPUTED_VALUE"""),2.3021986446704776)</f>
        <v>2.302198645</v>
      </c>
      <c r="M116" s="22">
        <f>IFERROR(__xludf.DUMMYFUNCTION("""COMPUTED_VALUE"""),254.66873444873056)</f>
        <v>254.6687344</v>
      </c>
      <c r="N116" s="22">
        <f>IFERROR(__xludf.DUMMYFUNCTION("""COMPUTED_VALUE"""),273.8017638099069)</f>
        <v>273.8017638</v>
      </c>
      <c r="O116" s="22">
        <f t="shared" si="1"/>
        <v>-0.6295074419</v>
      </c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tr">
        <f>IFERROR(__xludf.DUMMYFUNCTION("""COMPUTED_VALUE"""),"Peru")</f>
        <v>Peru</v>
      </c>
      <c r="B117" s="18">
        <f>IFERROR(__xludf.DUMMYFUNCTION("""COMPUTED_VALUE"""),44123.0)</f>
        <v>44123</v>
      </c>
      <c r="C117" s="19">
        <f>IFERROR(__xludf.DUMMYFUNCTION("""COMPUTED_VALUE"""),44129.0)</f>
        <v>44129</v>
      </c>
      <c r="D117" s="17">
        <f>IFERROR(__xludf.DUMMYFUNCTION("""COMPUTED_VALUE"""),43.0)</f>
        <v>43</v>
      </c>
      <c r="E117" s="17">
        <f>IFERROR(__xludf.DUMMYFUNCTION("""COMPUTED_VALUE"""),2961.0)</f>
        <v>2961</v>
      </c>
      <c r="F117" s="17">
        <f>IFERROR(__xludf.DUMMYFUNCTION("""COMPUTED_VALUE"""),860.0)</f>
        <v>860</v>
      </c>
      <c r="G117" s="20">
        <f>IFERROR(__xludf.DUMMYFUNCTION("""COMPUTED_VALUE"""),34.0)</f>
        <v>34</v>
      </c>
      <c r="H117" s="20">
        <f>IFERROR(__xludf.DUMMYFUNCTION("""COMPUTED_VALUE"""),4617.5)</f>
        <v>4617.5</v>
      </c>
      <c r="I117" s="20">
        <f>IFERROR(__xludf.DUMMYFUNCTION("""COMPUTED_VALUE"""),2123.0)</f>
        <v>2123</v>
      </c>
      <c r="J117" s="21">
        <f>IFERROR(__xludf.DUMMYFUNCTION("""COMPUTED_VALUE"""),775.3333333333335)</f>
        <v>775.3333333</v>
      </c>
      <c r="K117" s="22">
        <f>IFERROR(__xludf.DUMMYFUNCTION("""COMPUTED_VALUE"""),2.577982857313295)</f>
        <v>2.577982857</v>
      </c>
      <c r="L117" s="22">
        <f>IFERROR(__xludf.DUMMYFUNCTION("""COMPUTED_VALUE"""),2.3241814442289632)</f>
        <v>2.324181444</v>
      </c>
      <c r="M117" s="22">
        <f>IFERROR(__xludf.DUMMYFUNCTION("""COMPUTED_VALUE"""),257.2467173060439)</f>
        <v>257.2467173</v>
      </c>
      <c r="N117" s="22">
        <f>IFERROR(__xludf.DUMMYFUNCTION("""COMPUTED_VALUE"""),276.12594525413584)</f>
        <v>276.1259453</v>
      </c>
      <c r="O117" s="22">
        <f t="shared" si="1"/>
        <v>-0.2538014131</v>
      </c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tr">
        <f>IFERROR(__xludf.DUMMYFUNCTION("""COMPUTED_VALUE"""),"Peru")</f>
        <v>Peru</v>
      </c>
      <c r="B118" s="18">
        <f>IFERROR(__xludf.DUMMYFUNCTION("""COMPUTED_VALUE"""),44130.0)</f>
        <v>44130</v>
      </c>
      <c r="C118" s="19">
        <f>IFERROR(__xludf.DUMMYFUNCTION("""COMPUTED_VALUE"""),44136.0)</f>
        <v>44136</v>
      </c>
      <c r="D118" s="17">
        <f>IFERROR(__xludf.DUMMYFUNCTION("""COMPUTED_VALUE"""),44.0)</f>
        <v>44</v>
      </c>
      <c r="E118" s="17">
        <f>IFERROR(__xludf.DUMMYFUNCTION("""COMPUTED_VALUE"""),2794.0)</f>
        <v>2794</v>
      </c>
      <c r="F118" s="17">
        <f>IFERROR(__xludf.DUMMYFUNCTION("""COMPUTED_VALUE"""),772.0)</f>
        <v>772</v>
      </c>
      <c r="G118" s="20">
        <f>IFERROR(__xludf.DUMMYFUNCTION("""COMPUTED_VALUE"""),35.0)</f>
        <v>35</v>
      </c>
      <c r="H118" s="20">
        <f>IFERROR(__xludf.DUMMYFUNCTION("""COMPUTED_VALUE"""),4280.5)</f>
        <v>4280.5</v>
      </c>
      <c r="I118" s="20">
        <f>IFERROR(__xludf.DUMMYFUNCTION("""COMPUTED_VALUE"""),2193.3333333333335)</f>
        <v>2193.333333</v>
      </c>
      <c r="J118" s="21">
        <f>IFERROR(__xludf.DUMMYFUNCTION("""COMPUTED_VALUE"""),589.0)</f>
        <v>589</v>
      </c>
      <c r="K118" s="22">
        <f>IFERROR(__xludf.DUMMYFUNCTION("""COMPUTED_VALUE"""),2.3141892626114697)</f>
        <v>2.314189263</v>
      </c>
      <c r="L118" s="22">
        <f>IFERROR(__xludf.DUMMYFUNCTION("""COMPUTED_VALUE"""),1.7656184918110824)</f>
        <v>1.765618492</v>
      </c>
      <c r="M118" s="22">
        <f>IFERROR(__xludf.DUMMYFUNCTION("""COMPUTED_VALUE"""),259.56090656865535)</f>
        <v>259.5609066</v>
      </c>
      <c r="N118" s="22">
        <f>IFERROR(__xludf.DUMMYFUNCTION("""COMPUTED_VALUE"""),277.89156374594694)</f>
        <v>277.8915637</v>
      </c>
      <c r="O118" s="22">
        <f t="shared" si="1"/>
        <v>-0.5485707708</v>
      </c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tr">
        <f>IFERROR(__xludf.DUMMYFUNCTION("""COMPUTED_VALUE"""),"Peru")</f>
        <v>Peru</v>
      </c>
      <c r="B119" s="18">
        <f>IFERROR(__xludf.DUMMYFUNCTION("""COMPUTED_VALUE"""),44137.0)</f>
        <v>44137</v>
      </c>
      <c r="C119" s="19">
        <f>IFERROR(__xludf.DUMMYFUNCTION("""COMPUTED_VALUE"""),44143.0)</f>
        <v>44143</v>
      </c>
      <c r="D119" s="17">
        <f>IFERROR(__xludf.DUMMYFUNCTION("""COMPUTED_VALUE"""),45.0)</f>
        <v>45</v>
      </c>
      <c r="E119" s="17">
        <f>IFERROR(__xludf.DUMMYFUNCTION("""COMPUTED_VALUE"""),2861.0)</f>
        <v>2861</v>
      </c>
      <c r="F119" s="17">
        <f>IFERROR(__xludf.DUMMYFUNCTION("""COMPUTED_VALUE"""),739.0)</f>
        <v>739</v>
      </c>
      <c r="G119" s="20">
        <f>IFERROR(__xludf.DUMMYFUNCTION("""COMPUTED_VALUE"""),36.0)</f>
        <v>36</v>
      </c>
      <c r="H119" s="20">
        <f>IFERROR(__xludf.DUMMYFUNCTION("""COMPUTED_VALUE"""),3808.5)</f>
        <v>3808.5</v>
      </c>
      <c r="I119" s="20">
        <f>IFERROR(__xludf.DUMMYFUNCTION("""COMPUTED_VALUE"""),2168.0)</f>
        <v>2168</v>
      </c>
      <c r="J119" s="21">
        <f>IFERROR(__xludf.DUMMYFUNCTION("""COMPUTED_VALUE"""),693.0)</f>
        <v>693</v>
      </c>
      <c r="K119" s="22">
        <f>IFERROR(__xludf.DUMMYFUNCTION("""COMPUTED_VALUE"""),2.215266664598285)</f>
        <v>2.215266665</v>
      </c>
      <c r="L119" s="22">
        <f>IFERROR(__xludf.DUMMYFUNCTION("""COMPUTED_VALUE"""),2.077374558276876)</f>
        <v>2.077374558</v>
      </c>
      <c r="M119" s="22">
        <f>IFERROR(__xludf.DUMMYFUNCTION("""COMPUTED_VALUE"""),261.77617323325364)</f>
        <v>261.7761732</v>
      </c>
      <c r="N119" s="22">
        <f>IFERROR(__xludf.DUMMYFUNCTION("""COMPUTED_VALUE"""),279.9689383042238)</f>
        <v>279.9689383</v>
      </c>
      <c r="O119" s="22">
        <f t="shared" si="1"/>
        <v>-0.1378921063</v>
      </c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tr">
        <f>IFERROR(__xludf.DUMMYFUNCTION("""COMPUTED_VALUE"""),"Peru")</f>
        <v>Peru</v>
      </c>
      <c r="B120" s="18">
        <f>IFERROR(__xludf.DUMMYFUNCTION("""COMPUTED_VALUE"""),44144.0)</f>
        <v>44144</v>
      </c>
      <c r="C120" s="19">
        <f>IFERROR(__xludf.DUMMYFUNCTION("""COMPUTED_VALUE"""),44150.0)</f>
        <v>44150</v>
      </c>
      <c r="D120" s="17">
        <f>IFERROR(__xludf.DUMMYFUNCTION("""COMPUTED_VALUE"""),46.0)</f>
        <v>46</v>
      </c>
      <c r="E120" s="17">
        <f>IFERROR(__xludf.DUMMYFUNCTION("""COMPUTED_VALUE"""),2850.0)</f>
        <v>2850</v>
      </c>
      <c r="F120" s="17">
        <f>IFERROR(__xludf.DUMMYFUNCTION("""COMPUTED_VALUE"""),730.0)</f>
        <v>730</v>
      </c>
      <c r="G120" s="20">
        <f>IFERROR(__xludf.DUMMYFUNCTION("""COMPUTED_VALUE"""),37.0)</f>
        <v>37</v>
      </c>
      <c r="H120" s="20">
        <f>IFERROR(__xludf.DUMMYFUNCTION("""COMPUTED_VALUE"""),3582.5)</f>
        <v>3582.5</v>
      </c>
      <c r="I120" s="20">
        <f>IFERROR(__xludf.DUMMYFUNCTION("""COMPUTED_VALUE"""),2175.0)</f>
        <v>2175</v>
      </c>
      <c r="J120" s="21">
        <f>IFERROR(__xludf.DUMMYFUNCTION("""COMPUTED_VALUE"""),792.3333333333335)</f>
        <v>792.3333333</v>
      </c>
      <c r="K120" s="22">
        <f>IFERROR(__xludf.DUMMYFUNCTION("""COMPUTED_VALUE"""),2.188287774231053)</f>
        <v>2.188287774</v>
      </c>
      <c r="L120" s="22">
        <f>IFERROR(__xludf.DUMMYFUNCTION("""COMPUTED_VALUE"""),2.37514157047818)</f>
        <v>2.37514157</v>
      </c>
      <c r="M120" s="22">
        <f>IFERROR(__xludf.DUMMYFUNCTION("""COMPUTED_VALUE"""),263.9644610074847)</f>
        <v>263.964461</v>
      </c>
      <c r="N120" s="22">
        <f>IFERROR(__xludf.DUMMYFUNCTION("""COMPUTED_VALUE"""),282.344079874702)</f>
        <v>282.3440799</v>
      </c>
      <c r="O120" s="22">
        <f t="shared" si="1"/>
        <v>0.1868537962</v>
      </c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tr">
        <f>IFERROR(__xludf.DUMMYFUNCTION("""COMPUTED_VALUE"""),"Peru")</f>
        <v>Peru</v>
      </c>
      <c r="B121" s="18">
        <f>IFERROR(__xludf.DUMMYFUNCTION("""COMPUTED_VALUE"""),44151.0)</f>
        <v>44151</v>
      </c>
      <c r="C121" s="19">
        <f>IFERROR(__xludf.DUMMYFUNCTION("""COMPUTED_VALUE"""),44157.0)</f>
        <v>44157</v>
      </c>
      <c r="D121" s="17">
        <f>IFERROR(__xludf.DUMMYFUNCTION("""COMPUTED_VALUE"""),47.0)</f>
        <v>47</v>
      </c>
      <c r="E121" s="17">
        <f>IFERROR(__xludf.DUMMYFUNCTION("""COMPUTED_VALUE"""),2755.0)</f>
        <v>2755</v>
      </c>
      <c r="F121" s="17">
        <f>IFERROR(__xludf.DUMMYFUNCTION("""COMPUTED_VALUE"""),646.0)</f>
        <v>646</v>
      </c>
      <c r="G121" s="20">
        <f>IFERROR(__xludf.DUMMYFUNCTION("""COMPUTED_VALUE"""),38.0)</f>
        <v>38</v>
      </c>
      <c r="H121" s="20">
        <f>IFERROR(__xludf.DUMMYFUNCTION("""COMPUTED_VALUE"""),3415.0)</f>
        <v>3415</v>
      </c>
      <c r="I121" s="20">
        <f>IFERROR(__xludf.DUMMYFUNCTION("""COMPUTED_VALUE"""),2213.3333333333335)</f>
        <v>2213.333333</v>
      </c>
      <c r="J121" s="21">
        <f>IFERROR(__xludf.DUMMYFUNCTION("""COMPUTED_VALUE"""),672.3333333333335)</f>
        <v>672.3333333</v>
      </c>
      <c r="K121" s="22">
        <f>IFERROR(__xludf.DUMMYFUNCTION("""COMPUTED_VALUE"""),1.9364847974702195)</f>
        <v>1.936484797</v>
      </c>
      <c r="L121" s="22">
        <f>IFERROR(__xludf.DUMMYFUNCTION("""COMPUTED_VALUE"""),2.0154230322484175)</f>
        <v>2.015423032</v>
      </c>
      <c r="M121" s="22">
        <f>IFERROR(__xludf.DUMMYFUNCTION("""COMPUTED_VALUE"""),265.9009458049549)</f>
        <v>265.9009458</v>
      </c>
      <c r="N121" s="22">
        <f>IFERROR(__xludf.DUMMYFUNCTION("""COMPUTED_VALUE"""),284.3595029069504)</f>
        <v>284.3595029</v>
      </c>
      <c r="O121" s="22">
        <f t="shared" si="1"/>
        <v>0.07893823478</v>
      </c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tr">
        <f>IFERROR(__xludf.DUMMYFUNCTION("""COMPUTED_VALUE"""),"Peru")</f>
        <v>Peru</v>
      </c>
      <c r="B122" s="18">
        <f>IFERROR(__xludf.DUMMYFUNCTION("""COMPUTED_VALUE"""),44158.0)</f>
        <v>44158</v>
      </c>
      <c r="C122" s="19">
        <f>IFERROR(__xludf.DUMMYFUNCTION("""COMPUTED_VALUE"""),44164.0)</f>
        <v>44164</v>
      </c>
      <c r="D122" s="17">
        <f>IFERROR(__xludf.DUMMYFUNCTION("""COMPUTED_VALUE"""),48.0)</f>
        <v>48</v>
      </c>
      <c r="E122" s="17">
        <f>IFERROR(__xludf.DUMMYFUNCTION("""COMPUTED_VALUE"""),2635.0)</f>
        <v>2635</v>
      </c>
      <c r="F122" s="17">
        <f>IFERROR(__xludf.DUMMYFUNCTION("""COMPUTED_VALUE"""),661.0)</f>
        <v>661</v>
      </c>
      <c r="G122" s="20">
        <f>IFERROR(__xludf.DUMMYFUNCTION("""COMPUTED_VALUE"""),39.0)</f>
        <v>39</v>
      </c>
      <c r="H122" s="20">
        <f>IFERROR(__xludf.DUMMYFUNCTION("""COMPUTED_VALUE"""),3483.0)</f>
        <v>3483</v>
      </c>
      <c r="I122" s="20">
        <f>IFERROR(__xludf.DUMMYFUNCTION("""COMPUTED_VALUE"""),2217.3333333333335)</f>
        <v>2217.333333</v>
      </c>
      <c r="J122" s="21">
        <f>IFERROR(__xludf.DUMMYFUNCTION("""COMPUTED_VALUE"""),576.0)</f>
        <v>576</v>
      </c>
      <c r="K122" s="22">
        <f>IFERROR(__xludf.DUMMYFUNCTION("""COMPUTED_VALUE"""),1.9814496147489395)</f>
        <v>1.981449615</v>
      </c>
      <c r="L122" s="22">
        <f>IFERROR(__xludf.DUMMYFUNCTION("""COMPUTED_VALUE"""),1.726648983502858)</f>
        <v>1.726648984</v>
      </c>
      <c r="M122" s="22">
        <f>IFERROR(__xludf.DUMMYFUNCTION("""COMPUTED_VALUE"""),267.88239541970387)</f>
        <v>267.8823954</v>
      </c>
      <c r="N122" s="22">
        <f>IFERROR(__xludf.DUMMYFUNCTION("""COMPUTED_VALUE"""),286.08615189045327)</f>
        <v>286.0861519</v>
      </c>
      <c r="O122" s="22">
        <f t="shared" si="1"/>
        <v>-0.2548006312</v>
      </c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tr">
        <f>IFERROR(__xludf.DUMMYFUNCTION("""COMPUTED_VALUE"""),"Peru")</f>
        <v>Peru</v>
      </c>
      <c r="B123" s="18">
        <f>IFERROR(__xludf.DUMMYFUNCTION("""COMPUTED_VALUE"""),44165.0)</f>
        <v>44165</v>
      </c>
      <c r="C123" s="19">
        <f>IFERROR(__xludf.DUMMYFUNCTION("""COMPUTED_VALUE"""),44171.0)</f>
        <v>44171</v>
      </c>
      <c r="D123" s="17">
        <f>IFERROR(__xludf.DUMMYFUNCTION("""COMPUTED_VALUE"""),49.0)</f>
        <v>49</v>
      </c>
      <c r="E123" s="17">
        <f>IFERROR(__xludf.DUMMYFUNCTION("""COMPUTED_VALUE"""),2800.0)</f>
        <v>2800</v>
      </c>
      <c r="F123" s="17">
        <f>IFERROR(__xludf.DUMMYFUNCTION("""COMPUTED_VALUE"""),686.0)</f>
        <v>686</v>
      </c>
      <c r="G123" s="20">
        <f>IFERROR(__xludf.DUMMYFUNCTION("""COMPUTED_VALUE"""),40.0)</f>
        <v>40</v>
      </c>
      <c r="H123" s="20">
        <f>IFERROR(__xludf.DUMMYFUNCTION("""COMPUTED_VALUE"""),3235.0)</f>
        <v>3235</v>
      </c>
      <c r="I123" s="20">
        <f>IFERROR(__xludf.DUMMYFUNCTION("""COMPUTED_VALUE"""),2151.6666666666665)</f>
        <v>2151.666667</v>
      </c>
      <c r="J123" s="21">
        <f>IFERROR(__xludf.DUMMYFUNCTION("""COMPUTED_VALUE"""),711.3333333333335)</f>
        <v>711.3333333</v>
      </c>
      <c r="K123" s="22">
        <f>IFERROR(__xludf.DUMMYFUNCTION("""COMPUTED_VALUE"""),2.05639097688014)</f>
        <v>2.056390977</v>
      </c>
      <c r="L123" s="22">
        <f>IFERROR(__xludf.DUMMYFUNCTION("""COMPUTED_VALUE"""),2.13233155717309)</f>
        <v>2.132331557</v>
      </c>
      <c r="M123" s="22">
        <f>IFERROR(__xludf.DUMMYFUNCTION("""COMPUTED_VALUE"""),269.938786396584)</f>
        <v>269.9387864</v>
      </c>
      <c r="N123" s="22">
        <f>IFERROR(__xludf.DUMMYFUNCTION("""COMPUTED_VALUE"""),288.21848344762634)</f>
        <v>288.2184834</v>
      </c>
      <c r="O123" s="22">
        <f t="shared" si="1"/>
        <v>0.07594058029</v>
      </c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tr">
        <f>IFERROR(__xludf.DUMMYFUNCTION("""COMPUTED_VALUE"""),"Peru")</f>
        <v>Peru</v>
      </c>
      <c r="B124" s="18">
        <f>IFERROR(__xludf.DUMMYFUNCTION("""COMPUTED_VALUE"""),44172.0)</f>
        <v>44172</v>
      </c>
      <c r="C124" s="19">
        <f>IFERROR(__xludf.DUMMYFUNCTION("""COMPUTED_VALUE"""),44178.0)</f>
        <v>44178</v>
      </c>
      <c r="D124" s="17">
        <f>IFERROR(__xludf.DUMMYFUNCTION("""COMPUTED_VALUE"""),50.0)</f>
        <v>50</v>
      </c>
      <c r="E124" s="17">
        <f>IFERROR(__xludf.DUMMYFUNCTION("""COMPUTED_VALUE"""),2964.0)</f>
        <v>2964</v>
      </c>
      <c r="F124" s="17">
        <f>IFERROR(__xludf.DUMMYFUNCTION("""COMPUTED_VALUE"""),747.0)</f>
        <v>747</v>
      </c>
      <c r="G124" s="20">
        <f>IFERROR(__xludf.DUMMYFUNCTION("""COMPUTED_VALUE"""),41.0)</f>
        <v>41</v>
      </c>
      <c r="H124" s="20">
        <f>IFERROR(__xludf.DUMMYFUNCTION("""COMPUTED_VALUE"""),3147.0)</f>
        <v>3147</v>
      </c>
      <c r="I124" s="20">
        <f>IFERROR(__xludf.DUMMYFUNCTION("""COMPUTED_VALUE"""),2191.6666666666665)</f>
        <v>2191.666667</v>
      </c>
      <c r="J124" s="21">
        <f>IFERROR(__xludf.DUMMYFUNCTION("""COMPUTED_VALUE"""),849.3333333333335)</f>
        <v>849.3333333</v>
      </c>
      <c r="K124" s="22">
        <f>IFERROR(__xludf.DUMMYFUNCTION("""COMPUTED_VALUE"""),2.2392479004802692)</f>
        <v>2.2392479</v>
      </c>
      <c r="L124" s="22">
        <f>IFERROR(__xludf.DUMMYFUNCTION("""COMPUTED_VALUE"""),2.546007876137317)</f>
        <v>2.546007876</v>
      </c>
      <c r="M124" s="22">
        <f>IFERROR(__xludf.DUMMYFUNCTION("""COMPUTED_VALUE"""),272.1780342970643)</f>
        <v>272.1780343</v>
      </c>
      <c r="N124" s="22">
        <f>IFERROR(__xludf.DUMMYFUNCTION("""COMPUTED_VALUE"""),290.76449132376365)</f>
        <v>290.7644913</v>
      </c>
      <c r="O124" s="22">
        <f t="shared" si="1"/>
        <v>0.3067599757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tr">
        <f>IFERROR(__xludf.DUMMYFUNCTION("""COMPUTED_VALUE"""),"Peru")</f>
        <v>Peru</v>
      </c>
      <c r="B125" s="18">
        <f>IFERROR(__xludf.DUMMYFUNCTION("""COMPUTED_VALUE"""),44179.0)</f>
        <v>44179</v>
      </c>
      <c r="C125" s="19">
        <f>IFERROR(__xludf.DUMMYFUNCTION("""COMPUTED_VALUE"""),44185.0)</f>
        <v>44185</v>
      </c>
      <c r="D125" s="17">
        <f>IFERROR(__xludf.DUMMYFUNCTION("""COMPUTED_VALUE"""),51.0)</f>
        <v>51</v>
      </c>
      <c r="E125" s="17">
        <f>IFERROR(__xludf.DUMMYFUNCTION("""COMPUTED_VALUE"""),3151.0)</f>
        <v>3151</v>
      </c>
      <c r="F125" s="17">
        <f>IFERROR(__xludf.DUMMYFUNCTION("""COMPUTED_VALUE"""),816.0)</f>
        <v>816</v>
      </c>
      <c r="G125" s="20">
        <f>IFERROR(__xludf.DUMMYFUNCTION("""COMPUTED_VALUE"""),42.0)</f>
        <v>42</v>
      </c>
      <c r="H125" s="20">
        <f>IFERROR(__xludf.DUMMYFUNCTION("""COMPUTED_VALUE"""),3001.0)</f>
        <v>3001</v>
      </c>
      <c r="I125" s="20">
        <f>IFERROR(__xludf.DUMMYFUNCTION("""COMPUTED_VALUE"""),2233.0)</f>
        <v>2233</v>
      </c>
      <c r="J125" s="21">
        <f>IFERROR(__xludf.DUMMYFUNCTION("""COMPUTED_VALUE"""),1050.3333333333335)</f>
        <v>1050.333333</v>
      </c>
      <c r="K125" s="22">
        <f>IFERROR(__xludf.DUMMYFUNCTION("""COMPUTED_VALUE"""),2.4460860599623824)</f>
        <v>2.44608606</v>
      </c>
      <c r="L125" s="22">
        <f>IFERROR(__xludf.DUMMYFUNCTION("""COMPUTED_VALUE"""),3.1485364276721683)</f>
        <v>3.148536428</v>
      </c>
      <c r="M125" s="22">
        <f>IFERROR(__xludf.DUMMYFUNCTION("""COMPUTED_VALUE"""),274.6241203570267)</f>
        <v>274.6241204</v>
      </c>
      <c r="N125" s="22">
        <f>IFERROR(__xludf.DUMMYFUNCTION("""COMPUTED_VALUE"""),293.91302775143583)</f>
        <v>293.9130278</v>
      </c>
      <c r="O125" s="22">
        <f t="shared" si="1"/>
        <v>0.7024503677</v>
      </c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tr">
        <f>IFERROR(__xludf.DUMMYFUNCTION("""COMPUTED_VALUE"""),"Peru")</f>
        <v>Peru</v>
      </c>
      <c r="B126" s="18">
        <f>IFERROR(__xludf.DUMMYFUNCTION("""COMPUTED_VALUE"""),44186.0)</f>
        <v>44186</v>
      </c>
      <c r="C126" s="19">
        <f>IFERROR(__xludf.DUMMYFUNCTION("""COMPUTED_VALUE"""),44192.0)</f>
        <v>44192</v>
      </c>
      <c r="D126" s="17">
        <f>IFERROR(__xludf.DUMMYFUNCTION("""COMPUTED_VALUE"""),52.0)</f>
        <v>52</v>
      </c>
      <c r="E126" s="17">
        <f>IFERROR(__xludf.DUMMYFUNCTION("""COMPUTED_VALUE"""),3253.0)</f>
        <v>3253</v>
      </c>
      <c r="F126" s="17">
        <f>IFERROR(__xludf.DUMMYFUNCTION("""COMPUTED_VALUE"""),880.0)</f>
        <v>880</v>
      </c>
      <c r="G126" s="20">
        <f>IFERROR(__xludf.DUMMYFUNCTION("""COMPUTED_VALUE"""),43.0)</f>
        <v>43</v>
      </c>
      <c r="H126" s="20">
        <f>IFERROR(__xludf.DUMMYFUNCTION("""COMPUTED_VALUE"""),2961.0)</f>
        <v>2961</v>
      </c>
      <c r="I126" s="20">
        <f>IFERROR(__xludf.DUMMYFUNCTION("""COMPUTED_VALUE"""),2185.6666666666665)</f>
        <v>2185.666667</v>
      </c>
      <c r="J126" s="21">
        <f>IFERROR(__xludf.DUMMYFUNCTION("""COMPUTED_VALUE"""),1094.0)</f>
        <v>1094</v>
      </c>
      <c r="K126" s="22">
        <f>IFERROR(__xludf.DUMMYFUNCTION("""COMPUTED_VALUE"""),2.6379359470182555)</f>
        <v>2.637935947</v>
      </c>
      <c r="L126" s="22">
        <f>IFERROR(__xludf.DUMMYFUNCTION("""COMPUTED_VALUE"""),3.2794340068613317)</f>
        <v>3.279434007</v>
      </c>
      <c r="M126" s="22">
        <f>IFERROR(__xludf.DUMMYFUNCTION("""COMPUTED_VALUE"""),277.26205630404496)</f>
        <v>277.2620563</v>
      </c>
      <c r="N126" s="22">
        <f>IFERROR(__xludf.DUMMYFUNCTION("""COMPUTED_VALUE"""),297.19246175829716)</f>
        <v>297.1924618</v>
      </c>
      <c r="O126" s="22">
        <f t="shared" si="1"/>
        <v>0.6414980598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tr">
        <f>IFERROR(__xludf.DUMMYFUNCTION("""COMPUTED_VALUE"""),"Peru")</f>
        <v>Peru</v>
      </c>
      <c r="B127" s="18">
        <f>IFERROR(__xludf.DUMMYFUNCTION("""COMPUTED_VALUE"""),44193.0)</f>
        <v>44193</v>
      </c>
      <c r="C127" s="19">
        <f>IFERROR(__xludf.DUMMYFUNCTION("""COMPUTED_VALUE"""),44199.0)</f>
        <v>44199</v>
      </c>
      <c r="D127" s="17">
        <f>IFERROR(__xludf.DUMMYFUNCTION("""COMPUTED_VALUE"""),53.0)</f>
        <v>53</v>
      </c>
      <c r="E127" s="17">
        <f>IFERROR(__xludf.DUMMYFUNCTION("""COMPUTED_VALUE"""),3502.0)</f>
        <v>3502</v>
      </c>
      <c r="F127" s="17">
        <f>IFERROR(__xludf.DUMMYFUNCTION("""COMPUTED_VALUE"""),1082.0)</f>
        <v>1082</v>
      </c>
      <c r="G127" s="20">
        <f>IFERROR(__xludf.DUMMYFUNCTION("""COMPUTED_VALUE"""),44.0)</f>
        <v>44</v>
      </c>
      <c r="H127" s="20">
        <f>IFERROR(__xludf.DUMMYFUNCTION("""COMPUTED_VALUE"""),2794.0)</f>
        <v>2794</v>
      </c>
      <c r="I127" s="20">
        <f>IFERROR(__xludf.DUMMYFUNCTION("""COMPUTED_VALUE"""),2205.0)</f>
        <v>2205</v>
      </c>
      <c r="J127" s="21">
        <f>IFERROR(__xludf.DUMMYFUNCTION("""COMPUTED_VALUE"""),3502.0)</f>
        <v>3502</v>
      </c>
      <c r="K127" s="22">
        <f>IFERROR(__xludf.DUMMYFUNCTION("""COMPUTED_VALUE"""),3.243462153038355)</f>
        <v>3.243462153</v>
      </c>
      <c r="L127" s="22">
        <f>IFERROR(__xludf.DUMMYFUNCTION("""COMPUTED_VALUE"""),10.497786007338558)</f>
        <v>10.49778601</v>
      </c>
      <c r="M127" s="22">
        <f>IFERROR(__xludf.DUMMYFUNCTION("""COMPUTED_VALUE"""),280.5055184570833)</f>
        <v>280.5055185</v>
      </c>
      <c r="N127" s="22">
        <f>IFERROR(__xludf.DUMMYFUNCTION("""COMPUTED_VALUE"""),307.6902477656357)</f>
        <v>307.6902478</v>
      </c>
      <c r="O127" s="22">
        <f t="shared" si="1"/>
        <v>7.254323854</v>
      </c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tr">
        <f>IFERROR(__xludf.DUMMYFUNCTION("""COMPUTED_VALUE"""),"Peru")</f>
        <v>Peru</v>
      </c>
      <c r="B128" s="18">
        <f>IFERROR(__xludf.DUMMYFUNCTION("""COMPUTED_VALUE"""),44200.0)</f>
        <v>44200</v>
      </c>
      <c r="C128" s="19">
        <f>IFERROR(__xludf.DUMMYFUNCTION("""COMPUTED_VALUE"""),44206.0)</f>
        <v>44206</v>
      </c>
      <c r="D128" s="17">
        <f>IFERROR(__xludf.DUMMYFUNCTION("""COMPUTED_VALUE"""),1.0)</f>
        <v>1</v>
      </c>
      <c r="E128" s="17">
        <f>IFERROR(__xludf.DUMMYFUNCTION("""COMPUTED_VALUE"""),3985.0)</f>
        <v>3985</v>
      </c>
      <c r="F128" s="17">
        <f>IFERROR(__xludf.DUMMYFUNCTION("""COMPUTED_VALUE"""),1401.0)</f>
        <v>1401</v>
      </c>
      <c r="G128" s="20">
        <f>IFERROR(__xludf.DUMMYFUNCTION("""COMPUTED_VALUE"""),45.0)</f>
        <v>45</v>
      </c>
      <c r="H128" s="20">
        <f>IFERROR(__xludf.DUMMYFUNCTION("""COMPUTED_VALUE"""),2861.0)</f>
        <v>2861</v>
      </c>
      <c r="I128" s="20">
        <f>IFERROR(__xludf.DUMMYFUNCTION("""COMPUTED_VALUE"""),2168.0)</f>
        <v>2168</v>
      </c>
      <c r="J128" s="21">
        <f>IFERROR(__xludf.DUMMYFUNCTION("""COMPUTED_VALUE"""),1930.5)</f>
        <v>1930.5</v>
      </c>
      <c r="K128" s="22">
        <f>IFERROR(__xludf.DUMMYFUNCTION("""COMPUTED_VALUE"""),4.199713933832473)</f>
        <v>4.199713934</v>
      </c>
      <c r="L128" s="22">
        <f>IFERROR(__xludf.DUMMYFUNCTION("""COMPUTED_VALUE"""),5.786971983771298)</f>
        <v>5.786971984</v>
      </c>
      <c r="M128" s="22">
        <f>IFERROR(__xludf.DUMMYFUNCTION("""COMPUTED_VALUE"""),284.7052323909158)</f>
        <v>284.7052324</v>
      </c>
      <c r="N128" s="22">
        <f>IFERROR(__xludf.DUMMYFUNCTION("""COMPUTED_VALUE"""),313.477219749407)</f>
        <v>313.4772197</v>
      </c>
      <c r="O128" s="22">
        <f t="shared" si="1"/>
        <v>1.58725805</v>
      </c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tr">
        <f>IFERROR(__xludf.DUMMYFUNCTION("""COMPUTED_VALUE"""),"Peru")</f>
        <v>Peru</v>
      </c>
      <c r="B129" s="18">
        <f>IFERROR(__xludf.DUMMYFUNCTION("""COMPUTED_VALUE"""),44207.0)</f>
        <v>44207</v>
      </c>
      <c r="C129" s="19">
        <f>IFERROR(__xludf.DUMMYFUNCTION("""COMPUTED_VALUE"""),44213.0)</f>
        <v>44213</v>
      </c>
      <c r="D129" s="17">
        <f>IFERROR(__xludf.DUMMYFUNCTION("""COMPUTED_VALUE"""),2.0)</f>
        <v>2</v>
      </c>
      <c r="E129" s="17">
        <f>IFERROR(__xludf.DUMMYFUNCTION("""COMPUTED_VALUE"""),4638.0)</f>
        <v>4638</v>
      </c>
      <c r="F129" s="17">
        <f>IFERROR(__xludf.DUMMYFUNCTION("""COMPUTED_VALUE"""),2027.0)</f>
        <v>2027</v>
      </c>
      <c r="G129" s="20">
        <f>IFERROR(__xludf.DUMMYFUNCTION("""COMPUTED_VALUE"""),46.0)</f>
        <v>46</v>
      </c>
      <c r="H129" s="20">
        <f>IFERROR(__xludf.DUMMYFUNCTION("""COMPUTED_VALUE"""),2850.0)</f>
        <v>2850</v>
      </c>
      <c r="I129" s="20">
        <f>IFERROR(__xludf.DUMMYFUNCTION("""COMPUTED_VALUE"""),2057.6666666666665)</f>
        <v>2057.666667</v>
      </c>
      <c r="J129" s="21">
        <f>IFERROR(__xludf.DUMMYFUNCTION("""COMPUTED_VALUE"""),2586.5)</f>
        <v>2586.5</v>
      </c>
      <c r="K129" s="22">
        <f>IFERROR(__xludf.DUMMYFUNCTION("""COMPUTED_VALUE"""),6.0762456415977315)</f>
        <v>6.076245642</v>
      </c>
      <c r="L129" s="22">
        <f>IFERROR(__xludf.DUMMYFUNCTION("""COMPUTED_VALUE"""),7.753433326093998)</f>
        <v>7.753433326</v>
      </c>
      <c r="M129" s="22">
        <f>IFERROR(__xludf.DUMMYFUNCTION("""COMPUTED_VALUE"""),290.7814780325135)</f>
        <v>290.781478</v>
      </c>
      <c r="N129" s="22">
        <f>IFERROR(__xludf.DUMMYFUNCTION("""COMPUTED_VALUE"""),321.23065307550104)</f>
        <v>321.2306531</v>
      </c>
      <c r="O129" s="22">
        <f t="shared" si="1"/>
        <v>1.677187684</v>
      </c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tr">
        <f>IFERROR(__xludf.DUMMYFUNCTION("""COMPUTED_VALUE"""),"Peru")</f>
        <v>Peru</v>
      </c>
      <c r="B130" s="18">
        <f>IFERROR(__xludf.DUMMYFUNCTION("""COMPUTED_VALUE"""),44214.0)</f>
        <v>44214</v>
      </c>
      <c r="C130" s="19">
        <f>IFERROR(__xludf.DUMMYFUNCTION("""COMPUTED_VALUE"""),44220.0)</f>
        <v>44220</v>
      </c>
      <c r="D130" s="17">
        <f>IFERROR(__xludf.DUMMYFUNCTION("""COMPUTED_VALUE"""),3.0)</f>
        <v>3</v>
      </c>
      <c r="E130" s="17">
        <f>IFERROR(__xludf.DUMMYFUNCTION("""COMPUTED_VALUE"""),5704.0)</f>
        <v>5704</v>
      </c>
      <c r="F130" s="17">
        <f>IFERROR(__xludf.DUMMYFUNCTION("""COMPUTED_VALUE"""),2907.0)</f>
        <v>2907</v>
      </c>
      <c r="G130" s="20">
        <f>IFERROR(__xludf.DUMMYFUNCTION("""COMPUTED_VALUE"""),47.0)</f>
        <v>47</v>
      </c>
      <c r="H130" s="20">
        <f>IFERROR(__xludf.DUMMYFUNCTION("""COMPUTED_VALUE"""),2755.0)</f>
        <v>2755</v>
      </c>
      <c r="I130" s="20">
        <f>IFERROR(__xludf.DUMMYFUNCTION("""COMPUTED_VALUE"""),2082.6666666666665)</f>
        <v>2082.666667</v>
      </c>
      <c r="J130" s="21">
        <f>IFERROR(__xludf.DUMMYFUNCTION("""COMPUTED_VALUE"""),3673.25)</f>
        <v>3673.25</v>
      </c>
      <c r="K130" s="22">
        <f>IFERROR(__xludf.DUMMYFUNCTION("""COMPUTED_VALUE"""),8.714181588615988)</f>
        <v>8.714181589</v>
      </c>
      <c r="L130" s="22">
        <f>IFERROR(__xludf.DUMMYFUNCTION("""COMPUTED_VALUE"""),11.01113433793728)</f>
        <v>11.01113434</v>
      </c>
      <c r="M130" s="22">
        <f>IFERROR(__xludf.DUMMYFUNCTION("""COMPUTED_VALUE"""),299.4956596211295)</f>
        <v>299.4956596</v>
      </c>
      <c r="N130" s="22">
        <f>IFERROR(__xludf.DUMMYFUNCTION("""COMPUTED_VALUE"""),332.2417874134383)</f>
        <v>332.2417874</v>
      </c>
      <c r="O130" s="22">
        <f t="shared" si="1"/>
        <v>2.296952749</v>
      </c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tr">
        <f>IFERROR(__xludf.DUMMYFUNCTION("""COMPUTED_VALUE"""),"Peru")</f>
        <v>Peru</v>
      </c>
      <c r="B131" s="18">
        <f>IFERROR(__xludf.DUMMYFUNCTION("""COMPUTED_VALUE"""),44221.0)</f>
        <v>44221</v>
      </c>
      <c r="C131" s="19">
        <f>IFERROR(__xludf.DUMMYFUNCTION("""COMPUTED_VALUE"""),44227.0)</f>
        <v>44227</v>
      </c>
      <c r="D131" s="17">
        <f>IFERROR(__xludf.DUMMYFUNCTION("""COMPUTED_VALUE"""),4.0)</f>
        <v>4</v>
      </c>
      <c r="E131" s="17">
        <f>IFERROR(__xludf.DUMMYFUNCTION("""COMPUTED_VALUE"""),6707.0)</f>
        <v>6707</v>
      </c>
      <c r="F131" s="17">
        <f>IFERROR(__xludf.DUMMYFUNCTION("""COMPUTED_VALUE"""),3900.0)</f>
        <v>3900</v>
      </c>
      <c r="G131" s="20">
        <f>IFERROR(__xludf.DUMMYFUNCTION("""COMPUTED_VALUE"""),48.0)</f>
        <v>48</v>
      </c>
      <c r="H131" s="20">
        <f>IFERROR(__xludf.DUMMYFUNCTION("""COMPUTED_VALUE"""),2635.0)</f>
        <v>2635</v>
      </c>
      <c r="I131" s="20">
        <f>IFERROR(__xludf.DUMMYFUNCTION("""COMPUTED_VALUE"""),2059.0)</f>
        <v>2059</v>
      </c>
      <c r="J131" s="21">
        <f>IFERROR(__xludf.DUMMYFUNCTION("""COMPUTED_VALUE"""),4657.75)</f>
        <v>4657.75</v>
      </c>
      <c r="K131" s="22">
        <f>IFERROR(__xludf.DUMMYFUNCTION("""COMPUTED_VALUE"""),11.690852492467268)</f>
        <v>11.69085249</v>
      </c>
      <c r="L131" s="22">
        <f>IFERROR(__xludf.DUMMYFUNCTION("""COMPUTED_VALUE"""),13.962325178663955)</f>
        <v>13.96232518</v>
      </c>
      <c r="M131" s="22">
        <f>IFERROR(__xludf.DUMMYFUNCTION("""COMPUTED_VALUE"""),311.1865121135968)</f>
        <v>311.1865121</v>
      </c>
      <c r="N131" s="22">
        <f>IFERROR(__xludf.DUMMYFUNCTION("""COMPUTED_VALUE"""),346.20411259210226)</f>
        <v>346.2041126</v>
      </c>
      <c r="O131" s="22">
        <f t="shared" si="1"/>
        <v>2.271472686</v>
      </c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tr">
        <f>IFERROR(__xludf.DUMMYFUNCTION("""COMPUTED_VALUE"""),"Peru")</f>
        <v>Peru</v>
      </c>
      <c r="B132" s="18">
        <f>IFERROR(__xludf.DUMMYFUNCTION("""COMPUTED_VALUE"""),44228.0)</f>
        <v>44228</v>
      </c>
      <c r="C132" s="19">
        <f>IFERROR(__xludf.DUMMYFUNCTION("""COMPUTED_VALUE"""),44234.0)</f>
        <v>44234</v>
      </c>
      <c r="D132" s="17">
        <f>IFERROR(__xludf.DUMMYFUNCTION("""COMPUTED_VALUE"""),5.0)</f>
        <v>5</v>
      </c>
      <c r="E132" s="17">
        <f>IFERROR(__xludf.DUMMYFUNCTION("""COMPUTED_VALUE"""),7021.0)</f>
        <v>7021</v>
      </c>
      <c r="F132" s="17">
        <f>IFERROR(__xludf.DUMMYFUNCTION("""COMPUTED_VALUE"""),4052.0)</f>
        <v>4052</v>
      </c>
      <c r="G132" s="20">
        <f>IFERROR(__xludf.DUMMYFUNCTION("""COMPUTED_VALUE"""),49.0)</f>
        <v>49</v>
      </c>
      <c r="H132" s="20">
        <f>IFERROR(__xludf.DUMMYFUNCTION("""COMPUTED_VALUE"""),2800.0)</f>
        <v>2800</v>
      </c>
      <c r="I132" s="20">
        <f>IFERROR(__xludf.DUMMYFUNCTION("""COMPUTED_VALUE"""),2088.6666666666665)</f>
        <v>2088.666667</v>
      </c>
      <c r="J132" s="21">
        <f>IFERROR(__xludf.DUMMYFUNCTION("""COMPUTED_VALUE"""),4928.75)</f>
        <v>4928.75</v>
      </c>
      <c r="K132" s="22">
        <f>IFERROR(__xludf.DUMMYFUNCTION("""COMPUTED_VALUE"""),12.146495974224967)</f>
        <v>12.14649597</v>
      </c>
      <c r="L132" s="22">
        <f>IFERROR(__xludf.DUMMYFUNCTION("""COMPUTED_VALUE"""),14.774689544166167)</f>
        <v>14.77468954</v>
      </c>
      <c r="M132" s="22">
        <f>IFERROR(__xludf.DUMMYFUNCTION("""COMPUTED_VALUE"""),323.3330080878218)</f>
        <v>323.3330081</v>
      </c>
      <c r="N132" s="22">
        <f>IFERROR(__xludf.DUMMYFUNCTION("""COMPUTED_VALUE"""),360.9788021362684)</f>
        <v>360.9788021</v>
      </c>
      <c r="O132" s="22">
        <f t="shared" si="1"/>
        <v>2.62819357</v>
      </c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tr">
        <f>IFERROR(__xludf.DUMMYFUNCTION("""COMPUTED_VALUE"""),"Peru")</f>
        <v>Peru</v>
      </c>
      <c r="B133" s="18">
        <f>IFERROR(__xludf.DUMMYFUNCTION("""COMPUTED_VALUE"""),44235.0)</f>
        <v>44235</v>
      </c>
      <c r="C133" s="19">
        <f>IFERROR(__xludf.DUMMYFUNCTION("""COMPUTED_VALUE"""),44241.0)</f>
        <v>44241</v>
      </c>
      <c r="D133" s="17">
        <f>IFERROR(__xludf.DUMMYFUNCTION("""COMPUTED_VALUE"""),6.0)</f>
        <v>6</v>
      </c>
      <c r="E133" s="17">
        <f>IFERROR(__xludf.DUMMYFUNCTION("""COMPUTED_VALUE"""),7687.0)</f>
        <v>7687</v>
      </c>
      <c r="F133" s="17">
        <f>IFERROR(__xludf.DUMMYFUNCTION("""COMPUTED_VALUE"""),4761.0)</f>
        <v>4761</v>
      </c>
      <c r="G133" s="20">
        <f>IFERROR(__xludf.DUMMYFUNCTION("""COMPUTED_VALUE"""),50.0)</f>
        <v>50</v>
      </c>
      <c r="H133" s="20">
        <f>IFERROR(__xludf.DUMMYFUNCTION("""COMPUTED_VALUE"""),2964.0)</f>
        <v>2964</v>
      </c>
      <c r="I133" s="20">
        <f>IFERROR(__xludf.DUMMYFUNCTION("""COMPUTED_VALUE"""),2114.6666666666665)</f>
        <v>2114.666667</v>
      </c>
      <c r="J133" s="21">
        <f>IFERROR(__xludf.DUMMYFUNCTION("""COMPUTED_VALUE"""),5628.75)</f>
        <v>5628.75</v>
      </c>
      <c r="K133" s="22">
        <f>IFERROR(__xludf.DUMMYFUNCTION("""COMPUTED_VALUE"""),14.271833004265812)</f>
        <v>14.271833</v>
      </c>
      <c r="L133" s="22">
        <f>IFERROR(__xludf.DUMMYFUNCTION("""COMPUTED_VALUE"""),16.87304768383978)</f>
        <v>16.87304768</v>
      </c>
      <c r="M133" s="22">
        <f>IFERROR(__xludf.DUMMYFUNCTION("""COMPUTED_VALUE"""),337.6048410920876)</f>
        <v>337.6048411</v>
      </c>
      <c r="N133" s="22">
        <f>IFERROR(__xludf.DUMMYFUNCTION("""COMPUTED_VALUE"""),377.8518498201082)</f>
        <v>377.8518498</v>
      </c>
      <c r="O133" s="22">
        <f t="shared" si="1"/>
        <v>2.60121468</v>
      </c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tr">
        <f>IFERROR(__xludf.DUMMYFUNCTION("""COMPUTED_VALUE"""),"Peru")</f>
        <v>Peru</v>
      </c>
      <c r="B134" s="18">
        <f>IFERROR(__xludf.DUMMYFUNCTION("""COMPUTED_VALUE"""),44242.0)</f>
        <v>44242</v>
      </c>
      <c r="C134" s="19">
        <f>IFERROR(__xludf.DUMMYFUNCTION("""COMPUTED_VALUE"""),44248.0)</f>
        <v>44248</v>
      </c>
      <c r="D134" s="17">
        <f>IFERROR(__xludf.DUMMYFUNCTION("""COMPUTED_VALUE"""),7.0)</f>
        <v>7</v>
      </c>
      <c r="E134" s="17">
        <f>IFERROR(__xludf.DUMMYFUNCTION("""COMPUTED_VALUE"""),7711.0)</f>
        <v>7711</v>
      </c>
      <c r="F134" s="17">
        <f>IFERROR(__xludf.DUMMYFUNCTION("""COMPUTED_VALUE"""),5122.0)</f>
        <v>5122</v>
      </c>
      <c r="G134" s="20">
        <f>IFERROR(__xludf.DUMMYFUNCTION("""COMPUTED_VALUE"""),51.0)</f>
        <v>51</v>
      </c>
      <c r="H134" s="20">
        <f>IFERROR(__xludf.DUMMYFUNCTION("""COMPUTED_VALUE"""),3151.0)</f>
        <v>3151</v>
      </c>
      <c r="I134" s="20">
        <f>IFERROR(__xludf.DUMMYFUNCTION("""COMPUTED_VALUE"""),2100.6666666666665)</f>
        <v>2100.666667</v>
      </c>
      <c r="J134" s="21">
        <f>IFERROR(__xludf.DUMMYFUNCTION("""COMPUTED_VALUE"""),5625.0)</f>
        <v>5625</v>
      </c>
      <c r="K134" s="22">
        <f>IFERROR(__xludf.DUMMYFUNCTION("""COMPUTED_VALUE"""),15.353986273440345)</f>
        <v>15.35398627</v>
      </c>
      <c r="L134" s="22">
        <f>IFERROR(__xludf.DUMMYFUNCTION("""COMPUTED_VALUE"""),16.861806479520098)</f>
        <v>16.86180648</v>
      </c>
      <c r="M134" s="22">
        <f>IFERROR(__xludf.DUMMYFUNCTION("""COMPUTED_VALUE"""),352.95882736552795)</f>
        <v>352.9588274</v>
      </c>
      <c r="N134" s="22">
        <f>IFERROR(__xludf.DUMMYFUNCTION("""COMPUTED_VALUE"""),394.7136562996283)</f>
        <v>394.7136563</v>
      </c>
      <c r="O134" s="22">
        <f t="shared" si="1"/>
        <v>1.507820206</v>
      </c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tr">
        <f>IFERROR(__xludf.DUMMYFUNCTION("""COMPUTED_VALUE"""),"Peru")</f>
        <v>Peru</v>
      </c>
      <c r="B135" s="18">
        <f>IFERROR(__xludf.DUMMYFUNCTION("""COMPUTED_VALUE"""),44249.0)</f>
        <v>44249</v>
      </c>
      <c r="C135" s="19">
        <f>IFERROR(__xludf.DUMMYFUNCTION("""COMPUTED_VALUE"""),44255.0)</f>
        <v>44255</v>
      </c>
      <c r="D135" s="17">
        <f>IFERROR(__xludf.DUMMYFUNCTION("""COMPUTED_VALUE"""),8.0)</f>
        <v>8</v>
      </c>
      <c r="E135" s="17">
        <f>IFERROR(__xludf.DUMMYFUNCTION("""COMPUTED_VALUE"""),7393.0)</f>
        <v>7393</v>
      </c>
      <c r="F135" s="17">
        <f>IFERROR(__xludf.DUMMYFUNCTION("""COMPUTED_VALUE"""),4757.0)</f>
        <v>4757</v>
      </c>
      <c r="G135" s="20">
        <f>IFERROR(__xludf.DUMMYFUNCTION("""COMPUTED_VALUE"""),52.0)</f>
        <v>52</v>
      </c>
      <c r="H135" s="20">
        <f>IFERROR(__xludf.DUMMYFUNCTION("""COMPUTED_VALUE"""),3253.0)</f>
        <v>3253</v>
      </c>
      <c r="I135" s="20">
        <f>IFERROR(__xludf.DUMMYFUNCTION("""COMPUTED_VALUE"""),2159.0)</f>
        <v>2159</v>
      </c>
      <c r="J135" s="21">
        <f>IFERROR(__xludf.DUMMYFUNCTION("""COMPUTED_VALUE"""),5257.0)</f>
        <v>5257</v>
      </c>
      <c r="K135" s="22">
        <f>IFERROR(__xludf.DUMMYFUNCTION("""COMPUTED_VALUE"""),14.25984238632482)</f>
        <v>14.25984239</v>
      </c>
      <c r="L135" s="22">
        <f>IFERROR(__xludf.DUMMYFUNCTION("""COMPUTED_VALUE"""),15.758669628948828)</f>
        <v>15.75866963</v>
      </c>
      <c r="M135" s="22">
        <f>IFERROR(__xludf.DUMMYFUNCTION("""COMPUTED_VALUE"""),367.21866975185276)</f>
        <v>367.2186698</v>
      </c>
      <c r="N135" s="22">
        <f>IFERROR(__xludf.DUMMYFUNCTION("""COMPUTED_VALUE"""),410.47232592857716)</f>
        <v>410.4723259</v>
      </c>
      <c r="O135" s="22">
        <f t="shared" si="1"/>
        <v>1.498827243</v>
      </c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tr">
        <f>IFERROR(__xludf.DUMMYFUNCTION("""COMPUTED_VALUE"""),"Peru")</f>
        <v>Peru</v>
      </c>
      <c r="B136" s="18">
        <f>IFERROR(__xludf.DUMMYFUNCTION("""COMPUTED_VALUE"""),44256.0)</f>
        <v>44256</v>
      </c>
      <c r="C136" s="19">
        <f>IFERROR(__xludf.DUMMYFUNCTION("""COMPUTED_VALUE"""),44262.0)</f>
        <v>44262</v>
      </c>
      <c r="D136" s="17">
        <f>IFERROR(__xludf.DUMMYFUNCTION("""COMPUTED_VALUE"""),9.0)</f>
        <v>9</v>
      </c>
      <c r="E136" s="17">
        <f>IFERROR(__xludf.DUMMYFUNCTION("""COMPUTED_VALUE"""),7500.0)</f>
        <v>7500</v>
      </c>
      <c r="F136" s="17">
        <f>IFERROR(__xludf.DUMMYFUNCTION("""COMPUTED_VALUE"""),4737.0)</f>
        <v>4737</v>
      </c>
      <c r="G136" s="20">
        <f>IFERROR(__xludf.DUMMYFUNCTION("""COMPUTED_VALUE"""),53.0)</f>
        <v>53</v>
      </c>
      <c r="H136" s="20">
        <f>IFERROR(__xludf.DUMMYFUNCTION("""COMPUTED_VALUE"""),3502.0)</f>
        <v>3502</v>
      </c>
      <c r="I136" s="20">
        <f>IFERROR(__xludf.DUMMYFUNCTION("""COMPUTED_VALUE"""),0.0)</f>
        <v>0</v>
      </c>
      <c r="J136" s="21">
        <f>IFERROR(__xludf.DUMMYFUNCTION("""COMPUTED_VALUE"""),5303.0)</f>
        <v>5303</v>
      </c>
      <c r="K136" s="22">
        <f>IFERROR(__xludf.DUMMYFUNCTION("""COMPUTED_VALUE"""),14.19988929661986)</f>
        <v>14.1998893</v>
      </c>
      <c r="L136" s="22">
        <f>IFERROR(__xludf.DUMMYFUNCTION("""COMPUTED_VALUE"""),15.896561735270238)</f>
        <v>15.89656174</v>
      </c>
      <c r="M136" s="22">
        <f>IFERROR(__xludf.DUMMYFUNCTION("""COMPUTED_VALUE"""),381.4185590484726)</f>
        <v>381.418559</v>
      </c>
      <c r="N136" s="22">
        <f>IFERROR(__xludf.DUMMYFUNCTION("""COMPUTED_VALUE"""),426.3688876638474)</f>
        <v>426.3688877</v>
      </c>
      <c r="O136" s="22">
        <f t="shared" si="1"/>
        <v>1.696672439</v>
      </c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tr">
        <f>IFERROR(__xludf.DUMMYFUNCTION("""COMPUTED_VALUE"""),"Peru")</f>
        <v>Peru</v>
      </c>
      <c r="B137" s="18">
        <f>IFERROR(__xludf.DUMMYFUNCTION("""COMPUTED_VALUE"""),44263.0)</f>
        <v>44263</v>
      </c>
      <c r="C137" s="19">
        <f>IFERROR(__xludf.DUMMYFUNCTION("""COMPUTED_VALUE"""),44269.0)</f>
        <v>44269</v>
      </c>
      <c r="D137" s="17">
        <f>IFERROR(__xludf.DUMMYFUNCTION("""COMPUTED_VALUE"""),10.0)</f>
        <v>10</v>
      </c>
      <c r="E137" s="17">
        <f>IFERROR(__xludf.DUMMYFUNCTION("""COMPUTED_VALUE"""),7379.0)</f>
        <v>7379</v>
      </c>
      <c r="F137" s="17">
        <f>IFERROR(__xludf.DUMMYFUNCTION("""COMPUTED_VALUE"""),4296.0)</f>
        <v>4296</v>
      </c>
      <c r="G137" s="20"/>
      <c r="H137" s="20"/>
      <c r="I137" s="20"/>
      <c r="J137" s="21">
        <f>IFERROR(__xludf.DUMMYFUNCTION("""COMPUTED_VALUE"""),5370.666666666667)</f>
        <v>5370.666667</v>
      </c>
      <c r="K137" s="22">
        <f>IFERROR(__xludf.DUMMYFUNCTION("""COMPUTED_VALUE"""),12.877923668625483)</f>
        <v>12.87792367</v>
      </c>
      <c r="L137" s="22">
        <f>IFERROR(__xludf.DUMMYFUNCTION("""COMPUTED_VALUE"""),16.099403022105356)</f>
        <v>16.09940302</v>
      </c>
      <c r="M137" s="22">
        <f>IFERROR(__xludf.DUMMYFUNCTION("""COMPUTED_VALUE"""),394.2964827170981)</f>
        <v>394.2964827</v>
      </c>
      <c r="N137" s="22">
        <f>IFERROR(__xludf.DUMMYFUNCTION("""COMPUTED_VALUE"""),442.46829068595275)</f>
        <v>442.4682907</v>
      </c>
      <c r="O137" s="22">
        <f t="shared" si="1"/>
        <v>3.221479353</v>
      </c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tr">
        <f>IFERROR(__xludf.DUMMYFUNCTION("""COMPUTED_VALUE"""),"Peru")</f>
        <v>Peru</v>
      </c>
      <c r="B138" s="18">
        <f>IFERROR(__xludf.DUMMYFUNCTION("""COMPUTED_VALUE"""),44270.0)</f>
        <v>44270</v>
      </c>
      <c r="C138" s="19">
        <f>IFERROR(__xludf.DUMMYFUNCTION("""COMPUTED_VALUE"""),44276.0)</f>
        <v>44276</v>
      </c>
      <c r="D138" s="17">
        <f>IFERROR(__xludf.DUMMYFUNCTION("""COMPUTED_VALUE"""),11.0)</f>
        <v>11</v>
      </c>
      <c r="E138" s="17">
        <f>IFERROR(__xludf.DUMMYFUNCTION("""COMPUTED_VALUE"""),7427.0)</f>
        <v>7427</v>
      </c>
      <c r="F138" s="17">
        <f>IFERROR(__xludf.DUMMYFUNCTION("""COMPUTED_VALUE"""),4741.0)</f>
        <v>4741</v>
      </c>
      <c r="G138" s="20"/>
      <c r="H138" s="20"/>
      <c r="I138" s="20"/>
      <c r="J138" s="21">
        <f>IFERROR(__xludf.DUMMYFUNCTION("""COMPUTED_VALUE"""),5375.333333333334)</f>
        <v>5375.333333</v>
      </c>
      <c r="K138" s="22">
        <f>IFERROR(__xludf.DUMMYFUNCTION("""COMPUTED_VALUE"""),14.211879914560852)</f>
        <v>14.21187991</v>
      </c>
      <c r="L138" s="22">
        <f>IFERROR(__xludf.DUMMYFUNCTION("""COMPUTED_VALUE"""),16.113392076369845)</f>
        <v>16.11339208</v>
      </c>
      <c r="M138" s="22">
        <f>IFERROR(__xludf.DUMMYFUNCTION("""COMPUTED_VALUE"""),408.50836263165894)</f>
        <v>408.5083626</v>
      </c>
      <c r="N138" s="22">
        <f>IFERROR(__xludf.DUMMYFUNCTION("""COMPUTED_VALUE"""),458.5816827623226)</f>
        <v>458.5816828</v>
      </c>
      <c r="O138" s="22">
        <f t="shared" si="1"/>
        <v>1.901512162</v>
      </c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tr">
        <f>IFERROR(__xludf.DUMMYFUNCTION("""COMPUTED_VALUE"""),"Peru")</f>
        <v>Peru</v>
      </c>
      <c r="B139" s="18">
        <f>IFERROR(__xludf.DUMMYFUNCTION("""COMPUTED_VALUE"""),44277.0)</f>
        <v>44277</v>
      </c>
      <c r="C139" s="19">
        <f>IFERROR(__xludf.DUMMYFUNCTION("""COMPUTED_VALUE"""),44283.0)</f>
        <v>44283</v>
      </c>
      <c r="D139" s="17">
        <f>IFERROR(__xludf.DUMMYFUNCTION("""COMPUTED_VALUE"""),12.0)</f>
        <v>12</v>
      </c>
      <c r="E139" s="17">
        <f>IFERROR(__xludf.DUMMYFUNCTION("""COMPUTED_VALUE"""),7570.0)</f>
        <v>7570</v>
      </c>
      <c r="F139" s="17">
        <f>IFERROR(__xludf.DUMMYFUNCTION("""COMPUTED_VALUE"""),4994.0)</f>
        <v>4994</v>
      </c>
      <c r="G139" s="20"/>
      <c r="H139" s="20"/>
      <c r="I139" s="20"/>
      <c r="J139" s="21">
        <f>IFERROR(__xludf.DUMMYFUNCTION("""COMPUTED_VALUE"""),5574.0)</f>
        <v>5574</v>
      </c>
      <c r="K139" s="22">
        <f>IFERROR(__xludf.DUMMYFUNCTION("""COMPUTED_VALUE"""),14.9702864993286)</f>
        <v>14.9702865</v>
      </c>
      <c r="L139" s="22">
        <f>IFERROR(__xludf.DUMMYFUNCTION("""COMPUTED_VALUE"""),16.70892610077245)</f>
        <v>16.7089261</v>
      </c>
      <c r="M139" s="22">
        <f>IFERROR(__xludf.DUMMYFUNCTION("""COMPUTED_VALUE"""),423.47864913098755)</f>
        <v>423.4786491</v>
      </c>
      <c r="N139" s="22">
        <f>IFERROR(__xludf.DUMMYFUNCTION("""COMPUTED_VALUE"""),475.29060886309503)</f>
        <v>475.2906089</v>
      </c>
      <c r="O139" s="22">
        <f t="shared" si="1"/>
        <v>1.738639601</v>
      </c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tr">
        <f>IFERROR(__xludf.DUMMYFUNCTION("""COMPUTED_VALUE"""),"Peru")</f>
        <v>Peru</v>
      </c>
      <c r="B140" s="18">
        <f>IFERROR(__xludf.DUMMYFUNCTION("""COMPUTED_VALUE"""),44284.0)</f>
        <v>44284</v>
      </c>
      <c r="C140" s="19">
        <f>IFERROR(__xludf.DUMMYFUNCTION("""COMPUTED_VALUE"""),44290.0)</f>
        <v>44290</v>
      </c>
      <c r="D140" s="17">
        <f>IFERROR(__xludf.DUMMYFUNCTION("""COMPUTED_VALUE"""),13.0)</f>
        <v>13</v>
      </c>
      <c r="E140" s="17">
        <f>IFERROR(__xludf.DUMMYFUNCTION("""COMPUTED_VALUE"""),7900.0)</f>
        <v>7900</v>
      </c>
      <c r="F140" s="17">
        <f>IFERROR(__xludf.DUMMYFUNCTION("""COMPUTED_VALUE"""),5157.0)</f>
        <v>5157</v>
      </c>
      <c r="G140" s="20"/>
      <c r="H140" s="20"/>
      <c r="I140" s="20"/>
      <c r="J140" s="21">
        <f>IFERROR(__xludf.DUMMYFUNCTION("""COMPUTED_VALUE"""),5940.0)</f>
        <v>5940</v>
      </c>
      <c r="K140" s="22">
        <f>IFERROR(__xludf.DUMMYFUNCTION("""COMPUTED_VALUE"""),15.458904180424028)</f>
        <v>15.45890418</v>
      </c>
      <c r="L140" s="22">
        <f>IFERROR(__xludf.DUMMYFUNCTION("""COMPUTED_VALUE"""),17.806067642373225)</f>
        <v>17.80606764</v>
      </c>
      <c r="M140" s="22">
        <f>IFERROR(__xludf.DUMMYFUNCTION("""COMPUTED_VALUE"""),438.9375533114116)</f>
        <v>438.9375533</v>
      </c>
      <c r="N140" s="22">
        <f>IFERROR(__xludf.DUMMYFUNCTION("""COMPUTED_VALUE"""),493.0966765054683)</f>
        <v>493.0966765</v>
      </c>
      <c r="O140" s="22">
        <f t="shared" si="1"/>
        <v>2.347163462</v>
      </c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tr">
        <f>IFERROR(__xludf.DUMMYFUNCTION("""COMPUTED_VALUE"""),"Peru")</f>
        <v>Peru</v>
      </c>
      <c r="B141" s="18">
        <f>IFERROR(__xludf.DUMMYFUNCTION("""COMPUTED_VALUE"""),44291.0)</f>
        <v>44291</v>
      </c>
      <c r="C141" s="19">
        <f>IFERROR(__xludf.DUMMYFUNCTION("""COMPUTED_VALUE"""),44297.0)</f>
        <v>44297</v>
      </c>
      <c r="D141" s="17">
        <f>IFERROR(__xludf.DUMMYFUNCTION("""COMPUTED_VALUE"""),14.0)</f>
        <v>14</v>
      </c>
      <c r="E141" s="17">
        <f>IFERROR(__xludf.DUMMYFUNCTION("""COMPUTED_VALUE"""),8468.0)</f>
        <v>8468</v>
      </c>
      <c r="F141" s="17">
        <f>IFERROR(__xludf.DUMMYFUNCTION("""COMPUTED_VALUE"""),5460.0)</f>
        <v>5460</v>
      </c>
      <c r="G141" s="20"/>
      <c r="H141" s="20"/>
      <c r="I141" s="20"/>
      <c r="J141" s="21">
        <f>IFERROR(__xludf.DUMMYFUNCTION("""COMPUTED_VALUE"""),6500.0)</f>
        <v>6500</v>
      </c>
      <c r="K141" s="22">
        <f>IFERROR(__xludf.DUMMYFUNCTION("""COMPUTED_VALUE"""),16.367193489454177)</f>
        <v>16.36719349</v>
      </c>
      <c r="L141" s="22">
        <f>IFERROR(__xludf.DUMMYFUNCTION("""COMPUTED_VALUE"""),19.484754154112114)</f>
        <v>19.48475415</v>
      </c>
      <c r="M141" s="22">
        <f>IFERROR(__xludf.DUMMYFUNCTION("""COMPUTED_VALUE"""),455.30474680086576)</f>
        <v>455.3047468</v>
      </c>
      <c r="N141" s="22">
        <f>IFERROR(__xludf.DUMMYFUNCTION("""COMPUTED_VALUE"""),512.5814306595804)</f>
        <v>512.5814307</v>
      </c>
      <c r="O141" s="22">
        <f t="shared" si="1"/>
        <v>3.117560665</v>
      </c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tr">
        <f>IFERROR(__xludf.DUMMYFUNCTION("""COMPUTED_VALUE"""),"Peru")</f>
        <v>Peru</v>
      </c>
      <c r="B142" s="18">
        <f>IFERROR(__xludf.DUMMYFUNCTION("""COMPUTED_VALUE"""),44298.0)</f>
        <v>44298</v>
      </c>
      <c r="C142" s="19">
        <f>IFERROR(__xludf.DUMMYFUNCTION("""COMPUTED_VALUE"""),44304.0)</f>
        <v>44304</v>
      </c>
      <c r="D142" s="17">
        <f>IFERROR(__xludf.DUMMYFUNCTION("""COMPUTED_VALUE"""),15.0)</f>
        <v>15</v>
      </c>
      <c r="E142" s="17">
        <f>IFERROR(__xludf.DUMMYFUNCTION("""COMPUTED_VALUE"""),8426.0)</f>
        <v>8426</v>
      </c>
      <c r="F142" s="17">
        <f>IFERROR(__xludf.DUMMYFUNCTION("""COMPUTED_VALUE"""),5356.0)</f>
        <v>5356</v>
      </c>
      <c r="G142" s="20"/>
      <c r="H142" s="20"/>
      <c r="I142" s="20"/>
      <c r="J142" s="21">
        <f>IFERROR(__xludf.DUMMYFUNCTION("""COMPUTED_VALUE"""),6529.666666666667)</f>
        <v>6529.666667</v>
      </c>
      <c r="K142" s="22">
        <f>IFERROR(__xludf.DUMMYFUNCTION("""COMPUTED_VALUE"""),16.055437422988383)</f>
        <v>16.05543742</v>
      </c>
      <c r="L142" s="22">
        <f>IFERROR(__xludf.DUMMYFUNCTION("""COMPUTED_VALUE"""),19.573684570507808)</f>
        <v>19.57368457</v>
      </c>
      <c r="M142" s="22">
        <f>IFERROR(__xludf.DUMMYFUNCTION("""COMPUTED_VALUE"""),471.36018422385416)</f>
        <v>471.3601842</v>
      </c>
      <c r="N142" s="22">
        <f>IFERROR(__xludf.DUMMYFUNCTION("""COMPUTED_VALUE"""),532.1551152300882)</f>
        <v>532.1551152</v>
      </c>
      <c r="O142" s="22">
        <f t="shared" si="1"/>
        <v>3.518247148</v>
      </c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tr">
        <f>IFERROR(__xludf.DUMMYFUNCTION("""COMPUTED_VALUE"""),"Peru")</f>
        <v>Peru</v>
      </c>
      <c r="B143" s="18">
        <f>IFERROR(__xludf.DUMMYFUNCTION("""COMPUTED_VALUE"""),44305.0)</f>
        <v>44305</v>
      </c>
      <c r="C143" s="19">
        <f>IFERROR(__xludf.DUMMYFUNCTION("""COMPUTED_VALUE"""),44311.0)</f>
        <v>44311</v>
      </c>
      <c r="D143" s="17">
        <f>IFERROR(__xludf.DUMMYFUNCTION("""COMPUTED_VALUE"""),16.0)</f>
        <v>16</v>
      </c>
      <c r="E143" s="17">
        <f>IFERROR(__xludf.DUMMYFUNCTION("""COMPUTED_VALUE"""),8246.0)</f>
        <v>8246</v>
      </c>
      <c r="F143" s="17">
        <f>IFERROR(__xludf.DUMMYFUNCTION("""COMPUTED_VALUE"""),5963.0)</f>
        <v>5963</v>
      </c>
      <c r="G143" s="20"/>
      <c r="H143" s="20"/>
      <c r="I143" s="20"/>
      <c r="J143" s="21">
        <f>IFERROR(__xludf.DUMMYFUNCTION("""COMPUTED_VALUE"""),6270.0)</f>
        <v>6270</v>
      </c>
      <c r="K143" s="22">
        <f>IFERROR(__xludf.DUMMYFUNCTION("""COMPUTED_VALUE"""),17.87501369553393)</f>
        <v>17.8750137</v>
      </c>
      <c r="L143" s="22">
        <f>IFERROR(__xludf.DUMMYFUNCTION("""COMPUTED_VALUE"""),18.79529362250507)</f>
        <v>18.79529362</v>
      </c>
      <c r="M143" s="22">
        <f>IFERROR(__xludf.DUMMYFUNCTION("""COMPUTED_VALUE"""),489.2351979193881)</f>
        <v>489.2351979</v>
      </c>
      <c r="N143" s="22">
        <f>IFERROR(__xludf.DUMMYFUNCTION("""COMPUTED_VALUE"""),550.9504088525932)</f>
        <v>550.9504089</v>
      </c>
      <c r="O143" s="22">
        <f t="shared" si="1"/>
        <v>0.920279927</v>
      </c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tr">
        <f>IFERROR(__xludf.DUMMYFUNCTION("""COMPUTED_VALUE"""),"Peru")</f>
        <v>Peru</v>
      </c>
      <c r="B144" s="18">
        <f>IFERROR(__xludf.DUMMYFUNCTION("""COMPUTED_VALUE"""),44312.0)</f>
        <v>44312</v>
      </c>
      <c r="C144" s="19">
        <f>IFERROR(__xludf.DUMMYFUNCTION("""COMPUTED_VALUE"""),44318.0)</f>
        <v>44318</v>
      </c>
      <c r="D144" s="17">
        <f>IFERROR(__xludf.DUMMYFUNCTION("""COMPUTED_VALUE"""),17.0)</f>
        <v>17</v>
      </c>
      <c r="E144" s="17">
        <f>IFERROR(__xludf.DUMMYFUNCTION("""COMPUTED_VALUE"""),7695.0)</f>
        <v>7695</v>
      </c>
      <c r="F144" s="17">
        <f>IFERROR(__xludf.DUMMYFUNCTION("""COMPUTED_VALUE"""),4914.0)</f>
        <v>4914</v>
      </c>
      <c r="G144" s="20"/>
      <c r="H144" s="20"/>
      <c r="I144" s="20"/>
      <c r="J144" s="21">
        <f>IFERROR(__xludf.DUMMYFUNCTION("""COMPUTED_VALUE"""),5795.333333333333)</f>
        <v>5795.333333</v>
      </c>
      <c r="K144" s="22">
        <f>IFERROR(__xludf.DUMMYFUNCTION("""COMPUTED_VALUE"""),14.73047414050876)</f>
        <v>14.73047414</v>
      </c>
      <c r="L144" s="22">
        <f>IFERROR(__xludf.DUMMYFUNCTION("""COMPUTED_VALUE"""),17.37240696017401)</f>
        <v>17.37240696</v>
      </c>
      <c r="M144" s="22">
        <f>IFERROR(__xludf.DUMMYFUNCTION("""COMPUTED_VALUE"""),503.96567205989686)</f>
        <v>503.9656721</v>
      </c>
      <c r="N144" s="22">
        <f>IFERROR(__xludf.DUMMYFUNCTION("""COMPUTED_VALUE"""),568.3228158127672)</f>
        <v>568.3228158</v>
      </c>
      <c r="O144" s="22">
        <f t="shared" si="1"/>
        <v>2.64193282</v>
      </c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tr">
        <f>IFERROR(__xludf.DUMMYFUNCTION("""COMPUTED_VALUE"""),"Peru")</f>
        <v>Peru</v>
      </c>
      <c r="B145" s="18">
        <f>IFERROR(__xludf.DUMMYFUNCTION("""COMPUTED_VALUE"""),44319.0)</f>
        <v>44319</v>
      </c>
      <c r="C145" s="19">
        <f>IFERROR(__xludf.DUMMYFUNCTION("""COMPUTED_VALUE"""),44325.0)</f>
        <v>44325</v>
      </c>
      <c r="D145" s="17">
        <f>IFERROR(__xludf.DUMMYFUNCTION("""COMPUTED_VALUE"""),18.0)</f>
        <v>18</v>
      </c>
      <c r="E145" s="17">
        <f>IFERROR(__xludf.DUMMYFUNCTION("""COMPUTED_VALUE"""),7171.0)</f>
        <v>7171</v>
      </c>
      <c r="F145" s="17">
        <f>IFERROR(__xludf.DUMMYFUNCTION("""COMPUTED_VALUE"""),4983.0)</f>
        <v>4983</v>
      </c>
      <c r="G145" s="20"/>
      <c r="H145" s="20"/>
      <c r="I145" s="20"/>
      <c r="J145" s="21">
        <f>IFERROR(__xludf.DUMMYFUNCTION("""COMPUTED_VALUE"""),5187.333333333333)</f>
        <v>5187.333333</v>
      </c>
      <c r="K145" s="22">
        <f>IFERROR(__xludf.DUMMYFUNCTION("""COMPUTED_VALUE"""),14.937312299990872)</f>
        <v>14.9373123</v>
      </c>
      <c r="L145" s="22">
        <f>IFERROR(__xludf.DUMMYFUNCTION("""COMPUTED_VALUE"""),15.549833033143216)</f>
        <v>15.54983303</v>
      </c>
      <c r="M145" s="22">
        <f>IFERROR(__xludf.DUMMYFUNCTION("""COMPUTED_VALUE"""),518.9029843598877)</f>
        <v>518.9029844</v>
      </c>
      <c r="N145" s="22">
        <f>IFERROR(__xludf.DUMMYFUNCTION("""COMPUTED_VALUE"""),583.8726488459104)</f>
        <v>583.8726488</v>
      </c>
      <c r="O145" s="22">
        <f t="shared" si="1"/>
        <v>0.6125207332</v>
      </c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tr">
        <f>IFERROR(__xludf.DUMMYFUNCTION("""COMPUTED_VALUE"""),"Peru")</f>
        <v>Peru</v>
      </c>
      <c r="B146" s="18">
        <f>IFERROR(__xludf.DUMMYFUNCTION("""COMPUTED_VALUE"""),44326.0)</f>
        <v>44326</v>
      </c>
      <c r="C146" s="19">
        <f>IFERROR(__xludf.DUMMYFUNCTION("""COMPUTED_VALUE"""),44332.0)</f>
        <v>44332</v>
      </c>
      <c r="D146" s="17">
        <f>IFERROR(__xludf.DUMMYFUNCTION("""COMPUTED_VALUE"""),19.0)</f>
        <v>19</v>
      </c>
      <c r="E146" s="17">
        <f>IFERROR(__xludf.DUMMYFUNCTION("""COMPUTED_VALUE"""),6533.0)</f>
        <v>6533</v>
      </c>
      <c r="F146" s="17">
        <f>IFERROR(__xludf.DUMMYFUNCTION("""COMPUTED_VALUE"""),4093.0)</f>
        <v>4093</v>
      </c>
      <c r="G146" s="20"/>
      <c r="H146" s="20"/>
      <c r="I146" s="20"/>
      <c r="J146" s="21">
        <f>IFERROR(__xludf.DUMMYFUNCTION("""COMPUTED_VALUE"""),4622.0)</f>
        <v>4622</v>
      </c>
      <c r="K146" s="22">
        <f>IFERROR(__xludf.DUMMYFUNCTION("""COMPUTED_VALUE"""),12.269399808120138)</f>
        <v>12.26939981</v>
      </c>
      <c r="L146" s="22">
        <f>IFERROR(__xludf.DUMMYFUNCTION("""COMPUTED_VALUE"""),13.855159030816338)</f>
        <v>13.85515903</v>
      </c>
      <c r="M146" s="22">
        <f>IFERROR(__xludf.DUMMYFUNCTION("""COMPUTED_VALUE"""),531.1723841680079)</f>
        <v>531.1723842</v>
      </c>
      <c r="N146" s="22">
        <f>IFERROR(__xludf.DUMMYFUNCTION("""COMPUTED_VALUE"""),597.7278078767267)</f>
        <v>597.7278079</v>
      </c>
      <c r="O146" s="22">
        <f t="shared" si="1"/>
        <v>1.585759223</v>
      </c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tr">
        <f>IFERROR(__xludf.DUMMYFUNCTION("""COMPUTED_VALUE"""),"Peru")</f>
        <v>Peru</v>
      </c>
      <c r="B147" s="18">
        <f>IFERROR(__xludf.DUMMYFUNCTION("""COMPUTED_VALUE"""),44333.0)</f>
        <v>44333</v>
      </c>
      <c r="C147" s="19">
        <f>IFERROR(__xludf.DUMMYFUNCTION("""COMPUTED_VALUE"""),44339.0)</f>
        <v>44339</v>
      </c>
      <c r="D147" s="17">
        <f>IFERROR(__xludf.DUMMYFUNCTION("""COMPUTED_VALUE"""),20.0)</f>
        <v>20</v>
      </c>
      <c r="E147" s="17">
        <f>IFERROR(__xludf.DUMMYFUNCTION("""COMPUTED_VALUE"""),6053.0)</f>
        <v>6053</v>
      </c>
      <c r="F147" s="17">
        <f>IFERROR(__xludf.DUMMYFUNCTION("""COMPUTED_VALUE"""),3409.0)</f>
        <v>3409</v>
      </c>
      <c r="G147" s="20"/>
      <c r="H147" s="20"/>
      <c r="I147" s="20"/>
      <c r="J147" s="21">
        <f>IFERROR(__xludf.DUMMYFUNCTION("""COMPUTED_VALUE"""),4069.0)</f>
        <v>4069</v>
      </c>
      <c r="K147" s="22">
        <f>IFERROR(__xludf.DUMMYFUNCTION("""COMPUTED_VALUE"""),10.219004140210492)</f>
        <v>10.21900414</v>
      </c>
      <c r="L147" s="22">
        <f>IFERROR(__xludf.DUMMYFUNCTION("""COMPUTED_VALUE"""),12.197456100474184)</f>
        <v>12.1974561</v>
      </c>
      <c r="M147" s="22">
        <f>IFERROR(__xludf.DUMMYFUNCTION("""COMPUTED_VALUE"""),541.3913883082183)</f>
        <v>541.3913883</v>
      </c>
      <c r="N147" s="22">
        <f>IFERROR(__xludf.DUMMYFUNCTION("""COMPUTED_VALUE"""),609.9252639772009)</f>
        <v>609.925264</v>
      </c>
      <c r="O147" s="22">
        <f t="shared" si="1"/>
        <v>1.97845196</v>
      </c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tr">
        <f>IFERROR(__xludf.DUMMYFUNCTION("""COMPUTED_VALUE"""),"Peru")</f>
        <v>Peru</v>
      </c>
      <c r="B148" s="18">
        <f>IFERROR(__xludf.DUMMYFUNCTION("""COMPUTED_VALUE"""),44340.0)</f>
        <v>44340</v>
      </c>
      <c r="C148" s="19">
        <f>IFERROR(__xludf.DUMMYFUNCTION("""COMPUTED_VALUE"""),44346.0)</f>
        <v>44346</v>
      </c>
      <c r="D148" s="17">
        <f>IFERROR(__xludf.DUMMYFUNCTION("""COMPUTED_VALUE"""),21.0)</f>
        <v>21</v>
      </c>
      <c r="E148" s="17">
        <f>IFERROR(__xludf.DUMMYFUNCTION("""COMPUTED_VALUE"""),5629.0)</f>
        <v>5629</v>
      </c>
      <c r="F148" s="17">
        <f>IFERROR(__xludf.DUMMYFUNCTION("""COMPUTED_VALUE"""),2786.0)</f>
        <v>2786</v>
      </c>
      <c r="G148" s="20"/>
      <c r="H148" s="20"/>
      <c r="I148" s="20"/>
      <c r="J148" s="21">
        <f>IFERROR(__xludf.DUMMYFUNCTION("""COMPUTED_VALUE"""),3595.0)</f>
        <v>3595</v>
      </c>
      <c r="K148" s="22">
        <f>IFERROR(__xludf.DUMMYFUNCTION("""COMPUTED_VALUE"""),8.351465395900977)</f>
        <v>8.351465396</v>
      </c>
      <c r="L148" s="22">
        <f>IFERROR(__xludf.DUMMYFUNCTION("""COMPUTED_VALUE"""),10.776567874466624)</f>
        <v>10.77656787</v>
      </c>
      <c r="M148" s="22">
        <f>IFERROR(__xludf.DUMMYFUNCTION("""COMPUTED_VALUE"""),549.7428537041193)</f>
        <v>549.7428537</v>
      </c>
      <c r="N148" s="22">
        <f>IFERROR(__xludf.DUMMYFUNCTION("""COMPUTED_VALUE"""),620.7018318516675)</f>
        <v>620.7018319</v>
      </c>
      <c r="O148" s="22">
        <f t="shared" si="1"/>
        <v>2.425102479</v>
      </c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tr">
        <f>IFERROR(__xludf.DUMMYFUNCTION("""COMPUTED_VALUE"""),"Peru")</f>
        <v>Peru</v>
      </c>
      <c r="B149" s="18">
        <f>IFERROR(__xludf.DUMMYFUNCTION("""COMPUTED_VALUE"""),44347.0)</f>
        <v>44347</v>
      </c>
      <c r="C149" s="19">
        <f>IFERROR(__xludf.DUMMYFUNCTION("""COMPUTED_VALUE"""),44353.0)</f>
        <v>44353</v>
      </c>
      <c r="D149" s="17">
        <f>IFERROR(__xludf.DUMMYFUNCTION("""COMPUTED_VALUE"""),22.0)</f>
        <v>22</v>
      </c>
      <c r="E149" s="17">
        <f>IFERROR(__xludf.DUMMYFUNCTION("""COMPUTED_VALUE"""),5291.0)</f>
        <v>5291</v>
      </c>
      <c r="F149" s="17">
        <f>IFERROR(__xludf.DUMMYFUNCTION("""COMPUTED_VALUE"""),2682.0)</f>
        <v>2682</v>
      </c>
      <c r="G149" s="20"/>
      <c r="H149" s="20"/>
      <c r="I149" s="20"/>
      <c r="J149" s="21">
        <f>IFERROR(__xludf.DUMMYFUNCTION("""COMPUTED_VALUE"""),3241.0)</f>
        <v>3241</v>
      </c>
      <c r="K149" s="22">
        <f>IFERROR(__xludf.DUMMYFUNCTION("""COMPUTED_VALUE"""),8.039709329435183)</f>
        <v>8.039709329</v>
      </c>
      <c r="L149" s="22">
        <f>IFERROR(__xludf.DUMMYFUNCTION("""COMPUTED_VALUE"""),9.715398186688827)</f>
        <v>9.715398187</v>
      </c>
      <c r="M149" s="22">
        <f>IFERROR(__xludf.DUMMYFUNCTION("""COMPUTED_VALUE"""),557.7825630335544)</f>
        <v>557.782563</v>
      </c>
      <c r="N149" s="22">
        <f>IFERROR(__xludf.DUMMYFUNCTION("""COMPUTED_VALUE"""),630.4172300383564)</f>
        <v>630.41723</v>
      </c>
      <c r="O149" s="22">
        <f t="shared" si="1"/>
        <v>1.675688857</v>
      </c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tr">
        <f>IFERROR(__xludf.DUMMYFUNCTION("""COMPUTED_VALUE"""),"Peru")</f>
        <v>Peru</v>
      </c>
      <c r="B150" s="18">
        <f>IFERROR(__xludf.DUMMYFUNCTION("""COMPUTED_VALUE"""),44354.0)</f>
        <v>44354</v>
      </c>
      <c r="C150" s="19">
        <f>IFERROR(__xludf.DUMMYFUNCTION("""COMPUTED_VALUE"""),44360.0)</f>
        <v>44360</v>
      </c>
      <c r="D150" s="17">
        <f>IFERROR(__xludf.DUMMYFUNCTION("""COMPUTED_VALUE"""),23.0)</f>
        <v>23</v>
      </c>
      <c r="E150" s="17">
        <f>IFERROR(__xludf.DUMMYFUNCTION("""COMPUTED_VALUE"""),4726.0)</f>
        <v>4726</v>
      </c>
      <c r="F150" s="17">
        <f>IFERROR(__xludf.DUMMYFUNCTION("""COMPUTED_VALUE"""),2635.0)</f>
        <v>2635</v>
      </c>
      <c r="G150" s="20"/>
      <c r="H150" s="20"/>
      <c r="I150" s="20"/>
      <c r="J150" s="21">
        <f>IFERROR(__xludf.DUMMYFUNCTION("""COMPUTED_VALUE"""),2591.0)</f>
        <v>2591</v>
      </c>
      <c r="K150" s="22">
        <f>IFERROR(__xludf.DUMMYFUNCTION("""COMPUTED_VALUE"""),7.898819568628526)</f>
        <v>7.898819569</v>
      </c>
      <c r="L150" s="22">
        <f>IFERROR(__xludf.DUMMYFUNCTION("""COMPUTED_VALUE"""),7.766922771277614)</f>
        <v>7.766922771</v>
      </c>
      <c r="M150" s="22">
        <f>IFERROR(__xludf.DUMMYFUNCTION("""COMPUTED_VALUE"""),565.6813826021829)</f>
        <v>565.6813826</v>
      </c>
      <c r="N150" s="22">
        <f>IFERROR(__xludf.DUMMYFUNCTION("""COMPUTED_VALUE"""),638.1841528096339)</f>
        <v>638.1841528</v>
      </c>
      <c r="O150" s="22">
        <f t="shared" si="1"/>
        <v>-0.1318967974</v>
      </c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tr">
        <f>IFERROR(__xludf.DUMMYFUNCTION("""COMPUTED_VALUE"""),"Peru")</f>
        <v>Peru</v>
      </c>
      <c r="B151" s="18">
        <f>IFERROR(__xludf.DUMMYFUNCTION("""COMPUTED_VALUE"""),44361.0)</f>
        <v>44361</v>
      </c>
      <c r="C151" s="19">
        <f>IFERROR(__xludf.DUMMYFUNCTION("""COMPUTED_VALUE"""),44367.0)</f>
        <v>44367</v>
      </c>
      <c r="D151" s="17">
        <f>IFERROR(__xludf.DUMMYFUNCTION("""COMPUTED_VALUE"""),24.0)</f>
        <v>24</v>
      </c>
      <c r="E151" s="17">
        <f>IFERROR(__xludf.DUMMYFUNCTION("""COMPUTED_VALUE"""),4333.0)</f>
        <v>4333</v>
      </c>
      <c r="F151" s="17">
        <f>IFERROR(__xludf.DUMMYFUNCTION("""COMPUTED_VALUE"""),1494.0)</f>
        <v>1494</v>
      </c>
      <c r="G151" s="20"/>
      <c r="H151" s="20"/>
      <c r="I151" s="20"/>
      <c r="J151" s="21">
        <f>IFERROR(__xludf.DUMMYFUNCTION("""COMPUTED_VALUE"""),2183.0)</f>
        <v>2183</v>
      </c>
      <c r="K151" s="22">
        <f>IFERROR(__xludf.DUMMYFUNCTION("""COMPUTED_VALUE"""),4.4784958009605385)</f>
        <v>4.478495801</v>
      </c>
      <c r="L151" s="22">
        <f>IFERROR(__xludf.DUMMYFUNCTION("""COMPUTED_VALUE"""),6.543879741296423)</f>
        <v>6.543879741</v>
      </c>
      <c r="M151" s="22">
        <f>IFERROR(__xludf.DUMMYFUNCTION("""COMPUTED_VALUE"""),570.1598784031435)</f>
        <v>570.1598784</v>
      </c>
      <c r="N151" s="22">
        <f>IFERROR(__xludf.DUMMYFUNCTION("""COMPUTED_VALUE"""),644.7280325509304)</f>
        <v>644.7280326</v>
      </c>
      <c r="O151" s="22">
        <f t="shared" si="1"/>
        <v>2.06538394</v>
      </c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tr">
        <f>IFERROR(__xludf.DUMMYFUNCTION("""COMPUTED_VALUE"""),"Peru")</f>
        <v>Peru</v>
      </c>
      <c r="B152" s="18">
        <f>IFERROR(__xludf.DUMMYFUNCTION("""COMPUTED_VALUE"""),44368.0)</f>
        <v>44368</v>
      </c>
      <c r="C152" s="19">
        <f>IFERROR(__xludf.DUMMYFUNCTION("""COMPUTED_VALUE"""),44374.0)</f>
        <v>44374</v>
      </c>
      <c r="D152" s="17">
        <f>IFERROR(__xludf.DUMMYFUNCTION("""COMPUTED_VALUE"""),25.0)</f>
        <v>25</v>
      </c>
      <c r="E152" s="17">
        <f>IFERROR(__xludf.DUMMYFUNCTION("""COMPUTED_VALUE"""),4024.0)</f>
        <v>4024</v>
      </c>
      <c r="F152" s="17">
        <f>IFERROR(__xludf.DUMMYFUNCTION("""COMPUTED_VALUE"""),1382.0)</f>
        <v>1382</v>
      </c>
      <c r="G152" s="20"/>
      <c r="H152" s="20"/>
      <c r="I152" s="20"/>
      <c r="J152" s="21">
        <f>IFERROR(__xludf.DUMMYFUNCTION("""COMPUTED_VALUE"""),1800.6666666666665)</f>
        <v>1800.666667</v>
      </c>
      <c r="K152" s="22">
        <f>IFERROR(__xludf.DUMMYFUNCTION("""COMPUTED_VALUE"""),4.14275849861276)</f>
        <v>4.142758499</v>
      </c>
      <c r="L152" s="22">
        <f>IFERROR(__xludf.DUMMYFUNCTION("""COMPUTED_VALUE"""),5.397776509769931)</f>
        <v>5.39777651</v>
      </c>
      <c r="M152" s="22">
        <f>IFERROR(__xludf.DUMMYFUNCTION("""COMPUTED_VALUE"""),574.3026369017563)</f>
        <v>574.3026369</v>
      </c>
      <c r="N152" s="22">
        <f>IFERROR(__xludf.DUMMYFUNCTION("""COMPUTED_VALUE"""),650.1258090607004)</f>
        <v>650.1258091</v>
      </c>
      <c r="O152" s="22">
        <f t="shared" si="1"/>
        <v>1.255018011</v>
      </c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tr">
        <f>IFERROR(__xludf.DUMMYFUNCTION("""COMPUTED_VALUE"""),"Peru")</f>
        <v>Peru</v>
      </c>
      <c r="B153" s="18">
        <f>IFERROR(__xludf.DUMMYFUNCTION("""COMPUTED_VALUE"""),44375.0)</f>
        <v>44375</v>
      </c>
      <c r="C153" s="19">
        <f>IFERROR(__xludf.DUMMYFUNCTION("""COMPUTED_VALUE"""),44381.0)</f>
        <v>44381</v>
      </c>
      <c r="D153" s="17">
        <f>IFERROR(__xludf.DUMMYFUNCTION("""COMPUTED_VALUE"""),26.0)</f>
        <v>26</v>
      </c>
      <c r="E153" s="17">
        <f>IFERROR(__xludf.DUMMYFUNCTION("""COMPUTED_VALUE"""),3816.0)</f>
        <v>3816</v>
      </c>
      <c r="F153" s="17">
        <f>IFERROR(__xludf.DUMMYFUNCTION("""COMPUTED_VALUE"""),1646.0)</f>
        <v>1646</v>
      </c>
      <c r="G153" s="20"/>
      <c r="H153" s="20"/>
      <c r="I153" s="20"/>
      <c r="J153" s="21">
        <f>IFERROR(__xludf.DUMMYFUNCTION("""COMPUTED_VALUE"""),1615.6666666666665)</f>
        <v>1615.666667</v>
      </c>
      <c r="K153" s="22">
        <f>IFERROR(__xludf.DUMMYFUNCTION("""COMPUTED_VALUE"""),4.934139282718237)</f>
        <v>4.934139283</v>
      </c>
      <c r="L153" s="22">
        <f>IFERROR(__xludf.DUMMYFUNCTION("""COMPUTED_VALUE"""),4.843210429999046)</f>
        <v>4.84321043</v>
      </c>
      <c r="M153" s="22">
        <f>IFERROR(__xludf.DUMMYFUNCTION("""COMPUTED_VALUE"""),579.2367761844745)</f>
        <v>579.2367762</v>
      </c>
      <c r="N153" s="22">
        <f>IFERROR(__xludf.DUMMYFUNCTION("""COMPUTED_VALUE"""),654.9690194906995)</f>
        <v>654.9690195</v>
      </c>
      <c r="O153" s="22">
        <f t="shared" si="1"/>
        <v>-0.09092885272</v>
      </c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tr">
        <f>IFERROR(__xludf.DUMMYFUNCTION("""COMPUTED_VALUE"""),"Peru")</f>
        <v>Peru</v>
      </c>
      <c r="B154" s="18">
        <f>IFERROR(__xludf.DUMMYFUNCTION("""COMPUTED_VALUE"""),44382.0)</f>
        <v>44382</v>
      </c>
      <c r="C154" s="19">
        <f>IFERROR(__xludf.DUMMYFUNCTION("""COMPUTED_VALUE"""),44388.0)</f>
        <v>44388</v>
      </c>
      <c r="D154" s="17">
        <f>IFERROR(__xludf.DUMMYFUNCTION("""COMPUTED_VALUE"""),27.0)</f>
        <v>27</v>
      </c>
      <c r="E154" s="17">
        <f>IFERROR(__xludf.DUMMYFUNCTION("""COMPUTED_VALUE"""),3599.0)</f>
        <v>3599</v>
      </c>
      <c r="F154" s="17">
        <f>IFERROR(__xludf.DUMMYFUNCTION("""COMPUTED_VALUE"""),1157.0)</f>
        <v>1157</v>
      </c>
      <c r="G154" s="20"/>
      <c r="H154" s="20"/>
      <c r="I154" s="20"/>
      <c r="J154" s="21">
        <f>IFERROR(__xludf.DUMMYFUNCTION("""COMPUTED_VALUE"""),1359.0)</f>
        <v>1359</v>
      </c>
      <c r="K154" s="22">
        <f>IFERROR(__xludf.DUMMYFUNCTION("""COMPUTED_VALUE"""),3.468286239431956)</f>
        <v>3.468286239</v>
      </c>
      <c r="L154" s="22">
        <f>IFERROR(__xludf.DUMMYFUNCTION("""COMPUTED_VALUE"""),4.073812445452056)</f>
        <v>4.073812445</v>
      </c>
      <c r="M154" s="22">
        <f>IFERROR(__xludf.DUMMYFUNCTION("""COMPUTED_VALUE"""),582.7050624239064)</f>
        <v>582.7050624</v>
      </c>
      <c r="N154" s="22">
        <f>IFERROR(__xludf.DUMMYFUNCTION("""COMPUTED_VALUE"""),659.0428319361515)</f>
        <v>659.0428319</v>
      </c>
      <c r="O154" s="22">
        <f t="shared" si="1"/>
        <v>0.605526206</v>
      </c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tr">
        <f>IFERROR(__xludf.DUMMYFUNCTION("""COMPUTED_VALUE"""),"Peru")</f>
        <v>Peru</v>
      </c>
      <c r="B155" s="18">
        <f>IFERROR(__xludf.DUMMYFUNCTION("""COMPUTED_VALUE"""),44389.0)</f>
        <v>44389</v>
      </c>
      <c r="C155" s="19">
        <f>IFERROR(__xludf.DUMMYFUNCTION("""COMPUTED_VALUE"""),44395.0)</f>
        <v>44395</v>
      </c>
      <c r="D155" s="17">
        <f>IFERROR(__xludf.DUMMYFUNCTION("""COMPUTED_VALUE"""),28.0)</f>
        <v>28</v>
      </c>
      <c r="E155" s="17">
        <f>IFERROR(__xludf.DUMMYFUNCTION("""COMPUTED_VALUE"""),3333.0)</f>
        <v>3333</v>
      </c>
      <c r="F155" s="17">
        <f>IFERROR(__xludf.DUMMYFUNCTION("""COMPUTED_VALUE"""),759.0)</f>
        <v>759</v>
      </c>
      <c r="G155" s="20"/>
      <c r="H155" s="20"/>
      <c r="I155" s="20"/>
      <c r="J155" s="21">
        <f>IFERROR(__xludf.DUMMYFUNCTION("""COMPUTED_VALUE"""),1191.3333333333335)</f>
        <v>1191.333333</v>
      </c>
      <c r="K155" s="22">
        <f>IFERROR(__xludf.DUMMYFUNCTION("""COMPUTED_VALUE"""),2.2752197543032455)</f>
        <v>2.275219754</v>
      </c>
      <c r="L155" s="22">
        <f>IFERROR(__xludf.DUMMYFUNCTION("""COMPUTED_VALUE"""),3.571205710092139)</f>
        <v>3.57120571</v>
      </c>
      <c r="M155" s="22">
        <f>IFERROR(__xludf.DUMMYFUNCTION("""COMPUTED_VALUE"""),584.9802821782097)</f>
        <v>584.9802822</v>
      </c>
      <c r="N155" s="22">
        <f>IFERROR(__xludf.DUMMYFUNCTION("""COMPUTED_VALUE"""),662.6140376462437)</f>
        <v>662.6140376</v>
      </c>
      <c r="O155" s="22">
        <f t="shared" si="1"/>
        <v>1.295985956</v>
      </c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tr">
        <f>IFERROR(__xludf.DUMMYFUNCTION("""COMPUTED_VALUE"""),"Peru")</f>
        <v>Peru</v>
      </c>
      <c r="B156" s="18">
        <f>IFERROR(__xludf.DUMMYFUNCTION("""COMPUTED_VALUE"""),44396.0)</f>
        <v>44396</v>
      </c>
      <c r="C156" s="19">
        <f>IFERROR(__xludf.DUMMYFUNCTION("""COMPUTED_VALUE"""),44402.0)</f>
        <v>44402</v>
      </c>
      <c r="D156" s="17">
        <f>IFERROR(__xludf.DUMMYFUNCTION("""COMPUTED_VALUE"""),29.0)</f>
        <v>29</v>
      </c>
      <c r="E156" s="17">
        <f>IFERROR(__xludf.DUMMYFUNCTION("""COMPUTED_VALUE"""),3250.0)</f>
        <v>3250</v>
      </c>
      <c r="F156" s="17">
        <f>IFERROR(__xludf.DUMMYFUNCTION("""COMPUTED_VALUE"""),744.0)</f>
        <v>744</v>
      </c>
      <c r="G156" s="20"/>
      <c r="H156" s="20"/>
      <c r="I156" s="20"/>
      <c r="J156" s="21">
        <f>IFERROR(__xludf.DUMMYFUNCTION("""COMPUTED_VALUE"""),1050.3333333333335)</f>
        <v>1050.333333</v>
      </c>
      <c r="K156" s="22">
        <f>IFERROR(__xludf.DUMMYFUNCTION("""COMPUTED_VALUE"""),2.2302549370245255)</f>
        <v>2.230254937</v>
      </c>
      <c r="L156" s="22">
        <f>IFERROR(__xludf.DUMMYFUNCTION("""COMPUTED_VALUE"""),3.1485364276721683)</f>
        <v>3.148536428</v>
      </c>
      <c r="M156" s="22">
        <f>IFERROR(__xludf.DUMMYFUNCTION("""COMPUTED_VALUE"""),587.2105371152342)</f>
        <v>587.2105371</v>
      </c>
      <c r="N156" s="22">
        <f>IFERROR(__xludf.DUMMYFUNCTION("""COMPUTED_VALUE"""),665.7625740739159)</f>
        <v>665.7625741</v>
      </c>
      <c r="O156" s="22">
        <f t="shared" si="1"/>
        <v>0.9182814906</v>
      </c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tr">
        <f>IFERROR(__xludf.DUMMYFUNCTION("""COMPUTED_VALUE"""),"Peru")</f>
        <v>Peru</v>
      </c>
      <c r="B157" s="18">
        <f>IFERROR(__xludf.DUMMYFUNCTION("""COMPUTED_VALUE"""),44403.0)</f>
        <v>44403</v>
      </c>
      <c r="C157" s="19">
        <f>IFERROR(__xludf.DUMMYFUNCTION("""COMPUTED_VALUE"""),44409.0)</f>
        <v>44409</v>
      </c>
      <c r="D157" s="17">
        <f>IFERROR(__xludf.DUMMYFUNCTION("""COMPUTED_VALUE"""),30.0)</f>
        <v>30</v>
      </c>
      <c r="E157" s="17">
        <f>IFERROR(__xludf.DUMMYFUNCTION("""COMPUTED_VALUE"""),3164.0)</f>
        <v>3164</v>
      </c>
      <c r="F157" s="17">
        <f>IFERROR(__xludf.DUMMYFUNCTION("""COMPUTED_VALUE"""),548.0)</f>
        <v>548</v>
      </c>
      <c r="G157" s="20"/>
      <c r="H157" s="20"/>
      <c r="I157" s="20"/>
      <c r="J157" s="21">
        <f>IFERROR(__xludf.DUMMYFUNCTION("""COMPUTED_VALUE"""),948.6666666666665)</f>
        <v>948.6666667</v>
      </c>
      <c r="K157" s="22">
        <f>IFERROR(__xludf.DUMMYFUNCTION("""COMPUTED_VALUE"""),1.6427146579159138)</f>
        <v>1.642714658</v>
      </c>
      <c r="L157" s="22">
        <f>IFERROR(__xludf.DUMMYFUNCTION("""COMPUTED_VALUE"""),2.843774888338619)</f>
        <v>2.843774888</v>
      </c>
      <c r="M157" s="22">
        <f>IFERROR(__xludf.DUMMYFUNCTION("""COMPUTED_VALUE"""),588.8532517731501)</f>
        <v>588.8532518</v>
      </c>
      <c r="N157" s="22">
        <f>IFERROR(__xludf.DUMMYFUNCTION("""COMPUTED_VALUE"""),668.6063489622545)</f>
        <v>668.606349</v>
      </c>
      <c r="O157" s="22">
        <f t="shared" si="1"/>
        <v>1.20106023</v>
      </c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tr">
        <f>IFERROR(__xludf.DUMMYFUNCTION("""COMPUTED_VALUE"""),"Peru")</f>
        <v>Peru</v>
      </c>
      <c r="B158" s="18">
        <f>IFERROR(__xludf.DUMMYFUNCTION("""COMPUTED_VALUE"""),44410.0)</f>
        <v>44410</v>
      </c>
      <c r="C158" s="19">
        <f>IFERROR(__xludf.DUMMYFUNCTION("""COMPUTED_VALUE"""),44416.0)</f>
        <v>44416</v>
      </c>
      <c r="D158" s="17">
        <f>IFERROR(__xludf.DUMMYFUNCTION("""COMPUTED_VALUE"""),31.0)</f>
        <v>31</v>
      </c>
      <c r="E158" s="17">
        <f>IFERROR(__xludf.DUMMYFUNCTION("""COMPUTED_VALUE"""),3062.0)</f>
        <v>3062</v>
      </c>
      <c r="F158" s="17">
        <f>IFERROR(__xludf.DUMMYFUNCTION("""COMPUTED_VALUE"""),512.0)</f>
        <v>512</v>
      </c>
      <c r="G158" s="20"/>
      <c r="H158" s="20"/>
      <c r="I158" s="20"/>
      <c r="J158" s="21">
        <f>IFERROR(__xludf.DUMMYFUNCTION("""COMPUTED_VALUE"""),879.3333333333335)</f>
        <v>879.3333333</v>
      </c>
      <c r="K158" s="22">
        <f>IFERROR(__xludf.DUMMYFUNCTION("""COMPUTED_VALUE"""),1.5347990964469849)</f>
        <v>1.534799096</v>
      </c>
      <c r="L158" s="22">
        <f>IFERROR(__xludf.DUMMYFUNCTION("""COMPUTED_VALUE"""),2.6359375106947573)</f>
        <v>2.635937511</v>
      </c>
      <c r="M158" s="22">
        <f>IFERROR(__xludf.DUMMYFUNCTION("""COMPUTED_VALUE"""),590.388050869597)</f>
        <v>590.3880509</v>
      </c>
      <c r="N158" s="22">
        <f>IFERROR(__xludf.DUMMYFUNCTION("""COMPUTED_VALUE"""),671.2422864729492)</f>
        <v>671.2422865</v>
      </c>
      <c r="O158" s="22">
        <f t="shared" si="1"/>
        <v>1.101138414</v>
      </c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tr">
        <f>IFERROR(__xludf.DUMMYFUNCTION("""COMPUTED_VALUE"""),"Peru")</f>
        <v>Peru</v>
      </c>
      <c r="B159" s="18">
        <f>IFERROR(__xludf.DUMMYFUNCTION("""COMPUTED_VALUE"""),44417.0)</f>
        <v>44417</v>
      </c>
      <c r="C159" s="19">
        <f>IFERROR(__xludf.DUMMYFUNCTION("""COMPUTED_VALUE"""),44423.0)</f>
        <v>44423</v>
      </c>
      <c r="D159" s="17">
        <f>IFERROR(__xludf.DUMMYFUNCTION("""COMPUTED_VALUE"""),32.0)</f>
        <v>32</v>
      </c>
      <c r="E159" s="17">
        <f>IFERROR(__xludf.DUMMYFUNCTION("""COMPUTED_VALUE"""),3112.0)</f>
        <v>3112</v>
      </c>
      <c r="F159" s="17">
        <f>IFERROR(__xludf.DUMMYFUNCTION("""COMPUTED_VALUE"""),443.0)</f>
        <v>443</v>
      </c>
      <c r="G159" s="20"/>
      <c r="H159" s="20"/>
      <c r="I159" s="20"/>
      <c r="J159" s="21">
        <f>IFERROR(__xludf.DUMMYFUNCTION("""COMPUTED_VALUE"""),881.6666666666665)</f>
        <v>881.6666667</v>
      </c>
      <c r="K159" s="22">
        <f>IFERROR(__xludf.DUMMYFUNCTION("""COMPUTED_VALUE"""),1.327960936964872)</f>
        <v>1.327960937</v>
      </c>
      <c r="L159" s="22">
        <f>IFERROR(__xludf.DUMMYFUNCTION("""COMPUTED_VALUE"""),2.642932037827002)</f>
        <v>2.642932038</v>
      </c>
      <c r="M159" s="22">
        <f>IFERROR(__xludf.DUMMYFUNCTION("""COMPUTED_VALUE"""),591.7160118065619)</f>
        <v>591.7160118</v>
      </c>
      <c r="N159" s="22">
        <f>IFERROR(__xludf.DUMMYFUNCTION("""COMPUTED_VALUE"""),673.8852185107762)</f>
        <v>673.8852185</v>
      </c>
      <c r="O159" s="22">
        <f t="shared" si="1"/>
        <v>1.314971101</v>
      </c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tr">
        <f>IFERROR(__xludf.DUMMYFUNCTION("""COMPUTED_VALUE"""),"Peru")</f>
        <v>Peru</v>
      </c>
      <c r="B160" s="18">
        <f>IFERROR(__xludf.DUMMYFUNCTION("""COMPUTED_VALUE"""),44424.0)</f>
        <v>44424</v>
      </c>
      <c r="C160" s="19">
        <f>IFERROR(__xludf.DUMMYFUNCTION("""COMPUTED_VALUE"""),44430.0)</f>
        <v>44430</v>
      </c>
      <c r="D160" s="17">
        <f>IFERROR(__xludf.DUMMYFUNCTION("""COMPUTED_VALUE"""),33.0)</f>
        <v>33</v>
      </c>
      <c r="E160" s="17">
        <f>IFERROR(__xludf.DUMMYFUNCTION("""COMPUTED_VALUE"""),2936.0)</f>
        <v>2936</v>
      </c>
      <c r="F160" s="17">
        <f>IFERROR(__xludf.DUMMYFUNCTION("""COMPUTED_VALUE"""),486.0)</f>
        <v>486</v>
      </c>
      <c r="G160" s="20"/>
      <c r="H160" s="20"/>
      <c r="I160" s="20"/>
      <c r="J160" s="21">
        <f>IFERROR(__xludf.DUMMYFUNCTION("""COMPUTED_VALUE"""),801.0)</f>
        <v>801</v>
      </c>
      <c r="K160" s="22">
        <f>IFERROR(__xludf.DUMMYFUNCTION("""COMPUTED_VALUE"""),1.4568600798305367)</f>
        <v>1.45686008</v>
      </c>
      <c r="L160" s="22">
        <f>IFERROR(__xludf.DUMMYFUNCTION("""COMPUTED_VALUE"""),2.401121242683662)</f>
        <v>2.401121243</v>
      </c>
      <c r="M160" s="22">
        <f>IFERROR(__xludf.DUMMYFUNCTION("""COMPUTED_VALUE"""),593.1728718863925)</f>
        <v>593.1728719</v>
      </c>
      <c r="N160" s="22">
        <f>IFERROR(__xludf.DUMMYFUNCTION("""COMPUTED_VALUE"""),676.2863397534599)</f>
        <v>676.2863398</v>
      </c>
      <c r="O160" s="22">
        <f t="shared" si="1"/>
        <v>0.9442611629</v>
      </c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tr">
        <f>IFERROR(__xludf.DUMMYFUNCTION("""COMPUTED_VALUE"""),"Peru")</f>
        <v>Peru</v>
      </c>
      <c r="B161" s="18">
        <f>IFERROR(__xludf.DUMMYFUNCTION("""COMPUTED_VALUE"""),44431.0)</f>
        <v>44431</v>
      </c>
      <c r="C161" s="19">
        <f>IFERROR(__xludf.DUMMYFUNCTION("""COMPUTED_VALUE"""),44437.0)</f>
        <v>44437</v>
      </c>
      <c r="D161" s="17">
        <f>IFERROR(__xludf.DUMMYFUNCTION("""COMPUTED_VALUE"""),34.0)</f>
        <v>34</v>
      </c>
      <c r="E161" s="17">
        <f>IFERROR(__xludf.DUMMYFUNCTION("""COMPUTED_VALUE"""),3107.0)</f>
        <v>3107</v>
      </c>
      <c r="F161" s="17">
        <f>IFERROR(__xludf.DUMMYFUNCTION("""COMPUTED_VALUE"""),236.0)</f>
        <v>236</v>
      </c>
      <c r="G161" s="20"/>
      <c r="H161" s="20"/>
      <c r="I161" s="20"/>
      <c r="J161" s="21">
        <f>IFERROR(__xludf.DUMMYFUNCTION("""COMPUTED_VALUE"""),984.0)</f>
        <v>984</v>
      </c>
      <c r="K161" s="22">
        <f>IFERROR(__xludf.DUMMYFUNCTION("""COMPUTED_VALUE"""),0.7074464585185322)</f>
        <v>0.7074464585</v>
      </c>
      <c r="L161" s="22">
        <f>IFERROR(__xludf.DUMMYFUNCTION("""COMPUTED_VALUE"""),2.949692013484049)</f>
        <v>2.949692013</v>
      </c>
      <c r="M161" s="22">
        <f>IFERROR(__xludf.DUMMYFUNCTION("""COMPUTED_VALUE"""),593.8803183449111)</f>
        <v>593.8803183</v>
      </c>
      <c r="N161" s="22">
        <f>IFERROR(__xludf.DUMMYFUNCTION("""COMPUTED_VALUE"""),679.2360317669439)</f>
        <v>679.2360318</v>
      </c>
      <c r="O161" s="22">
        <f t="shared" si="1"/>
        <v>2.242245555</v>
      </c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tr">
        <f>IFERROR(__xludf.DUMMYFUNCTION("""COMPUTED_VALUE"""),"Peru")</f>
        <v>Peru</v>
      </c>
      <c r="B162" s="18">
        <f>IFERROR(__xludf.DUMMYFUNCTION("""COMPUTED_VALUE"""),44438.0)</f>
        <v>44438</v>
      </c>
      <c r="C162" s="19">
        <f>IFERROR(__xludf.DUMMYFUNCTION("""COMPUTED_VALUE"""),44444.0)</f>
        <v>44444</v>
      </c>
      <c r="D162" s="17">
        <f>IFERROR(__xludf.DUMMYFUNCTION("""COMPUTED_VALUE"""),35.0)</f>
        <v>35</v>
      </c>
      <c r="E162" s="17">
        <f>IFERROR(__xludf.DUMMYFUNCTION("""COMPUTED_VALUE"""),2983.0)</f>
        <v>2983</v>
      </c>
      <c r="F162" s="17">
        <f>IFERROR(__xludf.DUMMYFUNCTION("""COMPUTED_VALUE"""),373.0)</f>
        <v>373</v>
      </c>
      <c r="G162" s="20"/>
      <c r="H162" s="20"/>
      <c r="I162" s="20"/>
      <c r="J162" s="21">
        <f>IFERROR(__xludf.DUMMYFUNCTION("""COMPUTED_VALUE"""),789.6666666666665)</f>
        <v>789.6666667</v>
      </c>
      <c r="K162" s="22">
        <f>IFERROR(__xludf.DUMMYFUNCTION("""COMPUTED_VALUE"""),1.1181251229975104)</f>
        <v>1.118125123</v>
      </c>
      <c r="L162" s="22">
        <f>IFERROR(__xludf.DUMMYFUNCTION("""COMPUTED_VALUE"""),2.367147825184184)</f>
        <v>2.367147825</v>
      </c>
      <c r="M162" s="22">
        <f>IFERROR(__xludf.DUMMYFUNCTION("""COMPUTED_VALUE"""),594.9984434679086)</f>
        <v>594.9984435</v>
      </c>
      <c r="N162" s="22">
        <f>IFERROR(__xludf.DUMMYFUNCTION("""COMPUTED_VALUE"""),681.6031795921281)</f>
        <v>681.6031796</v>
      </c>
      <c r="O162" s="22">
        <f t="shared" si="1"/>
        <v>1.249022702</v>
      </c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tr">
        <f>IFERROR(__xludf.DUMMYFUNCTION("""COMPUTED_VALUE"""),"Peru")</f>
        <v>Peru</v>
      </c>
      <c r="B163" s="18">
        <f>IFERROR(__xludf.DUMMYFUNCTION("""COMPUTED_VALUE"""),44445.0)</f>
        <v>44445</v>
      </c>
      <c r="C163" s="19">
        <f>IFERROR(__xludf.DUMMYFUNCTION("""COMPUTED_VALUE"""),44451.0)</f>
        <v>44451</v>
      </c>
      <c r="D163" s="17">
        <f>IFERROR(__xludf.DUMMYFUNCTION("""COMPUTED_VALUE"""),36.0)</f>
        <v>36</v>
      </c>
      <c r="E163" s="17">
        <f>IFERROR(__xludf.DUMMYFUNCTION("""COMPUTED_VALUE"""),2887.0)</f>
        <v>2887</v>
      </c>
      <c r="F163" s="17">
        <f>IFERROR(__xludf.DUMMYFUNCTION("""COMPUTED_VALUE"""),276.0)</f>
        <v>276</v>
      </c>
      <c r="G163" s="20"/>
      <c r="H163" s="20"/>
      <c r="I163" s="20"/>
      <c r="J163" s="21">
        <f>IFERROR(__xludf.DUMMYFUNCTION("""COMPUTED_VALUE"""),719.0)</f>
        <v>719</v>
      </c>
      <c r="K163" s="22">
        <f>IFERROR(__xludf.DUMMYFUNCTION("""COMPUTED_VALUE"""),0.8273526379284529)</f>
        <v>0.8273526379</v>
      </c>
      <c r="L163" s="22">
        <f>IFERROR(__xludf.DUMMYFUNCTION("""COMPUTED_VALUE"""),2.155313574893325)</f>
        <v>2.155313575</v>
      </c>
      <c r="M163" s="22">
        <f>IFERROR(__xludf.DUMMYFUNCTION("""COMPUTED_VALUE"""),595.8257961058371)</f>
        <v>595.8257961</v>
      </c>
      <c r="N163" s="22">
        <f>IFERROR(__xludf.DUMMYFUNCTION("""COMPUTED_VALUE"""),683.7584931670214)</f>
        <v>683.7584932</v>
      </c>
      <c r="O163" s="22">
        <f t="shared" si="1"/>
        <v>1.327960937</v>
      </c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tr">
        <f>IFERROR(__xludf.DUMMYFUNCTION("""COMPUTED_VALUE"""),"Peru")</f>
        <v>Peru</v>
      </c>
      <c r="B164" s="18">
        <f>IFERROR(__xludf.DUMMYFUNCTION("""COMPUTED_VALUE"""),44452.0)</f>
        <v>44452</v>
      </c>
      <c r="C164" s="19">
        <f>IFERROR(__xludf.DUMMYFUNCTION("""COMPUTED_VALUE"""),44458.0)</f>
        <v>44458</v>
      </c>
      <c r="D164" s="17">
        <f>IFERROR(__xludf.DUMMYFUNCTION("""COMPUTED_VALUE"""),37.0)</f>
        <v>37</v>
      </c>
      <c r="E164" s="17">
        <f>IFERROR(__xludf.DUMMYFUNCTION("""COMPUTED_VALUE"""),2890.0)</f>
        <v>2890</v>
      </c>
      <c r="F164" s="17">
        <f>IFERROR(__xludf.DUMMYFUNCTION("""COMPUTED_VALUE"""),302.0)</f>
        <v>302</v>
      </c>
      <c r="G164" s="20"/>
      <c r="H164" s="20"/>
      <c r="I164" s="20"/>
      <c r="J164" s="21">
        <f>IFERROR(__xludf.DUMMYFUNCTION("""COMPUTED_VALUE"""),715.0)</f>
        <v>715</v>
      </c>
      <c r="K164" s="22">
        <f>IFERROR(__xludf.DUMMYFUNCTION("""COMPUTED_VALUE"""),0.9052916545449015)</f>
        <v>0.9052916545</v>
      </c>
      <c r="L164" s="22">
        <f>IFERROR(__xludf.DUMMYFUNCTION("""COMPUTED_VALUE"""),2.143322956952333)</f>
        <v>2.143322957</v>
      </c>
      <c r="M164" s="22">
        <f>IFERROR(__xludf.DUMMYFUNCTION("""COMPUTED_VALUE"""),596.731087760382)</f>
        <v>596.7310878</v>
      </c>
      <c r="N164" s="22">
        <f>IFERROR(__xludf.DUMMYFUNCTION("""COMPUTED_VALUE"""),685.9018161239737)</f>
        <v>685.9018161</v>
      </c>
      <c r="O164" s="22">
        <f t="shared" si="1"/>
        <v>1.238031302</v>
      </c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tr">
        <f>IFERROR(__xludf.DUMMYFUNCTION("""COMPUTED_VALUE"""),"Peru")</f>
        <v>Peru</v>
      </c>
      <c r="B165" s="18">
        <f>IFERROR(__xludf.DUMMYFUNCTION("""COMPUTED_VALUE"""),44459.0)</f>
        <v>44459</v>
      </c>
      <c r="C165" s="19">
        <f>IFERROR(__xludf.DUMMYFUNCTION("""COMPUTED_VALUE"""),44465.0)</f>
        <v>44465</v>
      </c>
      <c r="D165" s="17">
        <f>IFERROR(__xludf.DUMMYFUNCTION("""COMPUTED_VALUE"""),38.0)</f>
        <v>38</v>
      </c>
      <c r="E165" s="17">
        <f>IFERROR(__xludf.DUMMYFUNCTION("""COMPUTED_VALUE"""),2945.0)</f>
        <v>2945</v>
      </c>
      <c r="F165" s="17">
        <f>IFERROR(__xludf.DUMMYFUNCTION("""COMPUTED_VALUE"""),226.0)</f>
        <v>226</v>
      </c>
      <c r="G165" s="20"/>
      <c r="H165" s="20"/>
      <c r="I165" s="20"/>
      <c r="J165" s="21">
        <f>IFERROR(__xludf.DUMMYFUNCTION("""COMPUTED_VALUE"""),731.6666666666665)</f>
        <v>731.6666667</v>
      </c>
      <c r="K165" s="22">
        <f>IFERROR(__xludf.DUMMYFUNCTION("""COMPUTED_VALUE"""),0.6774699136660519)</f>
        <v>0.6774699137</v>
      </c>
      <c r="L165" s="22">
        <f>IFERROR(__xludf.DUMMYFUNCTION("""COMPUTED_VALUE"""),2.193283865039799)</f>
        <v>2.193283865</v>
      </c>
      <c r="M165" s="22">
        <f>IFERROR(__xludf.DUMMYFUNCTION("""COMPUTED_VALUE"""),597.4085576740481)</f>
        <v>597.4085577</v>
      </c>
      <c r="N165" s="22">
        <f>IFERROR(__xludf.DUMMYFUNCTION("""COMPUTED_VALUE"""),688.0950999890135)</f>
        <v>688.0951</v>
      </c>
      <c r="O165" s="22">
        <f t="shared" si="1"/>
        <v>1.515813951</v>
      </c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tr">
        <f>IFERROR(__xludf.DUMMYFUNCTION("""COMPUTED_VALUE"""),"Peru")</f>
        <v>Peru</v>
      </c>
      <c r="B166" s="18">
        <f>IFERROR(__xludf.DUMMYFUNCTION("""COMPUTED_VALUE"""),44466.0)</f>
        <v>44466</v>
      </c>
      <c r="C166" s="19">
        <f>IFERROR(__xludf.DUMMYFUNCTION("""COMPUTED_VALUE"""),44472.0)</f>
        <v>44472</v>
      </c>
      <c r="D166" s="17">
        <f>IFERROR(__xludf.DUMMYFUNCTION("""COMPUTED_VALUE"""),39.0)</f>
        <v>39</v>
      </c>
      <c r="E166" s="17">
        <f>IFERROR(__xludf.DUMMYFUNCTION("""COMPUTED_VALUE"""),2875.0)</f>
        <v>2875</v>
      </c>
      <c r="F166" s="17">
        <f>IFERROR(__xludf.DUMMYFUNCTION("""COMPUTED_VALUE"""),193.0)</f>
        <v>193</v>
      </c>
      <c r="G166" s="20"/>
      <c r="H166" s="20"/>
      <c r="I166" s="20"/>
      <c r="J166" s="21">
        <f>IFERROR(__xludf.DUMMYFUNCTION("""COMPUTED_VALUE"""),657.6666666666665)</f>
        <v>657.6666667</v>
      </c>
      <c r="K166" s="22">
        <f>IFERROR(__xludf.DUMMYFUNCTION("""COMPUTED_VALUE"""),0.5785473156528674)</f>
        <v>0.5785473157</v>
      </c>
      <c r="L166" s="22">
        <f>IFERROR(__xludf.DUMMYFUNCTION("""COMPUTED_VALUE"""),1.9714574331314458)</f>
        <v>1.971457433</v>
      </c>
      <c r="M166" s="22">
        <f>IFERROR(__xludf.DUMMYFUNCTION("""COMPUTED_VALUE"""),597.9871049897009)</f>
        <v>597.987105</v>
      </c>
      <c r="N166" s="22">
        <f>IFERROR(__xludf.DUMMYFUNCTION("""COMPUTED_VALUE"""),690.066557422145)</f>
        <v>690.0665574</v>
      </c>
      <c r="O166" s="22">
        <f t="shared" si="1"/>
        <v>1.392910117</v>
      </c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tr">
        <f>IFERROR(__xludf.DUMMYFUNCTION("""COMPUTED_VALUE"""),"Peru")</f>
        <v>Peru</v>
      </c>
      <c r="B167" s="18">
        <f>IFERROR(__xludf.DUMMYFUNCTION("""COMPUTED_VALUE"""),44473.0)</f>
        <v>44473</v>
      </c>
      <c r="C167" s="19">
        <f>IFERROR(__xludf.DUMMYFUNCTION("""COMPUTED_VALUE"""),44479.0)</f>
        <v>44479</v>
      </c>
      <c r="D167" s="17">
        <f>IFERROR(__xludf.DUMMYFUNCTION("""COMPUTED_VALUE"""),40.0)</f>
        <v>40</v>
      </c>
      <c r="E167" s="17">
        <f>IFERROR(__xludf.DUMMYFUNCTION("""COMPUTED_VALUE"""),2951.0)</f>
        <v>2951</v>
      </c>
      <c r="F167" s="17">
        <f>IFERROR(__xludf.DUMMYFUNCTION("""COMPUTED_VALUE"""),190.0)</f>
        <v>190</v>
      </c>
      <c r="G167" s="20"/>
      <c r="H167" s="20"/>
      <c r="I167" s="20"/>
      <c r="J167" s="21">
        <f>IFERROR(__xludf.DUMMYFUNCTION("""COMPUTED_VALUE"""),799.3333333333335)</f>
        <v>799.3333333</v>
      </c>
      <c r="K167" s="22">
        <f>IFERROR(__xludf.DUMMYFUNCTION("""COMPUTED_VALUE"""),0.5695543521971234)</f>
        <v>0.5695543522</v>
      </c>
      <c r="L167" s="22">
        <f>IFERROR(__xludf.DUMMYFUNCTION("""COMPUTED_VALUE"""),2.396125151874916)</f>
        <v>2.396125152</v>
      </c>
      <c r="M167" s="22">
        <f>IFERROR(__xludf.DUMMYFUNCTION("""COMPUTED_VALUE"""),598.556659341898)</f>
        <v>598.5566593</v>
      </c>
      <c r="N167" s="22">
        <f>IFERROR(__xludf.DUMMYFUNCTION("""COMPUTED_VALUE"""),692.4626825740199)</f>
        <v>692.4626826</v>
      </c>
      <c r="O167" s="22">
        <f t="shared" si="1"/>
        <v>1.8265708</v>
      </c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tr">
        <f>IFERROR(__xludf.DUMMYFUNCTION("""COMPUTED_VALUE"""),"Peru")</f>
        <v>Peru</v>
      </c>
      <c r="B168" s="18">
        <f>IFERROR(__xludf.DUMMYFUNCTION("""COMPUTED_VALUE"""),44480.0)</f>
        <v>44480</v>
      </c>
      <c r="C168" s="19">
        <f>IFERROR(__xludf.DUMMYFUNCTION("""COMPUTED_VALUE"""),44486.0)</f>
        <v>44486</v>
      </c>
      <c r="D168" s="17">
        <f>IFERROR(__xludf.DUMMYFUNCTION("""COMPUTED_VALUE"""),41.0)</f>
        <v>41</v>
      </c>
      <c r="E168" s="17">
        <f>IFERROR(__xludf.DUMMYFUNCTION("""COMPUTED_VALUE"""),2855.0)</f>
        <v>2855</v>
      </c>
      <c r="F168" s="17">
        <f>IFERROR(__xludf.DUMMYFUNCTION("""COMPUTED_VALUE"""),168.0)</f>
        <v>168</v>
      </c>
      <c r="G168" s="20"/>
      <c r="H168" s="20"/>
      <c r="I168" s="20"/>
      <c r="J168" s="21">
        <f>IFERROR(__xludf.DUMMYFUNCTION("""COMPUTED_VALUE"""),663.3333333333335)</f>
        <v>663.3333333</v>
      </c>
      <c r="K168" s="22">
        <f>IFERROR(__xludf.DUMMYFUNCTION("""COMPUTED_VALUE"""),0.5036059535216669)</f>
        <v>0.5036059535</v>
      </c>
      <c r="L168" s="22">
        <f>IFERROR(__xludf.DUMMYFUNCTION("""COMPUTED_VALUE"""),1.9884441418811853)</f>
        <v>1.988444142</v>
      </c>
      <c r="M168" s="22">
        <f>IFERROR(__xludf.DUMMYFUNCTION("""COMPUTED_VALUE"""),599.0602652954196)</f>
        <v>599.0602653</v>
      </c>
      <c r="N168" s="22">
        <f>IFERROR(__xludf.DUMMYFUNCTION("""COMPUTED_VALUE"""),694.4511267159011)</f>
        <v>694.4511267</v>
      </c>
      <c r="O168" s="22">
        <f t="shared" si="1"/>
        <v>1.484838188</v>
      </c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tr">
        <f>IFERROR(__xludf.DUMMYFUNCTION("""COMPUTED_VALUE"""),"Peru")</f>
        <v>Peru</v>
      </c>
      <c r="B169" s="18">
        <f>IFERROR(__xludf.DUMMYFUNCTION("""COMPUTED_VALUE"""),44487.0)</f>
        <v>44487</v>
      </c>
      <c r="C169" s="19">
        <f>IFERROR(__xludf.DUMMYFUNCTION("""COMPUTED_VALUE"""),44493.0)</f>
        <v>44493</v>
      </c>
      <c r="D169" s="17">
        <f>IFERROR(__xludf.DUMMYFUNCTION("""COMPUTED_VALUE"""),42.0)</f>
        <v>42</v>
      </c>
      <c r="E169" s="17">
        <f>IFERROR(__xludf.DUMMYFUNCTION("""COMPUTED_VALUE"""),2831.0)</f>
        <v>2831</v>
      </c>
      <c r="F169" s="17">
        <f>IFERROR(__xludf.DUMMYFUNCTION("""COMPUTED_VALUE"""),209.0)</f>
        <v>209</v>
      </c>
      <c r="G169" s="20"/>
      <c r="H169" s="20"/>
      <c r="I169" s="20"/>
      <c r="J169" s="21">
        <f>IFERROR(__xludf.DUMMYFUNCTION("""COMPUTED_VALUE"""),598.0)</f>
        <v>598</v>
      </c>
      <c r="K169" s="22">
        <f>IFERROR(__xludf.DUMMYFUNCTION("""COMPUTED_VALUE"""),0.6265097874168357)</f>
        <v>0.6265097874</v>
      </c>
      <c r="L169" s="22">
        <f>IFERROR(__xludf.DUMMYFUNCTION("""COMPUTED_VALUE"""),1.7925973821783145)</f>
        <v>1.792597382</v>
      </c>
      <c r="M169" s="22">
        <f>IFERROR(__xludf.DUMMYFUNCTION("""COMPUTED_VALUE"""),599.6867750828364)</f>
        <v>599.6867751</v>
      </c>
      <c r="N169" s="22">
        <f>IFERROR(__xludf.DUMMYFUNCTION("""COMPUTED_VALUE"""),696.2437240980794)</f>
        <v>696.2437241</v>
      </c>
      <c r="O169" s="22">
        <f t="shared" si="1"/>
        <v>1.166087595</v>
      </c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tr">
        <f>IFERROR(__xludf.DUMMYFUNCTION("""COMPUTED_VALUE"""),"Peru")</f>
        <v>Peru</v>
      </c>
      <c r="B170" s="18">
        <f>IFERROR(__xludf.DUMMYFUNCTION("""COMPUTED_VALUE"""),44494.0)</f>
        <v>44494</v>
      </c>
      <c r="C170" s="19">
        <f>IFERROR(__xludf.DUMMYFUNCTION("""COMPUTED_VALUE"""),44500.0)</f>
        <v>44500</v>
      </c>
      <c r="D170" s="17">
        <f>IFERROR(__xludf.DUMMYFUNCTION("""COMPUTED_VALUE"""),43.0)</f>
        <v>43</v>
      </c>
      <c r="E170" s="17">
        <f>IFERROR(__xludf.DUMMYFUNCTION("""COMPUTED_VALUE"""),2754.0)</f>
        <v>2754</v>
      </c>
      <c r="F170" s="17">
        <f>IFERROR(__xludf.DUMMYFUNCTION("""COMPUTED_VALUE"""),194.0)</f>
        <v>194</v>
      </c>
      <c r="G170" s="20"/>
      <c r="H170" s="20"/>
      <c r="I170" s="20"/>
      <c r="J170" s="21">
        <f>IFERROR(__xludf.DUMMYFUNCTION("""COMPUTED_VALUE"""),568.3333333333335)</f>
        <v>568.3333333</v>
      </c>
      <c r="K170" s="22">
        <f>IFERROR(__xludf.DUMMYFUNCTION("""COMPUTED_VALUE"""),0.5815449701381155)</f>
        <v>0.5815449701</v>
      </c>
      <c r="L170" s="22">
        <f>IFERROR(__xludf.DUMMYFUNCTION("""COMPUTED_VALUE"""),1.7036669657826238)</f>
        <v>1.703666966</v>
      </c>
      <c r="M170" s="22">
        <f>IFERROR(__xludf.DUMMYFUNCTION("""COMPUTED_VALUE"""),600.2683200529746)</f>
        <v>600.2683201</v>
      </c>
      <c r="N170" s="22">
        <f>IFERROR(__xludf.DUMMYFUNCTION("""COMPUTED_VALUE"""),697.947391063862)</f>
        <v>697.9473911</v>
      </c>
      <c r="O170" s="22">
        <f t="shared" si="1"/>
        <v>1.122121996</v>
      </c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3" t="str">
        <f>IFERROR(__xludf.DUMMYFUNCTION("""COMPUTED_VALUE"""),"Peru")</f>
        <v>Peru</v>
      </c>
      <c r="B171" s="24">
        <f>IFERROR(__xludf.DUMMYFUNCTION("""COMPUTED_VALUE"""),44501.0)</f>
        <v>44501</v>
      </c>
      <c r="C171" s="25">
        <f>IFERROR(__xludf.DUMMYFUNCTION("""COMPUTED_VALUE"""),44507.0)</f>
        <v>44507</v>
      </c>
      <c r="D171" s="23">
        <f>IFERROR(__xludf.DUMMYFUNCTION("""COMPUTED_VALUE"""),44.0)</f>
        <v>44</v>
      </c>
      <c r="E171" s="23">
        <f>IFERROR(__xludf.DUMMYFUNCTION("""COMPUTED_VALUE"""),2834.0)</f>
        <v>2834</v>
      </c>
      <c r="F171" s="23">
        <f>IFERROR(__xludf.DUMMYFUNCTION("""COMPUTED_VALUE"""),184.0)</f>
        <v>184</v>
      </c>
      <c r="G171" s="26"/>
      <c r="H171" s="26"/>
      <c r="I171" s="26"/>
      <c r="J171" s="27">
        <f>IFERROR(__xludf.DUMMYFUNCTION("""COMPUTED_VALUE"""),629.0)</f>
        <v>629</v>
      </c>
      <c r="K171" s="28">
        <f>IFERROR(__xludf.DUMMYFUNCTION("""COMPUTED_VALUE"""),0.5515684252856352)</f>
        <v>0.5515684253</v>
      </c>
      <c r="L171" s="28">
        <f>IFERROR(__xludf.DUMMYFUNCTION("""COMPUTED_VALUE"""),1.885524671221003)</f>
        <v>1.885524671</v>
      </c>
      <c r="M171" s="28">
        <f>IFERROR(__xludf.DUMMYFUNCTION("""COMPUTED_VALUE"""),600.8198884782602)</f>
        <v>600.8198885</v>
      </c>
      <c r="N171" s="28">
        <f>IFERROR(__xludf.DUMMYFUNCTION("""COMPUTED_VALUE"""),699.832915735083)</f>
        <v>699.8329157</v>
      </c>
      <c r="O171" s="28">
        <f t="shared" si="1"/>
        <v>1.333956246</v>
      </c>
      <c r="P171" s="29"/>
      <c r="Q171" s="29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 t="str">
        <f>IFERROR(__xludf.DUMMYFUNCTION("QUERY('Chile CON'!A2:N85,""SELECT *"",0)"),"Chile")</f>
        <v>Chile</v>
      </c>
      <c r="B172" s="18">
        <f>IFERROR(__xludf.DUMMYFUNCTION("""COMPUTED_VALUE"""),43906.0)</f>
        <v>43906</v>
      </c>
      <c r="C172" s="19">
        <f>IFERROR(__xludf.DUMMYFUNCTION("""COMPUTED_VALUE"""),43912.0)</f>
        <v>43912</v>
      </c>
      <c r="D172" s="17">
        <f>IFERROR(__xludf.DUMMYFUNCTION("""COMPUTED_VALUE"""),12.0)</f>
        <v>12</v>
      </c>
      <c r="E172" s="17">
        <f>IFERROR(__xludf.DUMMYFUNCTION("""COMPUTED_VALUE"""),2008.0)</f>
        <v>2008</v>
      </c>
      <c r="F172" s="17">
        <f>IFERROR(__xludf.DUMMYFUNCTION("""COMPUTED_VALUE"""),1.0)</f>
        <v>1</v>
      </c>
      <c r="G172" s="20">
        <f>IFERROR(__xludf.DUMMYFUNCTION("""COMPUTED_VALUE"""),1.0)</f>
        <v>1</v>
      </c>
      <c r="H172" s="20">
        <f>IFERROR(__xludf.DUMMYFUNCTION("""COMPUTED_VALUE"""),2445.0)</f>
        <v>2445</v>
      </c>
      <c r="I172" s="20">
        <f>IFERROR(__xludf.DUMMYFUNCTION("""COMPUTED_VALUE"""),1967.2)</f>
        <v>1967.2</v>
      </c>
      <c r="J172" s="21">
        <f>IFERROR(__xludf.DUMMYFUNCTION("""COMPUTED_VALUE"""),202.0)</f>
        <v>202</v>
      </c>
      <c r="K172" s="30">
        <f>IFERROR(__xludf.DUMMYFUNCTION("""COMPUTED_VALUE"""),0.005204982083931169)</f>
        <v>0.005204982084</v>
      </c>
      <c r="L172" s="30">
        <f>IFERROR(__xludf.DUMMYFUNCTION("""COMPUTED_VALUE"""),1.051406380954096)</f>
        <v>1.051406381</v>
      </c>
      <c r="M172" s="30">
        <f>IFERROR(__xludf.DUMMYFUNCTION("""COMPUTED_VALUE"""),0.005204982083931169)</f>
        <v>0.005204982084</v>
      </c>
      <c r="N172" s="30">
        <f>IFERROR(__xludf.DUMMYFUNCTION("""COMPUTED_VALUE"""),1.051406380954096)</f>
        <v>1.051406381</v>
      </c>
      <c r="O172" s="30">
        <f t="shared" si="1"/>
        <v>1.046201399</v>
      </c>
      <c r="P172" s="6" t="s">
        <v>4</v>
      </c>
      <c r="Q172" s="4">
        <v>1.9212362E7</v>
      </c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 t="str">
        <f>IFERROR(__xludf.DUMMYFUNCTION("""COMPUTED_VALUE"""),"Chile")</f>
        <v>Chile</v>
      </c>
      <c r="B173" s="18">
        <f>IFERROR(__xludf.DUMMYFUNCTION("""COMPUTED_VALUE"""),43913.0)</f>
        <v>43913</v>
      </c>
      <c r="C173" s="19">
        <f>IFERROR(__xludf.DUMMYFUNCTION("""COMPUTED_VALUE"""),43919.0)</f>
        <v>43919</v>
      </c>
      <c r="D173" s="17">
        <f>IFERROR(__xludf.DUMMYFUNCTION("""COMPUTED_VALUE"""),13.0)</f>
        <v>13</v>
      </c>
      <c r="E173" s="17">
        <f>IFERROR(__xludf.DUMMYFUNCTION("""COMPUTED_VALUE"""),2006.0)</f>
        <v>2006</v>
      </c>
      <c r="F173" s="17">
        <f>IFERROR(__xludf.DUMMYFUNCTION("""COMPUTED_VALUE"""),6.0)</f>
        <v>6</v>
      </c>
      <c r="G173" s="20">
        <f>IFERROR(__xludf.DUMMYFUNCTION("""COMPUTED_VALUE"""),2.0)</f>
        <v>2</v>
      </c>
      <c r="H173" s="20">
        <f>IFERROR(__xludf.DUMMYFUNCTION("""COMPUTED_VALUE"""),2438.0)</f>
        <v>2438</v>
      </c>
      <c r="I173" s="20">
        <f>IFERROR(__xludf.DUMMYFUNCTION("""COMPUTED_VALUE"""),1885.6)</f>
        <v>1885.6</v>
      </c>
      <c r="J173" s="21">
        <f>IFERROR(__xludf.DUMMYFUNCTION("""COMPUTED_VALUE"""),164.5)</f>
        <v>164.5</v>
      </c>
      <c r="K173" s="30">
        <f>IFERROR(__xludf.DUMMYFUNCTION("""COMPUTED_VALUE"""),0.03122989250358701)</f>
        <v>0.0312298925</v>
      </c>
      <c r="L173" s="30">
        <f>IFERROR(__xludf.DUMMYFUNCTION("""COMPUTED_VALUE"""),0.8562195528066773)</f>
        <v>0.8562195528</v>
      </c>
      <c r="M173" s="30">
        <f>IFERROR(__xludf.DUMMYFUNCTION("""COMPUTED_VALUE"""),0.03643487458751818)</f>
        <v>0.03643487459</v>
      </c>
      <c r="N173" s="30">
        <f>IFERROR(__xludf.DUMMYFUNCTION("""COMPUTED_VALUE"""),1.9076259337607735)</f>
        <v>1.907625934</v>
      </c>
      <c r="O173" s="30">
        <f t="shared" si="1"/>
        <v>0.8249896603</v>
      </c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 t="str">
        <f>IFERROR(__xludf.DUMMYFUNCTION("""COMPUTED_VALUE"""),"Chile")</f>
        <v>Chile</v>
      </c>
      <c r="B174" s="18">
        <f>IFERROR(__xludf.DUMMYFUNCTION("""COMPUTED_VALUE"""),43920.0)</f>
        <v>43920</v>
      </c>
      <c r="C174" s="19">
        <f>IFERROR(__xludf.DUMMYFUNCTION("""COMPUTED_VALUE"""),43926.0)</f>
        <v>43926</v>
      </c>
      <c r="D174" s="17">
        <f>IFERROR(__xludf.DUMMYFUNCTION("""COMPUTED_VALUE"""),14.0)</f>
        <v>14</v>
      </c>
      <c r="E174" s="17">
        <f>IFERROR(__xludf.DUMMYFUNCTION("""COMPUTED_VALUE"""),2081.0)</f>
        <v>2081</v>
      </c>
      <c r="F174" s="17">
        <f>IFERROR(__xludf.DUMMYFUNCTION("""COMPUTED_VALUE"""),27.0)</f>
        <v>27</v>
      </c>
      <c r="G174" s="20">
        <f>IFERROR(__xludf.DUMMYFUNCTION("""COMPUTED_VALUE"""),3.0)</f>
        <v>3</v>
      </c>
      <c r="H174" s="20">
        <f>IFERROR(__xludf.DUMMYFUNCTION("""COMPUTED_VALUE"""),2701.0)</f>
        <v>2701</v>
      </c>
      <c r="I174" s="20">
        <f>IFERROR(__xludf.DUMMYFUNCTION("""COMPUTED_VALUE"""),1926.0)</f>
        <v>1926</v>
      </c>
      <c r="J174" s="21">
        <f>IFERROR(__xludf.DUMMYFUNCTION("""COMPUTED_VALUE"""),194.5)</f>
        <v>194.5</v>
      </c>
      <c r="K174" s="30">
        <f>IFERROR(__xludf.DUMMYFUNCTION("""COMPUTED_VALUE"""),0.14053451626614158)</f>
        <v>0.1405345163</v>
      </c>
      <c r="L174" s="30">
        <f>IFERROR(__xludf.DUMMYFUNCTION("""COMPUTED_VALUE"""),1.0123690153246123)</f>
        <v>1.012369015</v>
      </c>
      <c r="M174" s="30">
        <f>IFERROR(__xludf.DUMMYFUNCTION("""COMPUTED_VALUE"""),0.17696939085365976)</f>
        <v>0.1769693909</v>
      </c>
      <c r="N174" s="30">
        <f>IFERROR(__xludf.DUMMYFUNCTION("""COMPUTED_VALUE"""),2.919994949085386)</f>
        <v>2.919994949</v>
      </c>
      <c r="O174" s="30">
        <f t="shared" si="1"/>
        <v>0.8718344991</v>
      </c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 t="str">
        <f>IFERROR(__xludf.DUMMYFUNCTION("""COMPUTED_VALUE"""),"Chile")</f>
        <v>Chile</v>
      </c>
      <c r="B175" s="18">
        <f>IFERROR(__xludf.DUMMYFUNCTION("""COMPUTED_VALUE"""),43927.0)</f>
        <v>43927</v>
      </c>
      <c r="C175" s="19">
        <f>IFERROR(__xludf.DUMMYFUNCTION("""COMPUTED_VALUE"""),43933.0)</f>
        <v>43933</v>
      </c>
      <c r="D175" s="17">
        <f>IFERROR(__xludf.DUMMYFUNCTION("""COMPUTED_VALUE"""),15.0)</f>
        <v>15</v>
      </c>
      <c r="E175" s="17">
        <f>IFERROR(__xludf.DUMMYFUNCTION("""COMPUTED_VALUE"""),2010.0)</f>
        <v>2010</v>
      </c>
      <c r="F175" s="17">
        <f>IFERROR(__xludf.DUMMYFUNCTION("""COMPUTED_VALUE"""),46.0)</f>
        <v>46</v>
      </c>
      <c r="G175" s="20">
        <f>IFERROR(__xludf.DUMMYFUNCTION("""COMPUTED_VALUE"""),4.0)</f>
        <v>4</v>
      </c>
      <c r="H175" s="20">
        <f>IFERROR(__xludf.DUMMYFUNCTION("""COMPUTED_VALUE"""),2557.0)</f>
        <v>2557</v>
      </c>
      <c r="I175" s="20">
        <f>IFERROR(__xludf.DUMMYFUNCTION("""COMPUTED_VALUE"""),1920.8)</f>
        <v>1920.8</v>
      </c>
      <c r="J175" s="21">
        <f>IFERROR(__xludf.DUMMYFUNCTION("""COMPUTED_VALUE"""),58.5)</f>
        <v>58.5</v>
      </c>
      <c r="K175" s="30">
        <f>IFERROR(__xludf.DUMMYFUNCTION("""COMPUTED_VALUE"""),0.2394291758608338)</f>
        <v>0.2394291759</v>
      </c>
      <c r="L175" s="30">
        <f>IFERROR(__xludf.DUMMYFUNCTION("""COMPUTED_VALUE"""),0.3044914519099734)</f>
        <v>0.3044914519</v>
      </c>
      <c r="M175" s="30">
        <f>IFERROR(__xludf.DUMMYFUNCTION("""COMPUTED_VALUE"""),0.41639856671449355)</f>
        <v>0.4163985667</v>
      </c>
      <c r="N175" s="30">
        <f>IFERROR(__xludf.DUMMYFUNCTION("""COMPUTED_VALUE"""),3.2244864009953593)</f>
        <v>3.224486401</v>
      </c>
      <c r="O175" s="30">
        <f t="shared" si="1"/>
        <v>0.06506227605</v>
      </c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 t="str">
        <f>IFERROR(__xludf.DUMMYFUNCTION("""COMPUTED_VALUE"""),"Chile")</f>
        <v>Chile</v>
      </c>
      <c r="B176" s="18">
        <f>IFERROR(__xludf.DUMMYFUNCTION("""COMPUTED_VALUE"""),43934.0)</f>
        <v>43934</v>
      </c>
      <c r="C176" s="19">
        <f>IFERROR(__xludf.DUMMYFUNCTION("""COMPUTED_VALUE"""),43940.0)</f>
        <v>43940</v>
      </c>
      <c r="D176" s="17">
        <f>IFERROR(__xludf.DUMMYFUNCTION("""COMPUTED_VALUE"""),16.0)</f>
        <v>16</v>
      </c>
      <c r="E176" s="17">
        <f>IFERROR(__xludf.DUMMYFUNCTION("""COMPUTED_VALUE"""),2087.0)</f>
        <v>2087</v>
      </c>
      <c r="F176" s="17">
        <f>IFERROR(__xludf.DUMMYFUNCTION("""COMPUTED_VALUE"""),53.0)</f>
        <v>53</v>
      </c>
      <c r="G176" s="20">
        <f>IFERROR(__xludf.DUMMYFUNCTION("""COMPUTED_VALUE"""),5.0)</f>
        <v>5</v>
      </c>
      <c r="H176" s="20">
        <f>IFERROR(__xludf.DUMMYFUNCTION("""COMPUTED_VALUE"""),2633.0)</f>
        <v>2633</v>
      </c>
      <c r="I176" s="20">
        <f>IFERROR(__xludf.DUMMYFUNCTION("""COMPUTED_VALUE"""),1925.8)</f>
        <v>1925.8</v>
      </c>
      <c r="J176" s="21">
        <f>IFERROR(__xludf.DUMMYFUNCTION("""COMPUTED_VALUE"""),178.0)</f>
        <v>178</v>
      </c>
      <c r="K176" s="30">
        <f>IFERROR(__xludf.DUMMYFUNCTION("""COMPUTED_VALUE"""),0.27586405044835194)</f>
        <v>0.2758640504</v>
      </c>
      <c r="L176" s="30">
        <f>IFERROR(__xludf.DUMMYFUNCTION("""COMPUTED_VALUE"""),0.926486810939748)</f>
        <v>0.9264868109</v>
      </c>
      <c r="M176" s="30">
        <f>IFERROR(__xludf.DUMMYFUNCTION("""COMPUTED_VALUE"""),0.6922626171628454)</f>
        <v>0.6922626172</v>
      </c>
      <c r="N176" s="30">
        <f>IFERROR(__xludf.DUMMYFUNCTION("""COMPUTED_VALUE"""),4.150973211935107)</f>
        <v>4.150973212</v>
      </c>
      <c r="O176" s="30">
        <f t="shared" si="1"/>
        <v>0.6506227605</v>
      </c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 t="str">
        <f>IFERROR(__xludf.DUMMYFUNCTION("""COMPUTED_VALUE"""),"Chile")</f>
        <v>Chile</v>
      </c>
      <c r="B177" s="18">
        <f>IFERROR(__xludf.DUMMYFUNCTION("""COMPUTED_VALUE"""),43941.0)</f>
        <v>43941</v>
      </c>
      <c r="C177" s="19">
        <f>IFERROR(__xludf.DUMMYFUNCTION("""COMPUTED_VALUE"""),43947.0)</f>
        <v>43947</v>
      </c>
      <c r="D177" s="17">
        <f>IFERROR(__xludf.DUMMYFUNCTION("""COMPUTED_VALUE"""),17.0)</f>
        <v>17</v>
      </c>
      <c r="E177" s="17">
        <f>IFERROR(__xludf.DUMMYFUNCTION("""COMPUTED_VALUE"""),2095.0)</f>
        <v>2095</v>
      </c>
      <c r="F177" s="17">
        <f>IFERROR(__xludf.DUMMYFUNCTION("""COMPUTED_VALUE"""),56.0)</f>
        <v>56</v>
      </c>
      <c r="G177" s="20">
        <f>IFERROR(__xludf.DUMMYFUNCTION("""COMPUTED_VALUE"""),6.0)</f>
        <v>6</v>
      </c>
      <c r="H177" s="20">
        <f>IFERROR(__xludf.DUMMYFUNCTION("""COMPUTED_VALUE"""),2506.0)</f>
        <v>2506</v>
      </c>
      <c r="I177" s="20">
        <f>IFERROR(__xludf.DUMMYFUNCTION("""COMPUTED_VALUE"""),1868.0)</f>
        <v>1868</v>
      </c>
      <c r="J177" s="21">
        <f>IFERROR(__xludf.DUMMYFUNCTION("""COMPUTED_VALUE"""),110.5)</f>
        <v>110.5</v>
      </c>
      <c r="K177" s="30">
        <f>IFERROR(__xludf.DUMMYFUNCTION("""COMPUTED_VALUE"""),0.29147899670014543)</f>
        <v>0.2914789967</v>
      </c>
      <c r="L177" s="30">
        <f>IFERROR(__xludf.DUMMYFUNCTION("""COMPUTED_VALUE"""),0.5751505202743942)</f>
        <v>0.5751505203</v>
      </c>
      <c r="M177" s="30">
        <f>IFERROR(__xludf.DUMMYFUNCTION("""COMPUTED_VALUE"""),0.9837416138629909)</f>
        <v>0.9837416139</v>
      </c>
      <c r="N177" s="30">
        <f>IFERROR(__xludf.DUMMYFUNCTION("""COMPUTED_VALUE"""),4.726123732209501)</f>
        <v>4.726123732</v>
      </c>
      <c r="O177" s="30">
        <f t="shared" si="1"/>
        <v>0.2836715236</v>
      </c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 t="str">
        <f>IFERROR(__xludf.DUMMYFUNCTION("""COMPUTED_VALUE"""),"Chile")</f>
        <v>Chile</v>
      </c>
      <c r="B178" s="18">
        <f>IFERROR(__xludf.DUMMYFUNCTION("""COMPUTED_VALUE"""),43948.0)</f>
        <v>43948</v>
      </c>
      <c r="C178" s="19">
        <f>IFERROR(__xludf.DUMMYFUNCTION("""COMPUTED_VALUE"""),43954.0)</f>
        <v>43954</v>
      </c>
      <c r="D178" s="17">
        <f>IFERROR(__xludf.DUMMYFUNCTION("""COMPUTED_VALUE"""),18.0)</f>
        <v>18</v>
      </c>
      <c r="E178" s="17">
        <f>IFERROR(__xludf.DUMMYFUNCTION("""COMPUTED_VALUE"""),2083.0)</f>
        <v>2083</v>
      </c>
      <c r="F178" s="17">
        <f>IFERROR(__xludf.DUMMYFUNCTION("""COMPUTED_VALUE"""),71.0)</f>
        <v>71</v>
      </c>
      <c r="G178" s="20">
        <f>IFERROR(__xludf.DUMMYFUNCTION("""COMPUTED_VALUE"""),7.0)</f>
        <v>7</v>
      </c>
      <c r="H178" s="20">
        <f>IFERROR(__xludf.DUMMYFUNCTION("""COMPUTED_VALUE"""),2502.0)</f>
        <v>2502</v>
      </c>
      <c r="I178" s="20">
        <f>IFERROR(__xludf.DUMMYFUNCTION("""COMPUTED_VALUE"""),1848.4)</f>
        <v>1848.4</v>
      </c>
      <c r="J178" s="21">
        <f>IFERROR(__xludf.DUMMYFUNCTION("""COMPUTED_VALUE"""),103.75)</f>
        <v>103.75</v>
      </c>
      <c r="K178" s="30">
        <f>IFERROR(__xludf.DUMMYFUNCTION("""COMPUTED_VALUE"""),0.36955372795911295)</f>
        <v>0.369553728</v>
      </c>
      <c r="L178" s="30">
        <f>IFERROR(__xludf.DUMMYFUNCTION("""COMPUTED_VALUE"""),0.5400168912078588)</f>
        <v>0.5400168912</v>
      </c>
      <c r="M178" s="30">
        <f>IFERROR(__xludf.DUMMYFUNCTION("""COMPUTED_VALUE"""),1.3532953418221039)</f>
        <v>1.353295342</v>
      </c>
      <c r="N178" s="30">
        <f>IFERROR(__xludf.DUMMYFUNCTION("""COMPUTED_VALUE"""),5.2661406234173604)</f>
        <v>5.266140623</v>
      </c>
      <c r="O178" s="30">
        <f t="shared" si="1"/>
        <v>0.1704631632</v>
      </c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 t="str">
        <f>IFERROR(__xludf.DUMMYFUNCTION("""COMPUTED_VALUE"""),"Chile")</f>
        <v>Chile</v>
      </c>
      <c r="B179" s="18">
        <f>IFERROR(__xludf.DUMMYFUNCTION("""COMPUTED_VALUE"""),43955.0)</f>
        <v>43955</v>
      </c>
      <c r="C179" s="19">
        <f>IFERROR(__xludf.DUMMYFUNCTION("""COMPUTED_VALUE"""),43961.0)</f>
        <v>43961</v>
      </c>
      <c r="D179" s="17">
        <f>IFERROR(__xludf.DUMMYFUNCTION("""COMPUTED_VALUE"""),19.0)</f>
        <v>19</v>
      </c>
      <c r="E179" s="17">
        <f>IFERROR(__xludf.DUMMYFUNCTION("""COMPUTED_VALUE"""),2342.0)</f>
        <v>2342</v>
      </c>
      <c r="F179" s="17">
        <f>IFERROR(__xludf.DUMMYFUNCTION("""COMPUTED_VALUE"""),52.0)</f>
        <v>52</v>
      </c>
      <c r="G179" s="20">
        <f>IFERROR(__xludf.DUMMYFUNCTION("""COMPUTED_VALUE"""),8.0)</f>
        <v>8</v>
      </c>
      <c r="H179" s="20">
        <f>IFERROR(__xludf.DUMMYFUNCTION("""COMPUTED_VALUE"""),2606.0)</f>
        <v>2606</v>
      </c>
      <c r="I179" s="20">
        <f>IFERROR(__xludf.DUMMYFUNCTION("""COMPUTED_VALUE"""),1884.2)</f>
        <v>1884.2</v>
      </c>
      <c r="J179" s="21">
        <f>IFERROR(__xludf.DUMMYFUNCTION("""COMPUTED_VALUE"""),386.5)</f>
        <v>386.5</v>
      </c>
      <c r="K179" s="30">
        <f>IFERROR(__xludf.DUMMYFUNCTION("""COMPUTED_VALUE"""),0.2706590683644208)</f>
        <v>0.2706590684</v>
      </c>
      <c r="L179" s="30">
        <f>IFERROR(__xludf.DUMMYFUNCTION("""COMPUTED_VALUE"""),2.011725575439397)</f>
        <v>2.011725575</v>
      </c>
      <c r="M179" s="30">
        <f>IFERROR(__xludf.DUMMYFUNCTION("""COMPUTED_VALUE"""),1.6239544101865246)</f>
        <v>1.62395441</v>
      </c>
      <c r="N179" s="30">
        <f>IFERROR(__xludf.DUMMYFUNCTION("""COMPUTED_VALUE"""),7.277866198856757)</f>
        <v>7.277866199</v>
      </c>
      <c r="O179" s="30">
        <f t="shared" si="1"/>
        <v>1.741066507</v>
      </c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 t="str">
        <f>IFERROR(__xludf.DUMMYFUNCTION("""COMPUTED_VALUE"""),"Chile")</f>
        <v>Chile</v>
      </c>
      <c r="B180" s="18">
        <f>IFERROR(__xludf.DUMMYFUNCTION("""COMPUTED_VALUE"""),43962.0)</f>
        <v>43962</v>
      </c>
      <c r="C180" s="19">
        <f>IFERROR(__xludf.DUMMYFUNCTION("""COMPUTED_VALUE"""),43968.0)</f>
        <v>43968</v>
      </c>
      <c r="D180" s="17">
        <f>IFERROR(__xludf.DUMMYFUNCTION("""COMPUTED_VALUE"""),20.0)</f>
        <v>20</v>
      </c>
      <c r="E180" s="17">
        <f>IFERROR(__xludf.DUMMYFUNCTION("""COMPUTED_VALUE"""),2438.0)</f>
        <v>2438</v>
      </c>
      <c r="F180" s="17">
        <f>IFERROR(__xludf.DUMMYFUNCTION("""COMPUTED_VALUE"""),138.0)</f>
        <v>138</v>
      </c>
      <c r="G180" s="20">
        <f>IFERROR(__xludf.DUMMYFUNCTION("""COMPUTED_VALUE"""),9.0)</f>
        <v>9</v>
      </c>
      <c r="H180" s="20">
        <f>IFERROR(__xludf.DUMMYFUNCTION("""COMPUTED_VALUE"""),2661.0)</f>
        <v>2661</v>
      </c>
      <c r="I180" s="20">
        <f>IFERROR(__xludf.DUMMYFUNCTION("""COMPUTED_VALUE"""),1802.8)</f>
        <v>1802.8</v>
      </c>
      <c r="J180" s="21">
        <f>IFERROR(__xludf.DUMMYFUNCTION("""COMPUTED_VALUE"""),400.75)</f>
        <v>400.75</v>
      </c>
      <c r="K180" s="30">
        <f>IFERROR(__xludf.DUMMYFUNCTION("""COMPUTED_VALUE"""),0.7182875275825014)</f>
        <v>0.7182875276</v>
      </c>
      <c r="L180" s="30">
        <f>IFERROR(__xludf.DUMMYFUNCTION("""COMPUTED_VALUE"""),2.0858965701354157)</f>
        <v>2.08589657</v>
      </c>
      <c r="M180" s="30">
        <f>IFERROR(__xludf.DUMMYFUNCTION("""COMPUTED_VALUE"""),2.342241937769026)</f>
        <v>2.342241938</v>
      </c>
      <c r="N180" s="30">
        <f>IFERROR(__xludf.DUMMYFUNCTION("""COMPUTED_VALUE"""),9.363762768992173)</f>
        <v>9.363762769</v>
      </c>
      <c r="O180" s="30">
        <f t="shared" si="1"/>
        <v>1.367609043</v>
      </c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 t="str">
        <f>IFERROR(__xludf.DUMMYFUNCTION("""COMPUTED_VALUE"""),"Chile")</f>
        <v>Chile</v>
      </c>
      <c r="B181" s="18">
        <f>IFERROR(__xludf.DUMMYFUNCTION("""COMPUTED_VALUE"""),43969.0)</f>
        <v>43969</v>
      </c>
      <c r="C181" s="19">
        <f>IFERROR(__xludf.DUMMYFUNCTION("""COMPUTED_VALUE"""),43975.0)</f>
        <v>43975</v>
      </c>
      <c r="D181" s="17">
        <f>IFERROR(__xludf.DUMMYFUNCTION("""COMPUTED_VALUE"""),21.0)</f>
        <v>21</v>
      </c>
      <c r="E181" s="17">
        <f>IFERROR(__xludf.DUMMYFUNCTION("""COMPUTED_VALUE"""),2933.0)</f>
        <v>2933</v>
      </c>
      <c r="F181" s="17">
        <f>IFERROR(__xludf.DUMMYFUNCTION("""COMPUTED_VALUE"""),268.0)</f>
        <v>268</v>
      </c>
      <c r="G181" s="20">
        <f>IFERROR(__xludf.DUMMYFUNCTION("""COMPUTED_VALUE"""),10.0)</f>
        <v>10</v>
      </c>
      <c r="H181" s="20">
        <f>IFERROR(__xludf.DUMMYFUNCTION("""COMPUTED_VALUE"""),2656.0)</f>
        <v>2656</v>
      </c>
      <c r="I181" s="20">
        <f>IFERROR(__xludf.DUMMYFUNCTION("""COMPUTED_VALUE"""),1808.4)</f>
        <v>1808.4</v>
      </c>
      <c r="J181" s="21">
        <f>IFERROR(__xludf.DUMMYFUNCTION("""COMPUTED_VALUE"""),756.5)</f>
        <v>756.5</v>
      </c>
      <c r="K181" s="30">
        <f>IFERROR(__xludf.DUMMYFUNCTION("""COMPUTED_VALUE"""),1.3949351984935532)</f>
        <v>1.394935198</v>
      </c>
      <c r="L181" s="30">
        <f>IFERROR(__xludf.DUMMYFUNCTION("""COMPUTED_VALUE"""),3.937568946493929)</f>
        <v>3.937568946</v>
      </c>
      <c r="M181" s="30">
        <f>IFERROR(__xludf.DUMMYFUNCTION("""COMPUTED_VALUE"""),3.737177136262579)</f>
        <v>3.737177136</v>
      </c>
      <c r="N181" s="30">
        <f>IFERROR(__xludf.DUMMYFUNCTION("""COMPUTED_VALUE"""),13.301331715486102)</f>
        <v>13.30133172</v>
      </c>
      <c r="O181" s="30">
        <f t="shared" si="1"/>
        <v>2.542633748</v>
      </c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 t="str">
        <f>IFERROR(__xludf.DUMMYFUNCTION("""COMPUTED_VALUE"""),"Chile")</f>
        <v>Chile</v>
      </c>
      <c r="B182" s="18">
        <f>IFERROR(__xludf.DUMMYFUNCTION("""COMPUTED_VALUE"""),43976.0)</f>
        <v>43976</v>
      </c>
      <c r="C182" s="19">
        <f>IFERROR(__xludf.DUMMYFUNCTION("""COMPUTED_VALUE"""),43982.0)</f>
        <v>43982</v>
      </c>
      <c r="D182" s="17">
        <f>IFERROR(__xludf.DUMMYFUNCTION("""COMPUTED_VALUE"""),22.0)</f>
        <v>22</v>
      </c>
      <c r="E182" s="17">
        <f>IFERROR(__xludf.DUMMYFUNCTION("""COMPUTED_VALUE"""),3394.0)</f>
        <v>3394</v>
      </c>
      <c r="F182" s="17">
        <f>IFERROR(__xludf.DUMMYFUNCTION("""COMPUTED_VALUE"""),336.0)</f>
        <v>336</v>
      </c>
      <c r="G182" s="20">
        <f>IFERROR(__xludf.DUMMYFUNCTION("""COMPUTED_VALUE"""),11.0)</f>
        <v>11</v>
      </c>
      <c r="H182" s="20">
        <f>IFERROR(__xludf.DUMMYFUNCTION("""COMPUTED_VALUE"""),2550.0)</f>
        <v>2550</v>
      </c>
      <c r="I182" s="20">
        <f>IFERROR(__xludf.DUMMYFUNCTION("""COMPUTED_VALUE"""),1821.8)</f>
        <v>1821.8</v>
      </c>
      <c r="J182" s="21">
        <f>IFERROR(__xludf.DUMMYFUNCTION("""COMPUTED_VALUE"""),1186.0)</f>
        <v>1186</v>
      </c>
      <c r="K182" s="30">
        <f>IFERROR(__xludf.DUMMYFUNCTION("""COMPUTED_VALUE"""),1.7488739802008728)</f>
        <v>1.74887398</v>
      </c>
      <c r="L182" s="30">
        <f>IFERROR(__xludf.DUMMYFUNCTION("""COMPUTED_VALUE"""),6.173108751542367)</f>
        <v>6.173108752</v>
      </c>
      <c r="M182" s="30">
        <f>IFERROR(__xludf.DUMMYFUNCTION("""COMPUTED_VALUE"""),5.486051116463452)</f>
        <v>5.486051116</v>
      </c>
      <c r="N182" s="30">
        <f>IFERROR(__xludf.DUMMYFUNCTION("""COMPUTED_VALUE"""),19.47444046702847)</f>
        <v>19.47444047</v>
      </c>
      <c r="O182" s="30">
        <f t="shared" si="1"/>
        <v>4.424234771</v>
      </c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 t="str">
        <f>IFERROR(__xludf.DUMMYFUNCTION("""COMPUTED_VALUE"""),"Chile")</f>
        <v>Chile</v>
      </c>
      <c r="B183" s="18">
        <f>IFERROR(__xludf.DUMMYFUNCTION("""COMPUTED_VALUE"""),43983.0)</f>
        <v>43983</v>
      </c>
      <c r="C183" s="19">
        <f>IFERROR(__xludf.DUMMYFUNCTION("""COMPUTED_VALUE"""),43989.0)</f>
        <v>43989</v>
      </c>
      <c r="D183" s="17">
        <f>IFERROR(__xludf.DUMMYFUNCTION("""COMPUTED_VALUE"""),23.0)</f>
        <v>23</v>
      </c>
      <c r="E183" s="17">
        <f>IFERROR(__xludf.DUMMYFUNCTION("""COMPUTED_VALUE"""),3899.0)</f>
        <v>3899</v>
      </c>
      <c r="F183" s="17">
        <f>IFERROR(__xludf.DUMMYFUNCTION("""COMPUTED_VALUE"""),583.0)</f>
        <v>583</v>
      </c>
      <c r="G183" s="20">
        <f>IFERROR(__xludf.DUMMYFUNCTION("""COMPUTED_VALUE"""),12.0)</f>
        <v>12</v>
      </c>
      <c r="H183" s="20">
        <f>IFERROR(__xludf.DUMMYFUNCTION("""COMPUTED_VALUE"""),2374.5)</f>
        <v>2374.5</v>
      </c>
      <c r="I183" s="20">
        <f>IFERROR(__xludf.DUMMYFUNCTION("""COMPUTED_VALUE"""),1806.0)</f>
        <v>1806</v>
      </c>
      <c r="J183" s="21">
        <f>IFERROR(__xludf.DUMMYFUNCTION("""COMPUTED_VALUE"""),1588.25)</f>
        <v>1588.25</v>
      </c>
      <c r="K183" s="30">
        <f>IFERROR(__xludf.DUMMYFUNCTION("""COMPUTED_VALUE"""),3.034504554931871)</f>
        <v>3.034504555</v>
      </c>
      <c r="L183" s="30">
        <f>IFERROR(__xludf.DUMMYFUNCTION("""COMPUTED_VALUE"""),8.266812794803679)</f>
        <v>8.266812795</v>
      </c>
      <c r="M183" s="30">
        <f>IFERROR(__xludf.DUMMYFUNCTION("""COMPUTED_VALUE"""),8.520555671395323)</f>
        <v>8.520555671</v>
      </c>
      <c r="N183" s="30">
        <f>IFERROR(__xludf.DUMMYFUNCTION("""COMPUTED_VALUE"""),27.74125326183215)</f>
        <v>27.74125326</v>
      </c>
      <c r="O183" s="30">
        <f t="shared" si="1"/>
        <v>5.23230824</v>
      </c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 t="str">
        <f>IFERROR(__xludf.DUMMYFUNCTION("""COMPUTED_VALUE"""),"Chile")</f>
        <v>Chile</v>
      </c>
      <c r="B184" s="18">
        <f>IFERROR(__xludf.DUMMYFUNCTION("""COMPUTED_VALUE"""),43990.0)</f>
        <v>43990</v>
      </c>
      <c r="C184" s="19">
        <f>IFERROR(__xludf.DUMMYFUNCTION("""COMPUTED_VALUE"""),43996.0)</f>
        <v>43996</v>
      </c>
      <c r="D184" s="17">
        <f>IFERROR(__xludf.DUMMYFUNCTION("""COMPUTED_VALUE"""),24.0)</f>
        <v>24</v>
      </c>
      <c r="E184" s="17">
        <f>IFERROR(__xludf.DUMMYFUNCTION("""COMPUTED_VALUE"""),3983.0)</f>
        <v>3983</v>
      </c>
      <c r="F184" s="17">
        <f>IFERROR(__xludf.DUMMYFUNCTION("""COMPUTED_VALUE"""),1686.0)</f>
        <v>1686</v>
      </c>
      <c r="G184" s="20">
        <f>IFERROR(__xludf.DUMMYFUNCTION("""COMPUTED_VALUE"""),13.0)</f>
        <v>13</v>
      </c>
      <c r="H184" s="20">
        <f>IFERROR(__xludf.DUMMYFUNCTION("""COMPUTED_VALUE"""),2419.5)</f>
        <v>2419.5</v>
      </c>
      <c r="I184" s="20">
        <f>IFERROR(__xludf.DUMMYFUNCTION("""COMPUTED_VALUE"""),1841.5)</f>
        <v>1841.5</v>
      </c>
      <c r="J184" s="21">
        <f>IFERROR(__xludf.DUMMYFUNCTION("""COMPUTED_VALUE"""),1567.75)</f>
        <v>1567.75</v>
      </c>
      <c r="K184" s="30">
        <f>IFERROR(__xludf.DUMMYFUNCTION("""COMPUTED_VALUE"""),8.77559979350795)</f>
        <v>8.775599794</v>
      </c>
      <c r="L184" s="30">
        <f>IFERROR(__xludf.DUMMYFUNCTION("""COMPUTED_VALUE"""),8.16011066208309)</f>
        <v>8.160110662</v>
      </c>
      <c r="M184" s="30">
        <f>IFERROR(__xludf.DUMMYFUNCTION("""COMPUTED_VALUE"""),17.296155464903272)</f>
        <v>17.29615546</v>
      </c>
      <c r="N184" s="30">
        <f>IFERROR(__xludf.DUMMYFUNCTION("""COMPUTED_VALUE"""),35.90136392391524)</f>
        <v>35.90136392</v>
      </c>
      <c r="O184" s="30">
        <f t="shared" si="1"/>
        <v>-0.6154891314</v>
      </c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 t="str">
        <f>IFERROR(__xludf.DUMMYFUNCTION("""COMPUTED_VALUE"""),"Chile")</f>
        <v>Chile</v>
      </c>
      <c r="B185" s="18">
        <f>IFERROR(__xludf.DUMMYFUNCTION("""COMPUTED_VALUE"""),43997.0)</f>
        <v>43997</v>
      </c>
      <c r="C185" s="19">
        <f>IFERROR(__xludf.DUMMYFUNCTION("""COMPUTED_VALUE"""),44003.0)</f>
        <v>44003</v>
      </c>
      <c r="D185" s="17">
        <f>IFERROR(__xludf.DUMMYFUNCTION("""COMPUTED_VALUE"""),25.0)</f>
        <v>25</v>
      </c>
      <c r="E185" s="17">
        <f>IFERROR(__xludf.DUMMYFUNCTION("""COMPUTED_VALUE"""),3732.0)</f>
        <v>3732</v>
      </c>
      <c r="F185" s="17">
        <f>IFERROR(__xludf.DUMMYFUNCTION("""COMPUTED_VALUE"""),1156.0)</f>
        <v>1156</v>
      </c>
      <c r="G185" s="20">
        <f>IFERROR(__xludf.DUMMYFUNCTION("""COMPUTED_VALUE"""),14.0)</f>
        <v>14</v>
      </c>
      <c r="H185" s="20">
        <f>IFERROR(__xludf.DUMMYFUNCTION("""COMPUTED_VALUE"""),2465.0)</f>
        <v>2465</v>
      </c>
      <c r="I185" s="20">
        <f>IFERROR(__xludf.DUMMYFUNCTION("""COMPUTED_VALUE"""),1886.5)</f>
        <v>1886.5</v>
      </c>
      <c r="J185" s="21">
        <f>IFERROR(__xludf.DUMMYFUNCTION("""COMPUTED_VALUE"""),1306.5)</f>
        <v>1306.5</v>
      </c>
      <c r="K185" s="30">
        <f>IFERROR(__xludf.DUMMYFUNCTION("""COMPUTED_VALUE"""),6.016959289024431)</f>
        <v>6.016959289</v>
      </c>
      <c r="L185" s="30">
        <f>IFERROR(__xludf.DUMMYFUNCTION("""COMPUTED_VALUE"""),6.800309092656072)</f>
        <v>6.800309093</v>
      </c>
      <c r="M185" s="30">
        <f>IFERROR(__xludf.DUMMYFUNCTION("""COMPUTED_VALUE"""),23.313114753927703)</f>
        <v>23.31311475</v>
      </c>
      <c r="N185" s="30">
        <f>IFERROR(__xludf.DUMMYFUNCTION("""COMPUTED_VALUE"""),42.70167301657131)</f>
        <v>42.70167302</v>
      </c>
      <c r="O185" s="30">
        <f t="shared" si="1"/>
        <v>0.7833498036</v>
      </c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 t="str">
        <f>IFERROR(__xludf.DUMMYFUNCTION("""COMPUTED_VALUE"""),"Chile")</f>
        <v>Chile</v>
      </c>
      <c r="B186" s="18">
        <f>IFERROR(__xludf.DUMMYFUNCTION("""COMPUTED_VALUE"""),44004.0)</f>
        <v>44004</v>
      </c>
      <c r="C186" s="19">
        <f>IFERROR(__xludf.DUMMYFUNCTION("""COMPUTED_VALUE"""),44010.0)</f>
        <v>44010</v>
      </c>
      <c r="D186" s="17">
        <f>IFERROR(__xludf.DUMMYFUNCTION("""COMPUTED_VALUE"""),26.0)</f>
        <v>26</v>
      </c>
      <c r="E186" s="17">
        <f>IFERROR(__xludf.DUMMYFUNCTION("""COMPUTED_VALUE"""),3519.0)</f>
        <v>3519</v>
      </c>
      <c r="F186" s="17">
        <f>IFERROR(__xludf.DUMMYFUNCTION("""COMPUTED_VALUE"""),1030.0)</f>
        <v>1030</v>
      </c>
      <c r="G186" s="20">
        <f>IFERROR(__xludf.DUMMYFUNCTION("""COMPUTED_VALUE"""),15.0)</f>
        <v>15</v>
      </c>
      <c r="H186" s="20">
        <f>IFERROR(__xludf.DUMMYFUNCTION("""COMPUTED_VALUE"""),2453.5)</f>
        <v>2453.5</v>
      </c>
      <c r="I186" s="20">
        <f>IFERROR(__xludf.DUMMYFUNCTION("""COMPUTED_VALUE"""),1951.5)</f>
        <v>1951.5</v>
      </c>
      <c r="J186" s="21">
        <f>IFERROR(__xludf.DUMMYFUNCTION("""COMPUTED_VALUE"""),1078.25)</f>
        <v>1078.25</v>
      </c>
      <c r="K186" s="30">
        <f>IFERROR(__xludf.DUMMYFUNCTION("""COMPUTED_VALUE"""),5.361131546449104)</f>
        <v>5.361131546</v>
      </c>
      <c r="L186" s="30">
        <f>IFERROR(__xludf.DUMMYFUNCTION("""COMPUTED_VALUE"""),5.612271931998783)</f>
        <v>5.612271932</v>
      </c>
      <c r="M186" s="30">
        <f>IFERROR(__xludf.DUMMYFUNCTION("""COMPUTED_VALUE"""),28.674246300376808)</f>
        <v>28.6742463</v>
      </c>
      <c r="N186" s="30">
        <f>IFERROR(__xludf.DUMMYFUNCTION("""COMPUTED_VALUE"""),48.3139449485701)</f>
        <v>48.31394495</v>
      </c>
      <c r="O186" s="30">
        <f t="shared" si="1"/>
        <v>0.2511403855</v>
      </c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 t="str">
        <f>IFERROR(__xludf.DUMMYFUNCTION("""COMPUTED_VALUE"""),"Chile")</f>
        <v>Chile</v>
      </c>
      <c r="B187" s="18">
        <f>IFERROR(__xludf.DUMMYFUNCTION("""COMPUTED_VALUE"""),44011.0)</f>
        <v>44011</v>
      </c>
      <c r="C187" s="19">
        <f>IFERROR(__xludf.DUMMYFUNCTION("""COMPUTED_VALUE"""),44017.0)</f>
        <v>44017</v>
      </c>
      <c r="D187" s="17">
        <f>IFERROR(__xludf.DUMMYFUNCTION("""COMPUTED_VALUE"""),27.0)</f>
        <v>27</v>
      </c>
      <c r="E187" s="17">
        <f>IFERROR(__xludf.DUMMYFUNCTION("""COMPUTED_VALUE"""),3070.0)</f>
        <v>3070</v>
      </c>
      <c r="F187" s="17">
        <f>IFERROR(__xludf.DUMMYFUNCTION("""COMPUTED_VALUE"""),799.0)</f>
        <v>799</v>
      </c>
      <c r="G187" s="20">
        <f>IFERROR(__xludf.DUMMYFUNCTION("""COMPUTED_VALUE"""),16.0)</f>
        <v>16</v>
      </c>
      <c r="H187" s="20">
        <f>IFERROR(__xludf.DUMMYFUNCTION("""COMPUTED_VALUE"""),2375.5)</f>
        <v>2375.5</v>
      </c>
      <c r="I187" s="20">
        <f>IFERROR(__xludf.DUMMYFUNCTION("""COMPUTED_VALUE"""),1909.0)</f>
        <v>1909</v>
      </c>
      <c r="J187" s="21">
        <f>IFERROR(__xludf.DUMMYFUNCTION("""COMPUTED_VALUE"""),680.0)</f>
        <v>680</v>
      </c>
      <c r="K187" s="30">
        <f>IFERROR(__xludf.DUMMYFUNCTION("""COMPUTED_VALUE"""),4.158780685061004)</f>
        <v>4.158780685</v>
      </c>
      <c r="L187" s="30">
        <f>IFERROR(__xludf.DUMMYFUNCTION("""COMPUTED_VALUE"""),3.5393878170731945)</f>
        <v>3.539387817</v>
      </c>
      <c r="M187" s="30">
        <f>IFERROR(__xludf.DUMMYFUNCTION("""COMPUTED_VALUE"""),32.83302698543781)</f>
        <v>32.83302699</v>
      </c>
      <c r="N187" s="30">
        <f>IFERROR(__xludf.DUMMYFUNCTION("""COMPUTED_VALUE"""),51.85333276564329)</f>
        <v>51.85333277</v>
      </c>
      <c r="O187" s="30">
        <f t="shared" si="1"/>
        <v>-0.619392868</v>
      </c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 t="str">
        <f>IFERROR(__xludf.DUMMYFUNCTION("""COMPUTED_VALUE"""),"Chile")</f>
        <v>Chile</v>
      </c>
      <c r="B188" s="18">
        <f>IFERROR(__xludf.DUMMYFUNCTION("""COMPUTED_VALUE"""),44018.0)</f>
        <v>44018</v>
      </c>
      <c r="C188" s="19">
        <f>IFERROR(__xludf.DUMMYFUNCTION("""COMPUTED_VALUE"""),44024.0)</f>
        <v>44024</v>
      </c>
      <c r="D188" s="17">
        <f>IFERROR(__xludf.DUMMYFUNCTION("""COMPUTED_VALUE"""),28.0)</f>
        <v>28</v>
      </c>
      <c r="E188" s="17">
        <f>IFERROR(__xludf.DUMMYFUNCTION("""COMPUTED_VALUE"""),2967.0)</f>
        <v>2967</v>
      </c>
      <c r="F188" s="17">
        <f>IFERROR(__xludf.DUMMYFUNCTION("""COMPUTED_VALUE"""),671.0)</f>
        <v>671</v>
      </c>
      <c r="G188" s="20">
        <f>IFERROR(__xludf.DUMMYFUNCTION("""COMPUTED_VALUE"""),17.0)</f>
        <v>17</v>
      </c>
      <c r="H188" s="20">
        <f>IFERROR(__xludf.DUMMYFUNCTION("""COMPUTED_VALUE"""),2440.5)</f>
        <v>2440.5</v>
      </c>
      <c r="I188" s="20">
        <f>IFERROR(__xludf.DUMMYFUNCTION("""COMPUTED_VALUE"""),1984.5)</f>
        <v>1984.5</v>
      </c>
      <c r="J188" s="21">
        <f>IFERROR(__xludf.DUMMYFUNCTION("""COMPUTED_VALUE"""),606.25)</f>
        <v>606.25</v>
      </c>
      <c r="K188" s="30">
        <f>IFERROR(__xludf.DUMMYFUNCTION("""COMPUTED_VALUE"""),3.4925429783178146)</f>
        <v>3.492542978</v>
      </c>
      <c r="L188" s="30">
        <f>IFERROR(__xludf.DUMMYFUNCTION("""COMPUTED_VALUE"""),3.1555203883832714)</f>
        <v>3.155520388</v>
      </c>
      <c r="M188" s="30">
        <f>IFERROR(__xludf.DUMMYFUNCTION("""COMPUTED_VALUE"""),36.325569963755626)</f>
        <v>36.32556996</v>
      </c>
      <c r="N188" s="30">
        <f>IFERROR(__xludf.DUMMYFUNCTION("""COMPUTED_VALUE"""),55.00885315402656)</f>
        <v>55.00885315</v>
      </c>
      <c r="O188" s="30">
        <f t="shared" si="1"/>
        <v>-0.3370225899</v>
      </c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 t="str">
        <f>IFERROR(__xludf.DUMMYFUNCTION("""COMPUTED_VALUE"""),"Chile")</f>
        <v>Chile</v>
      </c>
      <c r="B189" s="18">
        <f>IFERROR(__xludf.DUMMYFUNCTION("""COMPUTED_VALUE"""),44025.0)</f>
        <v>44025</v>
      </c>
      <c r="C189" s="19">
        <f>IFERROR(__xludf.DUMMYFUNCTION("""COMPUTED_VALUE"""),44031.0)</f>
        <v>44031</v>
      </c>
      <c r="D189" s="17">
        <f>IFERROR(__xludf.DUMMYFUNCTION("""COMPUTED_VALUE"""),29.0)</f>
        <v>29</v>
      </c>
      <c r="E189" s="17">
        <f>IFERROR(__xludf.DUMMYFUNCTION("""COMPUTED_VALUE"""),2814.0)</f>
        <v>2814</v>
      </c>
      <c r="F189" s="17">
        <f>IFERROR(__xludf.DUMMYFUNCTION("""COMPUTED_VALUE"""),1524.0)</f>
        <v>1524</v>
      </c>
      <c r="G189" s="20">
        <f>IFERROR(__xludf.DUMMYFUNCTION("""COMPUTED_VALUE"""),18.0)</f>
        <v>18</v>
      </c>
      <c r="H189" s="20">
        <f>IFERROR(__xludf.DUMMYFUNCTION("""COMPUTED_VALUE"""),2407.0)</f>
        <v>2407</v>
      </c>
      <c r="I189" s="20">
        <f>IFERROR(__xludf.DUMMYFUNCTION("""COMPUTED_VALUE"""),1979.25)</f>
        <v>1979.25</v>
      </c>
      <c r="J189" s="21">
        <f>IFERROR(__xludf.DUMMYFUNCTION("""COMPUTED_VALUE"""),389.25)</f>
        <v>389.25</v>
      </c>
      <c r="K189" s="30">
        <f>IFERROR(__xludf.DUMMYFUNCTION("""COMPUTED_VALUE"""),7.932392695911102)</f>
        <v>7.932392696</v>
      </c>
      <c r="L189" s="30">
        <f>IFERROR(__xludf.DUMMYFUNCTION("""COMPUTED_VALUE"""),2.0260392761702075)</f>
        <v>2.026039276</v>
      </c>
      <c r="M189" s="30">
        <f>IFERROR(__xludf.DUMMYFUNCTION("""COMPUTED_VALUE"""),44.25796265966673)</f>
        <v>44.25796266</v>
      </c>
      <c r="N189" s="30">
        <f>IFERROR(__xludf.DUMMYFUNCTION("""COMPUTED_VALUE"""),57.03489243019677)</f>
        <v>57.03489243</v>
      </c>
      <c r="O189" s="30">
        <f t="shared" si="1"/>
        <v>-5.90635342</v>
      </c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 t="str">
        <f>IFERROR(__xludf.DUMMYFUNCTION("""COMPUTED_VALUE"""),"Chile")</f>
        <v>Chile</v>
      </c>
      <c r="B190" s="18">
        <f>IFERROR(__xludf.DUMMYFUNCTION("""COMPUTED_VALUE"""),44032.0)</f>
        <v>44032</v>
      </c>
      <c r="C190" s="19">
        <f>IFERROR(__xludf.DUMMYFUNCTION("""COMPUTED_VALUE"""),44038.0)</f>
        <v>44038</v>
      </c>
      <c r="D190" s="17">
        <f>IFERROR(__xludf.DUMMYFUNCTION("""COMPUTED_VALUE"""),30.0)</f>
        <v>30</v>
      </c>
      <c r="E190" s="17">
        <f>IFERROR(__xludf.DUMMYFUNCTION("""COMPUTED_VALUE"""),2698.0)</f>
        <v>2698</v>
      </c>
      <c r="F190" s="17">
        <f>IFERROR(__xludf.DUMMYFUNCTION("""COMPUTED_VALUE"""),609.0)</f>
        <v>609</v>
      </c>
      <c r="G190" s="20">
        <f>IFERROR(__xludf.DUMMYFUNCTION("""COMPUTED_VALUE"""),19.0)</f>
        <v>19</v>
      </c>
      <c r="H190" s="20">
        <f>IFERROR(__xludf.DUMMYFUNCTION("""COMPUTED_VALUE"""),2554.0)</f>
        <v>2554</v>
      </c>
      <c r="I190" s="20">
        <f>IFERROR(__xludf.DUMMYFUNCTION("""COMPUTED_VALUE"""),1955.5)</f>
        <v>1955.5</v>
      </c>
      <c r="J190" s="21">
        <f>IFERROR(__xludf.DUMMYFUNCTION("""COMPUTED_VALUE"""),328.25)</f>
        <v>328.25</v>
      </c>
      <c r="K190" s="30">
        <f>IFERROR(__xludf.DUMMYFUNCTION("""COMPUTED_VALUE"""),3.1698340891140817)</f>
        <v>3.169834089</v>
      </c>
      <c r="L190" s="30">
        <f>IFERROR(__xludf.DUMMYFUNCTION("""COMPUTED_VALUE"""),1.7085353690504064)</f>
        <v>1.708535369</v>
      </c>
      <c r="M190" s="30">
        <f>IFERROR(__xludf.DUMMYFUNCTION("""COMPUTED_VALUE"""),47.427796748780814)</f>
        <v>47.42779675</v>
      </c>
      <c r="N190" s="30">
        <f>IFERROR(__xludf.DUMMYFUNCTION("""COMPUTED_VALUE"""),58.74342779924718)</f>
        <v>58.7434278</v>
      </c>
      <c r="O190" s="30">
        <f t="shared" si="1"/>
        <v>-1.46129872</v>
      </c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 t="str">
        <f>IFERROR(__xludf.DUMMYFUNCTION("""COMPUTED_VALUE"""),"Chile")</f>
        <v>Chile</v>
      </c>
      <c r="B191" s="18">
        <f>IFERROR(__xludf.DUMMYFUNCTION("""COMPUTED_VALUE"""),44039.0)</f>
        <v>44039</v>
      </c>
      <c r="C191" s="19">
        <f>IFERROR(__xludf.DUMMYFUNCTION("""COMPUTED_VALUE"""),44045.0)</f>
        <v>44045</v>
      </c>
      <c r="D191" s="17">
        <f>IFERROR(__xludf.DUMMYFUNCTION("""COMPUTED_VALUE"""),31.0)</f>
        <v>31</v>
      </c>
      <c r="E191" s="17">
        <f>IFERROR(__xludf.DUMMYFUNCTION("""COMPUTED_VALUE"""),2653.0)</f>
        <v>2653</v>
      </c>
      <c r="F191" s="17">
        <f>IFERROR(__xludf.DUMMYFUNCTION("""COMPUTED_VALUE"""),496.0)</f>
        <v>496</v>
      </c>
      <c r="G191" s="20">
        <f>IFERROR(__xludf.DUMMYFUNCTION("""COMPUTED_VALUE"""),20.0)</f>
        <v>20</v>
      </c>
      <c r="H191" s="20">
        <f>IFERROR(__xludf.DUMMYFUNCTION("""COMPUTED_VALUE"""),2687.0)</f>
        <v>2687</v>
      </c>
      <c r="I191" s="20">
        <f>IFERROR(__xludf.DUMMYFUNCTION("""COMPUTED_VALUE"""),2037.25)</f>
        <v>2037.25</v>
      </c>
      <c r="J191" s="21">
        <f>IFERROR(__xludf.DUMMYFUNCTION("""COMPUTED_VALUE"""),309.0)</f>
        <v>309</v>
      </c>
      <c r="K191" s="30">
        <f>IFERROR(__xludf.DUMMYFUNCTION("""COMPUTED_VALUE"""),2.58167111362986)</f>
        <v>2.581671114</v>
      </c>
      <c r="L191" s="30">
        <f>IFERROR(__xludf.DUMMYFUNCTION("""COMPUTED_VALUE"""),1.6083394639347313)</f>
        <v>1.608339464</v>
      </c>
      <c r="M191" s="30">
        <f>IFERROR(__xludf.DUMMYFUNCTION("""COMPUTED_VALUE"""),50.00946786241067)</f>
        <v>50.00946786</v>
      </c>
      <c r="N191" s="30">
        <f>IFERROR(__xludf.DUMMYFUNCTION("""COMPUTED_VALUE"""),60.35176726318191)</f>
        <v>60.35176726</v>
      </c>
      <c r="O191" s="30">
        <f t="shared" si="1"/>
        <v>-0.9733316497</v>
      </c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 t="str">
        <f>IFERROR(__xludf.DUMMYFUNCTION("""COMPUTED_VALUE"""),"Chile")</f>
        <v>Chile</v>
      </c>
      <c r="B192" s="18">
        <f>IFERROR(__xludf.DUMMYFUNCTION("""COMPUTED_VALUE"""),44046.0)</f>
        <v>44046</v>
      </c>
      <c r="C192" s="19">
        <f>IFERROR(__xludf.DUMMYFUNCTION("""COMPUTED_VALUE"""),44052.0)</f>
        <v>44052</v>
      </c>
      <c r="D192" s="17">
        <f>IFERROR(__xludf.DUMMYFUNCTION("""COMPUTED_VALUE"""),32.0)</f>
        <v>32</v>
      </c>
      <c r="E192" s="17">
        <f>IFERROR(__xludf.DUMMYFUNCTION("""COMPUTED_VALUE"""),2516.0)</f>
        <v>2516</v>
      </c>
      <c r="F192" s="17">
        <f>IFERROR(__xludf.DUMMYFUNCTION("""COMPUTED_VALUE"""),469.0)</f>
        <v>469</v>
      </c>
      <c r="G192" s="20">
        <f>IFERROR(__xludf.DUMMYFUNCTION("""COMPUTED_VALUE"""),21.0)</f>
        <v>21</v>
      </c>
      <c r="H192" s="20">
        <f>IFERROR(__xludf.DUMMYFUNCTION("""COMPUTED_VALUE"""),3007.0)</f>
        <v>3007</v>
      </c>
      <c r="I192" s="20">
        <f>IFERROR(__xludf.DUMMYFUNCTION("""COMPUTED_VALUE"""),2176.5)</f>
        <v>2176.5</v>
      </c>
      <c r="J192" s="21">
        <f>IFERROR(__xludf.DUMMYFUNCTION("""COMPUTED_VALUE"""),238.25)</f>
        <v>238.25</v>
      </c>
      <c r="K192" s="30">
        <f>IFERROR(__xludf.DUMMYFUNCTION("""COMPUTED_VALUE"""),2.4411365973637182)</f>
        <v>2.441136597</v>
      </c>
      <c r="L192" s="30">
        <f>IFERROR(__xludf.DUMMYFUNCTION("""COMPUTED_VALUE"""),1.240086981496601)</f>
        <v>1.240086981</v>
      </c>
      <c r="M192" s="30">
        <f>IFERROR(__xludf.DUMMYFUNCTION("""COMPUTED_VALUE"""),52.45060445977439)</f>
        <v>52.45060446</v>
      </c>
      <c r="N192" s="30">
        <f>IFERROR(__xludf.DUMMYFUNCTION("""COMPUTED_VALUE"""),61.591854244678515)</f>
        <v>61.59185424</v>
      </c>
      <c r="O192" s="30">
        <f t="shared" si="1"/>
        <v>-1.201049616</v>
      </c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 t="str">
        <f>IFERROR(__xludf.DUMMYFUNCTION("""COMPUTED_VALUE"""),"Chile")</f>
        <v>Chile</v>
      </c>
      <c r="B193" s="18">
        <f>IFERROR(__xludf.DUMMYFUNCTION("""COMPUTED_VALUE"""),44053.0)</f>
        <v>44053</v>
      </c>
      <c r="C193" s="19">
        <f>IFERROR(__xludf.DUMMYFUNCTION("""COMPUTED_VALUE"""),44059.0)</f>
        <v>44059</v>
      </c>
      <c r="D193" s="17">
        <f>IFERROR(__xludf.DUMMYFUNCTION("""COMPUTED_VALUE"""),33.0)</f>
        <v>33</v>
      </c>
      <c r="E193" s="17">
        <f>IFERROR(__xludf.DUMMYFUNCTION("""COMPUTED_VALUE"""),2431.0)</f>
        <v>2431</v>
      </c>
      <c r="F193" s="17">
        <f>IFERROR(__xludf.DUMMYFUNCTION("""COMPUTED_VALUE"""),375.0)</f>
        <v>375</v>
      </c>
      <c r="G193" s="20">
        <f>IFERROR(__xludf.DUMMYFUNCTION("""COMPUTED_VALUE"""),22.0)</f>
        <v>22</v>
      </c>
      <c r="H193" s="20">
        <f>IFERROR(__xludf.DUMMYFUNCTION("""COMPUTED_VALUE"""),3204.0)</f>
        <v>3204</v>
      </c>
      <c r="I193" s="20">
        <f>IFERROR(__xludf.DUMMYFUNCTION("""COMPUTED_VALUE"""),2208.0)</f>
        <v>2208</v>
      </c>
      <c r="J193" s="21">
        <f>IFERROR(__xludf.DUMMYFUNCTION("""COMPUTED_VALUE"""),186.0)</f>
        <v>186</v>
      </c>
      <c r="K193" s="30">
        <f>IFERROR(__xludf.DUMMYFUNCTION("""COMPUTED_VALUE"""),1.9518682814741883)</f>
        <v>1.951868281</v>
      </c>
      <c r="L193" s="30">
        <f>IFERROR(__xludf.DUMMYFUNCTION("""COMPUTED_VALUE"""),0.9681266676111975)</f>
        <v>0.9681266676</v>
      </c>
      <c r="M193" s="30">
        <f>IFERROR(__xludf.DUMMYFUNCTION("""COMPUTED_VALUE"""),54.40247274124858)</f>
        <v>54.40247274</v>
      </c>
      <c r="N193" s="30">
        <f>IFERROR(__xludf.DUMMYFUNCTION("""COMPUTED_VALUE"""),62.55998091228971)</f>
        <v>62.55998091</v>
      </c>
      <c r="O193" s="30">
        <f t="shared" si="1"/>
        <v>-0.9837416139</v>
      </c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 t="str">
        <f>IFERROR(__xludf.DUMMYFUNCTION("""COMPUTED_VALUE"""),"Chile")</f>
        <v>Chile</v>
      </c>
      <c r="B194" s="18">
        <f>IFERROR(__xludf.DUMMYFUNCTION("""COMPUTED_VALUE"""),44060.0)</f>
        <v>44060</v>
      </c>
      <c r="C194" s="19">
        <f>IFERROR(__xludf.DUMMYFUNCTION("""COMPUTED_VALUE"""),44066.0)</f>
        <v>44066</v>
      </c>
      <c r="D194" s="17">
        <f>IFERROR(__xludf.DUMMYFUNCTION("""COMPUTED_VALUE"""),34.0)</f>
        <v>34</v>
      </c>
      <c r="E194" s="17">
        <f>IFERROR(__xludf.DUMMYFUNCTION("""COMPUTED_VALUE"""),2596.0)</f>
        <v>2596</v>
      </c>
      <c r="F194" s="17">
        <f>IFERROR(__xludf.DUMMYFUNCTION("""COMPUTED_VALUE"""),400.0)</f>
        <v>400</v>
      </c>
      <c r="G194" s="20">
        <f>IFERROR(__xludf.DUMMYFUNCTION("""COMPUTED_VALUE"""),23.0)</f>
        <v>23</v>
      </c>
      <c r="H194" s="20">
        <f>IFERROR(__xludf.DUMMYFUNCTION("""COMPUTED_VALUE"""),3515.5)</f>
        <v>3515.5</v>
      </c>
      <c r="I194" s="20">
        <f>IFERROR(__xludf.DUMMYFUNCTION("""COMPUTED_VALUE"""),2310.75)</f>
        <v>2310.75</v>
      </c>
      <c r="J194" s="21">
        <f>IFERROR(__xludf.DUMMYFUNCTION("""COMPUTED_VALUE"""),373.0)</f>
        <v>373</v>
      </c>
      <c r="K194" s="30">
        <f>IFERROR(__xludf.DUMMYFUNCTION("""COMPUTED_VALUE"""),2.0819928335724676)</f>
        <v>2.081992834</v>
      </c>
      <c r="L194" s="30">
        <f>IFERROR(__xludf.DUMMYFUNCTION("""COMPUTED_VALUE"""),1.941458317306326)</f>
        <v>1.941458317</v>
      </c>
      <c r="M194" s="30">
        <f>IFERROR(__xludf.DUMMYFUNCTION("""COMPUTED_VALUE"""),56.484465574821044)</f>
        <v>56.48446557</v>
      </c>
      <c r="N194" s="30">
        <f>IFERROR(__xludf.DUMMYFUNCTION("""COMPUTED_VALUE"""),64.50143922959603)</f>
        <v>64.50143923</v>
      </c>
      <c r="O194" s="30">
        <f t="shared" si="1"/>
        <v>-0.1405345163</v>
      </c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 t="str">
        <f>IFERROR(__xludf.DUMMYFUNCTION("""COMPUTED_VALUE"""),"Chile")</f>
        <v>Chile</v>
      </c>
      <c r="B195" s="18">
        <f>IFERROR(__xludf.DUMMYFUNCTION("""COMPUTED_VALUE"""),44067.0)</f>
        <v>44067</v>
      </c>
      <c r="C195" s="19">
        <f>IFERROR(__xludf.DUMMYFUNCTION("""COMPUTED_VALUE"""),44073.0)</f>
        <v>44073</v>
      </c>
      <c r="D195" s="17">
        <f>IFERROR(__xludf.DUMMYFUNCTION("""COMPUTED_VALUE"""),35.0)</f>
        <v>35</v>
      </c>
      <c r="E195" s="17">
        <f>IFERROR(__xludf.DUMMYFUNCTION("""COMPUTED_VALUE"""),2479.0)</f>
        <v>2479</v>
      </c>
      <c r="F195" s="17">
        <f>IFERROR(__xludf.DUMMYFUNCTION("""COMPUTED_VALUE"""),392.0)</f>
        <v>392</v>
      </c>
      <c r="G195" s="20">
        <f>IFERROR(__xludf.DUMMYFUNCTION("""COMPUTED_VALUE"""),24.0)</f>
        <v>24</v>
      </c>
      <c r="H195" s="20">
        <f>IFERROR(__xludf.DUMMYFUNCTION("""COMPUTED_VALUE"""),3581.5)</f>
        <v>3581.5</v>
      </c>
      <c r="I195" s="20">
        <f>IFERROR(__xludf.DUMMYFUNCTION("""COMPUTED_VALUE"""),2415.25)</f>
        <v>2415.25</v>
      </c>
      <c r="J195" s="21">
        <f>IFERROR(__xludf.DUMMYFUNCTION("""COMPUTED_VALUE"""),324.0)</f>
        <v>324</v>
      </c>
      <c r="K195" s="30">
        <f>IFERROR(__xludf.DUMMYFUNCTION("""COMPUTED_VALUE"""),2.0403529769010182)</f>
        <v>2.040352977</v>
      </c>
      <c r="L195" s="30">
        <f>IFERROR(__xludf.DUMMYFUNCTION("""COMPUTED_VALUE"""),1.6864141951936986)</f>
        <v>1.686414195</v>
      </c>
      <c r="M195" s="30">
        <f>IFERROR(__xludf.DUMMYFUNCTION("""COMPUTED_VALUE"""),58.52481855172206)</f>
        <v>58.52481855</v>
      </c>
      <c r="N195" s="30">
        <f>IFERROR(__xludf.DUMMYFUNCTION("""COMPUTED_VALUE"""),66.18785342478972)</f>
        <v>66.18785342</v>
      </c>
      <c r="O195" s="30">
        <f t="shared" si="1"/>
        <v>-0.3539387817</v>
      </c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 t="str">
        <f>IFERROR(__xludf.DUMMYFUNCTION("""COMPUTED_VALUE"""),"Chile")</f>
        <v>Chile</v>
      </c>
      <c r="B196" s="18">
        <f>IFERROR(__xludf.DUMMYFUNCTION("""COMPUTED_VALUE"""),44074.0)</f>
        <v>44074</v>
      </c>
      <c r="C196" s="19">
        <f>IFERROR(__xludf.DUMMYFUNCTION("""COMPUTED_VALUE"""),44080.0)</f>
        <v>44080</v>
      </c>
      <c r="D196" s="17">
        <f>IFERROR(__xludf.DUMMYFUNCTION("""COMPUTED_VALUE"""),36.0)</f>
        <v>36</v>
      </c>
      <c r="E196" s="17">
        <f>IFERROR(__xludf.DUMMYFUNCTION("""COMPUTED_VALUE"""),2395.0)</f>
        <v>2395</v>
      </c>
      <c r="F196" s="17">
        <f>IFERROR(__xludf.DUMMYFUNCTION("""COMPUTED_VALUE"""),348.0)</f>
        <v>348</v>
      </c>
      <c r="G196" s="20">
        <f>IFERROR(__xludf.DUMMYFUNCTION("""COMPUTED_VALUE"""),25.0)</f>
        <v>25</v>
      </c>
      <c r="H196" s="20">
        <f>IFERROR(__xludf.DUMMYFUNCTION("""COMPUTED_VALUE"""),3463.0)</f>
        <v>3463</v>
      </c>
      <c r="I196" s="20">
        <f>IFERROR(__xludf.DUMMYFUNCTION("""COMPUTED_VALUE"""),2425.5)</f>
        <v>2425.5</v>
      </c>
      <c r="J196" s="21">
        <f>IFERROR(__xludf.DUMMYFUNCTION("""COMPUTED_VALUE"""),181.75)</f>
        <v>181.75</v>
      </c>
      <c r="K196" s="30">
        <f>IFERROR(__xludf.DUMMYFUNCTION("""COMPUTED_VALUE"""),1.8113337652080468)</f>
        <v>1.811333765</v>
      </c>
      <c r="L196" s="30">
        <f>IFERROR(__xludf.DUMMYFUNCTION("""COMPUTED_VALUE"""),0.94600549375449)</f>
        <v>0.9460054938</v>
      </c>
      <c r="M196" s="30">
        <f>IFERROR(__xludf.DUMMYFUNCTION("""COMPUTED_VALUE"""),60.33615231693011)</f>
        <v>60.33615232</v>
      </c>
      <c r="N196" s="30">
        <f>IFERROR(__xludf.DUMMYFUNCTION("""COMPUTED_VALUE"""),67.1338589185442)</f>
        <v>67.13385892</v>
      </c>
      <c r="O196" s="30">
        <f t="shared" si="1"/>
        <v>-0.8653282715</v>
      </c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 t="str">
        <f>IFERROR(__xludf.DUMMYFUNCTION("""COMPUTED_VALUE"""),"Chile")</f>
        <v>Chile</v>
      </c>
      <c r="B197" s="18">
        <f>IFERROR(__xludf.DUMMYFUNCTION("""COMPUTED_VALUE"""),44081.0)</f>
        <v>44081</v>
      </c>
      <c r="C197" s="19">
        <f>IFERROR(__xludf.DUMMYFUNCTION("""COMPUTED_VALUE"""),44087.0)</f>
        <v>44087</v>
      </c>
      <c r="D197" s="17">
        <f>IFERROR(__xludf.DUMMYFUNCTION("""COMPUTED_VALUE"""),37.0)</f>
        <v>37</v>
      </c>
      <c r="E197" s="17">
        <f>IFERROR(__xludf.DUMMYFUNCTION("""COMPUTED_VALUE"""),2405.0)</f>
        <v>2405</v>
      </c>
      <c r="F197" s="17">
        <f>IFERROR(__xludf.DUMMYFUNCTION("""COMPUTED_VALUE"""),357.0)</f>
        <v>357</v>
      </c>
      <c r="G197" s="20">
        <f>IFERROR(__xludf.DUMMYFUNCTION("""COMPUTED_VALUE"""),26.0)</f>
        <v>26</v>
      </c>
      <c r="H197" s="20">
        <f>IFERROR(__xludf.DUMMYFUNCTION("""COMPUTED_VALUE"""),3422.5)</f>
        <v>3422.5</v>
      </c>
      <c r="I197" s="20">
        <f>IFERROR(__xludf.DUMMYFUNCTION("""COMPUTED_VALUE"""),2440.75)</f>
        <v>2440.75</v>
      </c>
      <c r="J197" s="21">
        <f>IFERROR(__xludf.DUMMYFUNCTION("""COMPUTED_VALUE"""),250.75)</f>
        <v>250.75</v>
      </c>
      <c r="K197" s="30">
        <f>IFERROR(__xludf.DUMMYFUNCTION("""COMPUTED_VALUE"""),1.8581786039634272)</f>
        <v>1.858178604</v>
      </c>
      <c r="L197" s="30">
        <f>IFERROR(__xludf.DUMMYFUNCTION("""COMPUTED_VALUE"""),1.3051492575457406)</f>
        <v>1.305149258</v>
      </c>
      <c r="M197" s="30">
        <f>IFERROR(__xludf.DUMMYFUNCTION("""COMPUTED_VALUE"""),62.194330920893535)</f>
        <v>62.19433092</v>
      </c>
      <c r="N197" s="30">
        <f>IFERROR(__xludf.DUMMYFUNCTION("""COMPUTED_VALUE"""),68.43900817608994)</f>
        <v>68.43900818</v>
      </c>
      <c r="O197" s="30">
        <f t="shared" si="1"/>
        <v>-0.5530293464</v>
      </c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 t="str">
        <f>IFERROR(__xludf.DUMMYFUNCTION("""COMPUTED_VALUE"""),"Chile")</f>
        <v>Chile</v>
      </c>
      <c r="B198" s="18">
        <f>IFERROR(__xludf.DUMMYFUNCTION("""COMPUTED_VALUE"""),44088.0)</f>
        <v>44088</v>
      </c>
      <c r="C198" s="19">
        <f>IFERROR(__xludf.DUMMYFUNCTION("""COMPUTED_VALUE"""),44094.0)</f>
        <v>44094</v>
      </c>
      <c r="D198" s="17">
        <f>IFERROR(__xludf.DUMMYFUNCTION("""COMPUTED_VALUE"""),38.0)</f>
        <v>38</v>
      </c>
      <c r="E198" s="17">
        <f>IFERROR(__xludf.DUMMYFUNCTION("""COMPUTED_VALUE"""),2401.0)</f>
        <v>2401</v>
      </c>
      <c r="F198" s="17">
        <f>IFERROR(__xludf.DUMMYFUNCTION("""COMPUTED_VALUE"""),337.0)</f>
        <v>337</v>
      </c>
      <c r="G198" s="20">
        <f>IFERROR(__xludf.DUMMYFUNCTION("""COMPUTED_VALUE"""),27.0)</f>
        <v>27</v>
      </c>
      <c r="H198" s="20">
        <f>IFERROR(__xludf.DUMMYFUNCTION("""COMPUTED_VALUE"""),3094.5)</f>
        <v>3094.5</v>
      </c>
      <c r="I198" s="20">
        <f>IFERROR(__xludf.DUMMYFUNCTION("""COMPUTED_VALUE"""),2390.0)</f>
        <v>2390</v>
      </c>
      <c r="J198" s="21">
        <f>IFERROR(__xludf.DUMMYFUNCTION("""COMPUTED_VALUE"""),187.25)</f>
        <v>187.25</v>
      </c>
      <c r="K198" s="30">
        <f>IFERROR(__xludf.DUMMYFUNCTION("""COMPUTED_VALUE"""),1.7540789622848039)</f>
        <v>1.754078962</v>
      </c>
      <c r="L198" s="30">
        <f>IFERROR(__xludf.DUMMYFUNCTION("""COMPUTED_VALUE"""),0.9746328952161113)</f>
        <v>0.9746328952</v>
      </c>
      <c r="M198" s="30">
        <f>IFERROR(__xludf.DUMMYFUNCTION("""COMPUTED_VALUE"""),63.948409883178336)</f>
        <v>63.94840988</v>
      </c>
      <c r="N198" s="30">
        <f>IFERROR(__xludf.DUMMYFUNCTION("""COMPUTED_VALUE"""),69.41364107130606)</f>
        <v>69.41364107</v>
      </c>
      <c r="O198" s="30">
        <f t="shared" si="1"/>
        <v>-0.7794460671</v>
      </c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 t="str">
        <f>IFERROR(__xludf.DUMMYFUNCTION("""COMPUTED_VALUE"""),"Chile")</f>
        <v>Chile</v>
      </c>
      <c r="B199" s="18">
        <f>IFERROR(__xludf.DUMMYFUNCTION("""COMPUTED_VALUE"""),44095.0)</f>
        <v>44095</v>
      </c>
      <c r="C199" s="19">
        <f>IFERROR(__xludf.DUMMYFUNCTION("""COMPUTED_VALUE"""),44101.0)</f>
        <v>44101</v>
      </c>
      <c r="D199" s="17">
        <f>IFERROR(__xludf.DUMMYFUNCTION("""COMPUTED_VALUE"""),39.0)</f>
        <v>39</v>
      </c>
      <c r="E199" s="17">
        <f>IFERROR(__xludf.DUMMYFUNCTION("""COMPUTED_VALUE"""),2364.0)</f>
        <v>2364</v>
      </c>
      <c r="F199" s="17">
        <f>IFERROR(__xludf.DUMMYFUNCTION("""COMPUTED_VALUE"""),355.0)</f>
        <v>355</v>
      </c>
      <c r="G199" s="20">
        <f>IFERROR(__xludf.DUMMYFUNCTION("""COMPUTED_VALUE"""),28.0)</f>
        <v>28</v>
      </c>
      <c r="H199" s="20">
        <f>IFERROR(__xludf.DUMMYFUNCTION("""COMPUTED_VALUE"""),3004.5)</f>
        <v>3004.5</v>
      </c>
      <c r="I199" s="20">
        <f>IFERROR(__xludf.DUMMYFUNCTION("""COMPUTED_VALUE"""),2360.75)</f>
        <v>2360.75</v>
      </c>
      <c r="J199" s="21">
        <f>IFERROR(__xludf.DUMMYFUNCTION("""COMPUTED_VALUE"""),241.5)</f>
        <v>241.5</v>
      </c>
      <c r="K199" s="30">
        <f>IFERROR(__xludf.DUMMYFUNCTION("""COMPUTED_VALUE"""),1.847768639795565)</f>
        <v>1.84776864</v>
      </c>
      <c r="L199" s="30">
        <f>IFERROR(__xludf.DUMMYFUNCTION("""COMPUTED_VALUE"""),1.2570031732693774)</f>
        <v>1.257003173</v>
      </c>
      <c r="M199" s="30">
        <f>IFERROR(__xludf.DUMMYFUNCTION("""COMPUTED_VALUE"""),65.7961785229739)</f>
        <v>65.79617852</v>
      </c>
      <c r="N199" s="30">
        <f>IFERROR(__xludf.DUMMYFUNCTION("""COMPUTED_VALUE"""),70.67064424457544)</f>
        <v>70.67064424</v>
      </c>
      <c r="O199" s="30">
        <f t="shared" si="1"/>
        <v>-0.5907654665</v>
      </c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 t="str">
        <f>IFERROR(__xludf.DUMMYFUNCTION("""COMPUTED_VALUE"""),"Chile")</f>
        <v>Chile</v>
      </c>
      <c r="B200" s="18">
        <f>IFERROR(__xludf.DUMMYFUNCTION("""COMPUTED_VALUE"""),44102.0)</f>
        <v>44102</v>
      </c>
      <c r="C200" s="19">
        <f>IFERROR(__xludf.DUMMYFUNCTION("""COMPUTED_VALUE"""),44108.0)</f>
        <v>44108</v>
      </c>
      <c r="D200" s="17">
        <f>IFERROR(__xludf.DUMMYFUNCTION("""COMPUTED_VALUE"""),40.0)</f>
        <v>40</v>
      </c>
      <c r="E200" s="17">
        <f>IFERROR(__xludf.DUMMYFUNCTION("""COMPUTED_VALUE"""),2340.0)</f>
        <v>2340</v>
      </c>
      <c r="F200" s="17">
        <f>IFERROR(__xludf.DUMMYFUNCTION("""COMPUTED_VALUE"""),338.0)</f>
        <v>338</v>
      </c>
      <c r="G200" s="20">
        <f>IFERROR(__xludf.DUMMYFUNCTION("""COMPUTED_VALUE"""),29.0)</f>
        <v>29</v>
      </c>
      <c r="H200" s="20">
        <f>IFERROR(__xludf.DUMMYFUNCTION("""COMPUTED_VALUE"""),2840.0)</f>
        <v>2840</v>
      </c>
      <c r="I200" s="20">
        <f>IFERROR(__xludf.DUMMYFUNCTION("""COMPUTED_VALUE"""),2424.75)</f>
        <v>2424.75</v>
      </c>
      <c r="J200" s="21">
        <f>IFERROR(__xludf.DUMMYFUNCTION("""COMPUTED_VALUE"""),270.75)</f>
        <v>270.75</v>
      </c>
      <c r="K200" s="30">
        <f>IFERROR(__xludf.DUMMYFUNCTION("""COMPUTED_VALUE"""),1.7592839443687351)</f>
        <v>1.759283944</v>
      </c>
      <c r="L200" s="30">
        <f>IFERROR(__xludf.DUMMYFUNCTION("""COMPUTED_VALUE"""),1.4092488992243641)</f>
        <v>1.409248899</v>
      </c>
      <c r="M200" s="30">
        <f>IFERROR(__xludf.DUMMYFUNCTION("""COMPUTED_VALUE"""),67.55546246734264)</f>
        <v>67.55546247</v>
      </c>
      <c r="N200" s="30">
        <f>IFERROR(__xludf.DUMMYFUNCTION("""COMPUTED_VALUE"""),72.07989314379981)</f>
        <v>72.07989314</v>
      </c>
      <c r="O200" s="30">
        <f t="shared" si="1"/>
        <v>-0.3500350451</v>
      </c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 t="str">
        <f>IFERROR(__xludf.DUMMYFUNCTION("""COMPUTED_VALUE"""),"Chile")</f>
        <v>Chile</v>
      </c>
      <c r="B201" s="18">
        <f>IFERROR(__xludf.DUMMYFUNCTION("""COMPUTED_VALUE"""),44109.0)</f>
        <v>44109</v>
      </c>
      <c r="C201" s="19">
        <f>IFERROR(__xludf.DUMMYFUNCTION("""COMPUTED_VALUE"""),44115.0)</f>
        <v>44115</v>
      </c>
      <c r="D201" s="17">
        <f>IFERROR(__xludf.DUMMYFUNCTION("""COMPUTED_VALUE"""),41.0)</f>
        <v>41</v>
      </c>
      <c r="E201" s="17">
        <f>IFERROR(__xludf.DUMMYFUNCTION("""COMPUTED_VALUE"""),2396.0)</f>
        <v>2396</v>
      </c>
      <c r="F201" s="17">
        <f>IFERROR(__xludf.DUMMYFUNCTION("""COMPUTED_VALUE"""),339.0)</f>
        <v>339</v>
      </c>
      <c r="G201" s="20">
        <f>IFERROR(__xludf.DUMMYFUNCTION("""COMPUTED_VALUE"""),30.0)</f>
        <v>30</v>
      </c>
      <c r="H201" s="20">
        <f>IFERROR(__xludf.DUMMYFUNCTION("""COMPUTED_VALUE"""),2721.5)</f>
        <v>2721.5</v>
      </c>
      <c r="I201" s="20">
        <f>IFERROR(__xludf.DUMMYFUNCTION("""COMPUTED_VALUE"""),2369.75)</f>
        <v>2369.75</v>
      </c>
      <c r="J201" s="21">
        <f>IFERROR(__xludf.DUMMYFUNCTION("""COMPUTED_VALUE"""),390.5)</f>
        <v>390.5</v>
      </c>
      <c r="K201" s="30">
        <f>IFERROR(__xludf.DUMMYFUNCTION("""COMPUTED_VALUE"""),1.7644889264526662)</f>
        <v>1.764488926</v>
      </c>
      <c r="L201" s="30">
        <f>IFERROR(__xludf.DUMMYFUNCTION("""COMPUTED_VALUE"""),2.0325455037751214)</f>
        <v>2.032545504</v>
      </c>
      <c r="M201" s="30">
        <f>IFERROR(__xludf.DUMMYFUNCTION("""COMPUTED_VALUE"""),69.31995139379531)</f>
        <v>69.31995139</v>
      </c>
      <c r="N201" s="30">
        <f>IFERROR(__xludf.DUMMYFUNCTION("""COMPUTED_VALUE"""),74.11243864757493)</f>
        <v>74.11243865</v>
      </c>
      <c r="O201" s="30">
        <f t="shared" si="1"/>
        <v>0.2680565773</v>
      </c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 t="str">
        <f>IFERROR(__xludf.DUMMYFUNCTION("""COMPUTED_VALUE"""),"Chile")</f>
        <v>Chile</v>
      </c>
      <c r="B202" s="18">
        <f>IFERROR(__xludf.DUMMYFUNCTION("""COMPUTED_VALUE"""),44116.0)</f>
        <v>44116</v>
      </c>
      <c r="C202" s="19">
        <f>IFERROR(__xludf.DUMMYFUNCTION("""COMPUTED_VALUE"""),44122.0)</f>
        <v>44122</v>
      </c>
      <c r="D202" s="17">
        <f>IFERROR(__xludf.DUMMYFUNCTION("""COMPUTED_VALUE"""),42.0)</f>
        <v>42</v>
      </c>
      <c r="E202" s="17">
        <f>IFERROR(__xludf.DUMMYFUNCTION("""COMPUTED_VALUE"""),2307.0)</f>
        <v>2307</v>
      </c>
      <c r="F202" s="17">
        <f>IFERROR(__xludf.DUMMYFUNCTION("""COMPUTED_VALUE"""),317.0)</f>
        <v>317</v>
      </c>
      <c r="G202" s="20">
        <f>IFERROR(__xludf.DUMMYFUNCTION("""COMPUTED_VALUE"""),31.0)</f>
        <v>31</v>
      </c>
      <c r="H202" s="20">
        <f>IFERROR(__xludf.DUMMYFUNCTION("""COMPUTED_VALUE"""),2646.0)</f>
        <v>2646</v>
      </c>
      <c r="I202" s="20">
        <f>IFERROR(__xludf.DUMMYFUNCTION("""COMPUTED_VALUE"""),2344.0)</f>
        <v>2344</v>
      </c>
      <c r="J202" s="21">
        <f>IFERROR(__xludf.DUMMYFUNCTION("""COMPUTED_VALUE"""),325.75)</f>
        <v>325.75</v>
      </c>
      <c r="K202" s="30">
        <f>IFERROR(__xludf.DUMMYFUNCTION("""COMPUTED_VALUE"""),1.6499793206061806)</f>
        <v>1.649979321</v>
      </c>
      <c r="L202" s="30">
        <f>IFERROR(__xludf.DUMMYFUNCTION("""COMPUTED_VALUE"""),1.6955229138405783)</f>
        <v>1.695522914</v>
      </c>
      <c r="M202" s="30">
        <f>IFERROR(__xludf.DUMMYFUNCTION("""COMPUTED_VALUE"""),70.96993071440149)</f>
        <v>70.96993071</v>
      </c>
      <c r="N202" s="30">
        <f>IFERROR(__xludf.DUMMYFUNCTION("""COMPUTED_VALUE"""),75.80796156141551)</f>
        <v>75.80796156</v>
      </c>
      <c r="O202" s="30">
        <f t="shared" si="1"/>
        <v>0.04554359323</v>
      </c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 t="str">
        <f>IFERROR(__xludf.DUMMYFUNCTION("""COMPUTED_VALUE"""),"Chile")</f>
        <v>Chile</v>
      </c>
      <c r="B203" s="18">
        <f>IFERROR(__xludf.DUMMYFUNCTION("""COMPUTED_VALUE"""),44123.0)</f>
        <v>44123</v>
      </c>
      <c r="C203" s="19">
        <f>IFERROR(__xludf.DUMMYFUNCTION("""COMPUTED_VALUE"""),44129.0)</f>
        <v>44129</v>
      </c>
      <c r="D203" s="17">
        <f>IFERROR(__xludf.DUMMYFUNCTION("""COMPUTED_VALUE"""),43.0)</f>
        <v>43</v>
      </c>
      <c r="E203" s="17">
        <f>IFERROR(__xludf.DUMMYFUNCTION("""COMPUTED_VALUE"""),2304.0)</f>
        <v>2304</v>
      </c>
      <c r="F203" s="17">
        <f>IFERROR(__xludf.DUMMYFUNCTION("""COMPUTED_VALUE"""),309.0)</f>
        <v>309</v>
      </c>
      <c r="G203" s="20">
        <f>IFERROR(__xludf.DUMMYFUNCTION("""COMPUTED_VALUE"""),32.0)</f>
        <v>32</v>
      </c>
      <c r="H203" s="20">
        <f>IFERROR(__xludf.DUMMYFUNCTION("""COMPUTED_VALUE"""),2570.5)</f>
        <v>2570.5</v>
      </c>
      <c r="I203" s="20">
        <f>IFERROR(__xludf.DUMMYFUNCTION("""COMPUTED_VALUE"""),2277.75)</f>
        <v>2277.75</v>
      </c>
      <c r="J203" s="21">
        <f>IFERROR(__xludf.DUMMYFUNCTION("""COMPUTED_VALUE"""),346.0)</f>
        <v>346</v>
      </c>
      <c r="K203" s="30">
        <f>IFERROR(__xludf.DUMMYFUNCTION("""COMPUTED_VALUE"""),1.6083394639347313)</f>
        <v>1.608339464</v>
      </c>
      <c r="L203" s="30">
        <f>IFERROR(__xludf.DUMMYFUNCTION("""COMPUTED_VALUE"""),1.8009238010401842)</f>
        <v>1.800923801</v>
      </c>
      <c r="M203" s="30">
        <f>IFERROR(__xludf.DUMMYFUNCTION("""COMPUTED_VALUE"""),72.57827017833621)</f>
        <v>72.57827018</v>
      </c>
      <c r="N203" s="30">
        <f>IFERROR(__xludf.DUMMYFUNCTION("""COMPUTED_VALUE"""),77.6088853624557)</f>
        <v>77.60888536</v>
      </c>
      <c r="O203" s="30">
        <f t="shared" si="1"/>
        <v>0.1925843371</v>
      </c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 t="str">
        <f>IFERROR(__xludf.DUMMYFUNCTION("""COMPUTED_VALUE"""),"Chile")</f>
        <v>Chile</v>
      </c>
      <c r="B204" s="18">
        <f>IFERROR(__xludf.DUMMYFUNCTION("""COMPUTED_VALUE"""),44130.0)</f>
        <v>44130</v>
      </c>
      <c r="C204" s="19">
        <f>IFERROR(__xludf.DUMMYFUNCTION("""COMPUTED_VALUE"""),44136.0)</f>
        <v>44136</v>
      </c>
      <c r="D204" s="17">
        <f>IFERROR(__xludf.DUMMYFUNCTION("""COMPUTED_VALUE"""),44.0)</f>
        <v>44</v>
      </c>
      <c r="E204" s="17">
        <f>IFERROR(__xludf.DUMMYFUNCTION("""COMPUTED_VALUE"""),2268.0)</f>
        <v>2268</v>
      </c>
      <c r="F204" s="17">
        <f>IFERROR(__xludf.DUMMYFUNCTION("""COMPUTED_VALUE"""),303.0)</f>
        <v>303</v>
      </c>
      <c r="G204" s="20">
        <f>IFERROR(__xludf.DUMMYFUNCTION("""COMPUTED_VALUE"""),33.0)</f>
        <v>33</v>
      </c>
      <c r="H204" s="20">
        <f>IFERROR(__xludf.DUMMYFUNCTION("""COMPUTED_VALUE"""),2519.5)</f>
        <v>2519.5</v>
      </c>
      <c r="I204" s="20">
        <f>IFERROR(__xludf.DUMMYFUNCTION("""COMPUTED_VALUE"""),2245.0)</f>
        <v>2245</v>
      </c>
      <c r="J204" s="21">
        <f>IFERROR(__xludf.DUMMYFUNCTION("""COMPUTED_VALUE"""),326.0)</f>
        <v>326</v>
      </c>
      <c r="K204" s="30">
        <f>IFERROR(__xludf.DUMMYFUNCTION("""COMPUTED_VALUE"""),1.577109571431144)</f>
        <v>1.577109571</v>
      </c>
      <c r="L204" s="30">
        <f>IFERROR(__xludf.DUMMYFUNCTION("""COMPUTED_VALUE"""),1.6968241593615612)</f>
        <v>1.696824159</v>
      </c>
      <c r="M204" s="30">
        <f>IFERROR(__xludf.DUMMYFUNCTION("""COMPUTED_VALUE"""),74.15537974976735)</f>
        <v>74.15537975</v>
      </c>
      <c r="N204" s="30">
        <f>IFERROR(__xludf.DUMMYFUNCTION("""COMPUTED_VALUE"""),79.30570952181725)</f>
        <v>79.30570952</v>
      </c>
      <c r="O204" s="30">
        <f t="shared" si="1"/>
        <v>0.1197145879</v>
      </c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 t="str">
        <f>IFERROR(__xludf.DUMMYFUNCTION("""COMPUTED_VALUE"""),"Chile")</f>
        <v>Chile</v>
      </c>
      <c r="B205" s="18">
        <f>IFERROR(__xludf.DUMMYFUNCTION("""COMPUTED_VALUE"""),44137.0)</f>
        <v>44137</v>
      </c>
      <c r="C205" s="19">
        <f>IFERROR(__xludf.DUMMYFUNCTION("""COMPUTED_VALUE"""),44143.0)</f>
        <v>44143</v>
      </c>
      <c r="D205" s="17">
        <f>IFERROR(__xludf.DUMMYFUNCTION("""COMPUTED_VALUE"""),45.0)</f>
        <v>45</v>
      </c>
      <c r="E205" s="17">
        <f>IFERROR(__xludf.DUMMYFUNCTION("""COMPUTED_VALUE"""),2239.0)</f>
        <v>2239</v>
      </c>
      <c r="F205" s="17">
        <f>IFERROR(__xludf.DUMMYFUNCTION("""COMPUTED_VALUE"""),296.0)</f>
        <v>296</v>
      </c>
      <c r="G205" s="20">
        <f>IFERROR(__xludf.DUMMYFUNCTION("""COMPUTED_VALUE"""),34.0)</f>
        <v>34</v>
      </c>
      <c r="H205" s="20">
        <f>IFERROR(__xludf.DUMMYFUNCTION("""COMPUTED_VALUE"""),2476.5)</f>
        <v>2476.5</v>
      </c>
      <c r="I205" s="20">
        <f>IFERROR(__xludf.DUMMYFUNCTION("""COMPUTED_VALUE"""),2223.0)</f>
        <v>2223</v>
      </c>
      <c r="J205" s="21">
        <f>IFERROR(__xludf.DUMMYFUNCTION("""COMPUTED_VALUE"""),292.5)</f>
        <v>292.5</v>
      </c>
      <c r="K205" s="30">
        <f>IFERROR(__xludf.DUMMYFUNCTION("""COMPUTED_VALUE"""),1.540674696843626)</f>
        <v>1.540674697</v>
      </c>
      <c r="L205" s="30">
        <f>IFERROR(__xludf.DUMMYFUNCTION("""COMPUTED_VALUE"""),1.5224572595498669)</f>
        <v>1.52245726</v>
      </c>
      <c r="M205" s="30">
        <f>IFERROR(__xludf.DUMMYFUNCTION("""COMPUTED_VALUE"""),75.69605444661097)</f>
        <v>75.69605445</v>
      </c>
      <c r="N205" s="30">
        <f>IFERROR(__xludf.DUMMYFUNCTION("""COMPUTED_VALUE"""),80.82816678136712)</f>
        <v>80.82816678</v>
      </c>
      <c r="O205" s="30">
        <f t="shared" si="1"/>
        <v>-0.01821743729</v>
      </c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 t="str">
        <f>IFERROR(__xludf.DUMMYFUNCTION("""COMPUTED_VALUE"""),"Chile")</f>
        <v>Chile</v>
      </c>
      <c r="B206" s="18">
        <f>IFERROR(__xludf.DUMMYFUNCTION("""COMPUTED_VALUE"""),44144.0)</f>
        <v>44144</v>
      </c>
      <c r="C206" s="19">
        <f>IFERROR(__xludf.DUMMYFUNCTION("""COMPUTED_VALUE"""),44150.0)</f>
        <v>44150</v>
      </c>
      <c r="D206" s="17">
        <f>IFERROR(__xludf.DUMMYFUNCTION("""COMPUTED_VALUE"""),46.0)</f>
        <v>46</v>
      </c>
      <c r="E206" s="17">
        <f>IFERROR(__xludf.DUMMYFUNCTION("""COMPUTED_VALUE"""),2121.0)</f>
        <v>2121</v>
      </c>
      <c r="F206" s="17">
        <f>IFERROR(__xludf.DUMMYFUNCTION("""COMPUTED_VALUE"""),276.0)</f>
        <v>276</v>
      </c>
      <c r="G206" s="20">
        <f>IFERROR(__xludf.DUMMYFUNCTION("""COMPUTED_VALUE"""),35.0)</f>
        <v>35</v>
      </c>
      <c r="H206" s="20">
        <f>IFERROR(__xludf.DUMMYFUNCTION("""COMPUTED_VALUE"""),2405.5)</f>
        <v>2405.5</v>
      </c>
      <c r="I206" s="20">
        <f>IFERROR(__xludf.DUMMYFUNCTION("""COMPUTED_VALUE"""),2155.0)</f>
        <v>2155</v>
      </c>
      <c r="J206" s="21">
        <f>IFERROR(__xludf.DUMMYFUNCTION("""COMPUTED_VALUE"""),223.0)</f>
        <v>223</v>
      </c>
      <c r="K206" s="30">
        <f>IFERROR(__xludf.DUMMYFUNCTION("""COMPUTED_VALUE"""),1.4365750551650027)</f>
        <v>1.436575055</v>
      </c>
      <c r="L206" s="30">
        <f>IFERROR(__xludf.DUMMYFUNCTION("""COMPUTED_VALUE"""),1.1607110047166507)</f>
        <v>1.160711005</v>
      </c>
      <c r="M206" s="30">
        <f>IFERROR(__xludf.DUMMYFUNCTION("""COMPUTED_VALUE"""),77.13262950177598)</f>
        <v>77.1326295</v>
      </c>
      <c r="N206" s="30">
        <f>IFERROR(__xludf.DUMMYFUNCTION("""COMPUTED_VALUE"""),81.98887778608376)</f>
        <v>81.98887779</v>
      </c>
      <c r="O206" s="30">
        <f t="shared" si="1"/>
        <v>-0.2758640504</v>
      </c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 t="str">
        <f>IFERROR(__xludf.DUMMYFUNCTION("""COMPUTED_VALUE"""),"Chile")</f>
        <v>Chile</v>
      </c>
      <c r="B207" s="18">
        <f>IFERROR(__xludf.DUMMYFUNCTION("""COMPUTED_VALUE"""),44151.0)</f>
        <v>44151</v>
      </c>
      <c r="C207" s="19">
        <f>IFERROR(__xludf.DUMMYFUNCTION("""COMPUTED_VALUE"""),44157.0)</f>
        <v>44157</v>
      </c>
      <c r="D207" s="17">
        <f>IFERROR(__xludf.DUMMYFUNCTION("""COMPUTED_VALUE"""),47.0)</f>
        <v>47</v>
      </c>
      <c r="E207" s="17">
        <f>IFERROR(__xludf.DUMMYFUNCTION("""COMPUTED_VALUE"""),2184.0)</f>
        <v>2184</v>
      </c>
      <c r="F207" s="17">
        <f>IFERROR(__xludf.DUMMYFUNCTION("""COMPUTED_VALUE"""),250.0)</f>
        <v>250</v>
      </c>
      <c r="G207" s="20">
        <f>IFERROR(__xludf.DUMMYFUNCTION("""COMPUTED_VALUE"""),36.0)</f>
        <v>36</v>
      </c>
      <c r="H207" s="20">
        <f>IFERROR(__xludf.DUMMYFUNCTION("""COMPUTED_VALUE"""),2394.5)</f>
        <v>2394.5</v>
      </c>
      <c r="I207" s="20">
        <f>IFERROR(__xludf.DUMMYFUNCTION("""COMPUTED_VALUE"""),2213.25)</f>
        <v>2213.25</v>
      </c>
      <c r="J207" s="21">
        <f>IFERROR(__xludf.DUMMYFUNCTION("""COMPUTED_VALUE"""),241.75)</f>
        <v>241.75</v>
      </c>
      <c r="K207" s="30">
        <f>IFERROR(__xludf.DUMMYFUNCTION("""COMPUTED_VALUE"""),1.3012455209827922)</f>
        <v>1.301245521</v>
      </c>
      <c r="L207" s="30">
        <f>IFERROR(__xludf.DUMMYFUNCTION("""COMPUTED_VALUE"""),1.25830441879036)</f>
        <v>1.258304419</v>
      </c>
      <c r="M207" s="30">
        <f>IFERROR(__xludf.DUMMYFUNCTION("""COMPUTED_VALUE"""),78.43387502275877)</f>
        <v>78.43387502</v>
      </c>
      <c r="N207" s="30">
        <f>IFERROR(__xludf.DUMMYFUNCTION("""COMPUTED_VALUE"""),83.24718220487412)</f>
        <v>83.2471822</v>
      </c>
      <c r="O207" s="30">
        <f t="shared" si="1"/>
        <v>-0.04294110219</v>
      </c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 t="str">
        <f>IFERROR(__xludf.DUMMYFUNCTION("""COMPUTED_VALUE"""),"Chile")</f>
        <v>Chile</v>
      </c>
      <c r="B208" s="18">
        <f>IFERROR(__xludf.DUMMYFUNCTION("""COMPUTED_VALUE"""),44158.0)</f>
        <v>44158</v>
      </c>
      <c r="C208" s="19">
        <f>IFERROR(__xludf.DUMMYFUNCTION("""COMPUTED_VALUE"""),44164.0)</f>
        <v>44164</v>
      </c>
      <c r="D208" s="17">
        <f>IFERROR(__xludf.DUMMYFUNCTION("""COMPUTED_VALUE"""),48.0)</f>
        <v>48</v>
      </c>
      <c r="E208" s="17">
        <f>IFERROR(__xludf.DUMMYFUNCTION("""COMPUTED_VALUE"""),2203.0)</f>
        <v>2203</v>
      </c>
      <c r="F208" s="17">
        <f>IFERROR(__xludf.DUMMYFUNCTION("""COMPUTED_VALUE"""),287.0)</f>
        <v>287</v>
      </c>
      <c r="G208" s="20">
        <f>IFERROR(__xludf.DUMMYFUNCTION("""COMPUTED_VALUE"""),37.0)</f>
        <v>37</v>
      </c>
      <c r="H208" s="20">
        <f>IFERROR(__xludf.DUMMYFUNCTION("""COMPUTED_VALUE"""),2394.0)</f>
        <v>2394</v>
      </c>
      <c r="I208" s="20">
        <f>IFERROR(__xludf.DUMMYFUNCTION("""COMPUTED_VALUE"""),2154.25)</f>
        <v>2154.25</v>
      </c>
      <c r="J208" s="21">
        <f>IFERROR(__xludf.DUMMYFUNCTION("""COMPUTED_VALUE"""),307.25)</f>
        <v>307.25</v>
      </c>
      <c r="K208" s="30">
        <f>IFERROR(__xludf.DUMMYFUNCTION("""COMPUTED_VALUE"""),1.4938298580882454)</f>
        <v>1.493829858</v>
      </c>
      <c r="L208" s="30">
        <f>IFERROR(__xludf.DUMMYFUNCTION("""COMPUTED_VALUE"""),1.5992307452878516)</f>
        <v>1.599230745</v>
      </c>
      <c r="M208" s="30">
        <f>IFERROR(__xludf.DUMMYFUNCTION("""COMPUTED_VALUE"""),79.92770488084702)</f>
        <v>79.92770488</v>
      </c>
      <c r="N208" s="30">
        <f>IFERROR(__xludf.DUMMYFUNCTION("""COMPUTED_VALUE"""),84.84641295016198)</f>
        <v>84.84641295</v>
      </c>
      <c r="O208" s="30">
        <f t="shared" si="1"/>
        <v>0.1054008872</v>
      </c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 t="str">
        <f>IFERROR(__xludf.DUMMYFUNCTION("""COMPUTED_VALUE"""),"Chile")</f>
        <v>Chile</v>
      </c>
      <c r="B209" s="18">
        <f>IFERROR(__xludf.DUMMYFUNCTION("""COMPUTED_VALUE"""),44165.0)</f>
        <v>44165</v>
      </c>
      <c r="C209" s="19">
        <f>IFERROR(__xludf.DUMMYFUNCTION("""COMPUTED_VALUE"""),44171.0)</f>
        <v>44171</v>
      </c>
      <c r="D209" s="17">
        <f>IFERROR(__xludf.DUMMYFUNCTION("""COMPUTED_VALUE"""),49.0)</f>
        <v>49</v>
      </c>
      <c r="E209" s="17">
        <f>IFERROR(__xludf.DUMMYFUNCTION("""COMPUTED_VALUE"""),2174.0)</f>
        <v>2174</v>
      </c>
      <c r="F209" s="17">
        <f>IFERROR(__xludf.DUMMYFUNCTION("""COMPUTED_VALUE"""),272.0)</f>
        <v>272</v>
      </c>
      <c r="G209" s="20">
        <f>IFERROR(__xludf.DUMMYFUNCTION("""COMPUTED_VALUE"""),38.0)</f>
        <v>38</v>
      </c>
      <c r="H209" s="20">
        <f>IFERROR(__xludf.DUMMYFUNCTION("""COMPUTED_VALUE"""),2377.5)</f>
        <v>2377.5</v>
      </c>
      <c r="I209" s="20">
        <f>IFERROR(__xludf.DUMMYFUNCTION("""COMPUTED_VALUE"""),2213.75)</f>
        <v>2213.75</v>
      </c>
      <c r="J209" s="21">
        <f>IFERROR(__xludf.DUMMYFUNCTION("""COMPUTED_VALUE"""),323.75)</f>
        <v>323.75</v>
      </c>
      <c r="K209" s="30">
        <f>IFERROR(__xludf.DUMMYFUNCTION("""COMPUTED_VALUE"""),1.4157551268292778)</f>
        <v>1.415755127</v>
      </c>
      <c r="L209" s="30">
        <f>IFERROR(__xludf.DUMMYFUNCTION("""COMPUTED_VALUE"""),1.685112949672716)</f>
        <v>1.68511295</v>
      </c>
      <c r="M209" s="30">
        <f>IFERROR(__xludf.DUMMYFUNCTION("""COMPUTED_VALUE"""),81.3434600076763)</f>
        <v>81.34346001</v>
      </c>
      <c r="N209" s="30">
        <f>IFERROR(__xludf.DUMMYFUNCTION("""COMPUTED_VALUE"""),86.53152589983469)</f>
        <v>86.5315259</v>
      </c>
      <c r="O209" s="30">
        <f t="shared" si="1"/>
        <v>0.2693578228</v>
      </c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 t="str">
        <f>IFERROR(__xludf.DUMMYFUNCTION("""COMPUTED_VALUE"""),"Chile")</f>
        <v>Chile</v>
      </c>
      <c r="B210" s="18">
        <f>IFERROR(__xludf.DUMMYFUNCTION("""COMPUTED_VALUE"""),44172.0)</f>
        <v>44172</v>
      </c>
      <c r="C210" s="19">
        <f>IFERROR(__xludf.DUMMYFUNCTION("""COMPUTED_VALUE"""),44178.0)</f>
        <v>44178</v>
      </c>
      <c r="D210" s="17">
        <f>IFERROR(__xludf.DUMMYFUNCTION("""COMPUTED_VALUE"""),50.0)</f>
        <v>50</v>
      </c>
      <c r="E210" s="17">
        <f>IFERROR(__xludf.DUMMYFUNCTION("""COMPUTED_VALUE"""),2187.0)</f>
        <v>2187</v>
      </c>
      <c r="F210" s="17">
        <f>IFERROR(__xludf.DUMMYFUNCTION("""COMPUTED_VALUE"""),258.0)</f>
        <v>258</v>
      </c>
      <c r="G210" s="20">
        <f>IFERROR(__xludf.DUMMYFUNCTION("""COMPUTED_VALUE"""),39.0)</f>
        <v>39</v>
      </c>
      <c r="H210" s="20">
        <f>IFERROR(__xludf.DUMMYFUNCTION("""COMPUTED_VALUE"""),2304.0)</f>
        <v>2304</v>
      </c>
      <c r="I210" s="20">
        <f>IFERROR(__xludf.DUMMYFUNCTION("""COMPUTED_VALUE"""),2122.5)</f>
        <v>2122.5</v>
      </c>
      <c r="J210" s="21">
        <f>IFERROR(__xludf.DUMMYFUNCTION("""COMPUTED_VALUE"""),297.0)</f>
        <v>297</v>
      </c>
      <c r="K210" s="30">
        <f>IFERROR(__xludf.DUMMYFUNCTION("""COMPUTED_VALUE"""),1.3428853776542415)</f>
        <v>1.342885378</v>
      </c>
      <c r="L210" s="30">
        <f>IFERROR(__xludf.DUMMYFUNCTION("""COMPUTED_VALUE"""),1.545879678927557)</f>
        <v>1.545879679</v>
      </c>
      <c r="M210" s="30">
        <f>IFERROR(__xludf.DUMMYFUNCTION("""COMPUTED_VALUE"""),82.68634538533054)</f>
        <v>82.68634539</v>
      </c>
      <c r="N210" s="30">
        <f>IFERROR(__xludf.DUMMYFUNCTION("""COMPUTED_VALUE"""),88.07740557876225)</f>
        <v>88.07740558</v>
      </c>
      <c r="O210" s="30">
        <f t="shared" si="1"/>
        <v>0.2029943013</v>
      </c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 t="str">
        <f>IFERROR(__xludf.DUMMYFUNCTION("""COMPUTED_VALUE"""),"Chile")</f>
        <v>Chile</v>
      </c>
      <c r="B211" s="18">
        <f>IFERROR(__xludf.DUMMYFUNCTION("""COMPUTED_VALUE"""),44179.0)</f>
        <v>44179</v>
      </c>
      <c r="C211" s="19">
        <f>IFERROR(__xludf.DUMMYFUNCTION("""COMPUTED_VALUE"""),44185.0)</f>
        <v>44185</v>
      </c>
      <c r="D211" s="17">
        <f>IFERROR(__xludf.DUMMYFUNCTION("""COMPUTED_VALUE"""),51.0)</f>
        <v>51</v>
      </c>
      <c r="E211" s="17">
        <f>IFERROR(__xludf.DUMMYFUNCTION("""COMPUTED_VALUE"""),2155.0)</f>
        <v>2155</v>
      </c>
      <c r="F211" s="17">
        <f>IFERROR(__xludf.DUMMYFUNCTION("""COMPUTED_VALUE"""),268.0)</f>
        <v>268</v>
      </c>
      <c r="G211" s="20">
        <f>IFERROR(__xludf.DUMMYFUNCTION("""COMPUTED_VALUE"""),40.0)</f>
        <v>40</v>
      </c>
      <c r="H211" s="20">
        <f>IFERROR(__xludf.DUMMYFUNCTION("""COMPUTED_VALUE"""),2328.0)</f>
        <v>2328</v>
      </c>
      <c r="I211" s="20">
        <f>IFERROR(__xludf.DUMMYFUNCTION("""COMPUTED_VALUE"""),2069.25)</f>
        <v>2069.25</v>
      </c>
      <c r="J211" s="21">
        <f>IFERROR(__xludf.DUMMYFUNCTION("""COMPUTED_VALUE"""),271.25)</f>
        <v>271.25</v>
      </c>
      <c r="K211" s="30">
        <f>IFERROR(__xludf.DUMMYFUNCTION("""COMPUTED_VALUE"""),1.3949351984935532)</f>
        <v>1.394935198</v>
      </c>
      <c r="L211" s="30">
        <f>IFERROR(__xludf.DUMMYFUNCTION("""COMPUTED_VALUE"""),1.4118513902663297)</f>
        <v>1.41185139</v>
      </c>
      <c r="M211" s="30">
        <f>IFERROR(__xludf.DUMMYFUNCTION("""COMPUTED_VALUE"""),84.0812805838241)</f>
        <v>84.08128058</v>
      </c>
      <c r="N211" s="30">
        <f>IFERROR(__xludf.DUMMYFUNCTION("""COMPUTED_VALUE"""),89.48925696902859)</f>
        <v>89.48925697</v>
      </c>
      <c r="O211" s="30">
        <f t="shared" si="1"/>
        <v>0.01691619177</v>
      </c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 t="str">
        <f>IFERROR(__xludf.DUMMYFUNCTION("""COMPUTED_VALUE"""),"Chile")</f>
        <v>Chile</v>
      </c>
      <c r="B212" s="18">
        <f>IFERROR(__xludf.DUMMYFUNCTION("""COMPUTED_VALUE"""),44186.0)</f>
        <v>44186</v>
      </c>
      <c r="C212" s="19">
        <f>IFERROR(__xludf.DUMMYFUNCTION("""COMPUTED_VALUE"""),44192.0)</f>
        <v>44192</v>
      </c>
      <c r="D212" s="17">
        <f>IFERROR(__xludf.DUMMYFUNCTION("""COMPUTED_VALUE"""),52.0)</f>
        <v>52</v>
      </c>
      <c r="E212" s="17">
        <f>IFERROR(__xludf.DUMMYFUNCTION("""COMPUTED_VALUE"""),2291.0)</f>
        <v>2291</v>
      </c>
      <c r="F212" s="17">
        <f>IFERROR(__xludf.DUMMYFUNCTION("""COMPUTED_VALUE"""),289.0)</f>
        <v>289</v>
      </c>
      <c r="G212" s="20">
        <f>IFERROR(__xludf.DUMMYFUNCTION("""COMPUTED_VALUE"""),41.0)</f>
        <v>41</v>
      </c>
      <c r="H212" s="20">
        <f>IFERROR(__xludf.DUMMYFUNCTION("""COMPUTED_VALUE"""),2396.0)</f>
        <v>2396</v>
      </c>
      <c r="I212" s="20">
        <f>IFERROR(__xludf.DUMMYFUNCTION("""COMPUTED_VALUE"""),2005.5)</f>
        <v>2005.5</v>
      </c>
      <c r="J212" s="21">
        <f>IFERROR(__xludf.DUMMYFUNCTION("""COMPUTED_VALUE"""),479.5)</f>
        <v>479.5</v>
      </c>
      <c r="K212" s="30">
        <f>IFERROR(__xludf.DUMMYFUNCTION("""COMPUTED_VALUE"""),1.5042398222561078)</f>
        <v>1.504239822</v>
      </c>
      <c r="L212" s="30">
        <f>IFERROR(__xludf.DUMMYFUNCTION("""COMPUTED_VALUE"""),2.4957889092449954)</f>
        <v>2.495788909</v>
      </c>
      <c r="M212" s="30">
        <f>IFERROR(__xludf.DUMMYFUNCTION("""COMPUTED_VALUE"""),85.5855204060802)</f>
        <v>85.58552041</v>
      </c>
      <c r="N212" s="30">
        <f>IFERROR(__xludf.DUMMYFUNCTION("""COMPUTED_VALUE"""),91.98504587827358)</f>
        <v>91.98504588</v>
      </c>
      <c r="O212" s="30">
        <f t="shared" si="1"/>
        <v>0.991549087</v>
      </c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 t="str">
        <f>IFERROR(__xludf.DUMMYFUNCTION("""COMPUTED_VALUE"""),"Chile")</f>
        <v>Chile</v>
      </c>
      <c r="B213" s="18">
        <f>IFERROR(__xludf.DUMMYFUNCTION("""COMPUTED_VALUE"""),44193.0)</f>
        <v>44193</v>
      </c>
      <c r="C213" s="19">
        <f>IFERROR(__xludf.DUMMYFUNCTION("""COMPUTED_VALUE"""),44199.0)</f>
        <v>44199</v>
      </c>
      <c r="D213" s="17">
        <f>IFERROR(__xludf.DUMMYFUNCTION("""COMPUTED_VALUE"""),53.0)</f>
        <v>53</v>
      </c>
      <c r="E213" s="17">
        <f>IFERROR(__xludf.DUMMYFUNCTION("""COMPUTED_VALUE"""),2236.0)</f>
        <v>2236</v>
      </c>
      <c r="F213" s="17">
        <f>IFERROR(__xludf.DUMMYFUNCTION("""COMPUTED_VALUE"""),324.0)</f>
        <v>324</v>
      </c>
      <c r="G213" s="20">
        <f>IFERROR(__xludf.DUMMYFUNCTION("""COMPUTED_VALUE"""),42.0)</f>
        <v>42</v>
      </c>
      <c r="H213" s="20">
        <f>IFERROR(__xludf.DUMMYFUNCTION("""COMPUTED_VALUE"""),2307.0)</f>
        <v>2307</v>
      </c>
      <c r="I213" s="20">
        <f>IFERROR(__xludf.DUMMYFUNCTION("""COMPUTED_VALUE"""),1981.25)</f>
        <v>1981.25</v>
      </c>
      <c r="J213" s="21">
        <f>IFERROR(__xludf.DUMMYFUNCTION("""COMPUTED_VALUE"""),2236.0)</f>
        <v>2236</v>
      </c>
      <c r="K213" s="30">
        <f>IFERROR(__xludf.DUMMYFUNCTION("""COMPUTED_VALUE"""),1.6864141951936986)</f>
        <v>1.686414195</v>
      </c>
      <c r="L213" s="30">
        <f>IFERROR(__xludf.DUMMYFUNCTION("""COMPUTED_VALUE"""),11.638339939670093)</f>
        <v>11.63833994</v>
      </c>
      <c r="M213" s="30">
        <f>IFERROR(__xludf.DUMMYFUNCTION("""COMPUTED_VALUE"""),87.2719346012739)</f>
        <v>87.2719346</v>
      </c>
      <c r="N213" s="30">
        <f>IFERROR(__xludf.DUMMYFUNCTION("""COMPUTED_VALUE"""),103.62338581794367)</f>
        <v>103.6233858</v>
      </c>
      <c r="O213" s="30">
        <f t="shared" si="1"/>
        <v>9.951925744</v>
      </c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 t="str">
        <f>IFERROR(__xludf.DUMMYFUNCTION("""COMPUTED_VALUE"""),"Chile")</f>
        <v>Chile</v>
      </c>
      <c r="B214" s="18">
        <f>IFERROR(__xludf.DUMMYFUNCTION("""COMPUTED_VALUE"""),44200.0)</f>
        <v>44200</v>
      </c>
      <c r="C214" s="19">
        <f>IFERROR(__xludf.DUMMYFUNCTION("""COMPUTED_VALUE"""),44206.0)</f>
        <v>44206</v>
      </c>
      <c r="D214" s="17">
        <f>IFERROR(__xludf.DUMMYFUNCTION("""COMPUTED_VALUE"""),1.0)</f>
        <v>1</v>
      </c>
      <c r="E214" s="17">
        <f>IFERROR(__xludf.DUMMYFUNCTION("""COMPUTED_VALUE"""),2445.0)</f>
        <v>2445</v>
      </c>
      <c r="F214" s="17">
        <f>IFERROR(__xludf.DUMMYFUNCTION("""COMPUTED_VALUE"""),329.0)</f>
        <v>329</v>
      </c>
      <c r="G214" s="20">
        <f>IFERROR(__xludf.DUMMYFUNCTION("""COMPUTED_VALUE"""),43.0)</f>
        <v>43</v>
      </c>
      <c r="H214" s="20">
        <f>IFERROR(__xludf.DUMMYFUNCTION("""COMPUTED_VALUE"""),2304.0)</f>
        <v>2304</v>
      </c>
      <c r="I214" s="20">
        <f>IFERROR(__xludf.DUMMYFUNCTION("""COMPUTED_VALUE"""),1958.0)</f>
        <v>1958</v>
      </c>
      <c r="J214" s="21">
        <f>IFERROR(__xludf.DUMMYFUNCTION("""COMPUTED_VALUE"""),477.79999999999995)</f>
        <v>477.8</v>
      </c>
      <c r="K214" s="30">
        <f>IFERROR(__xludf.DUMMYFUNCTION("""COMPUTED_VALUE"""),1.7124391056133546)</f>
        <v>1.712439106</v>
      </c>
      <c r="L214" s="30">
        <f>IFERROR(__xludf.DUMMYFUNCTION("""COMPUTED_VALUE"""),2.4869404397023125)</f>
        <v>2.48694044</v>
      </c>
      <c r="M214" s="30">
        <f>IFERROR(__xludf.DUMMYFUNCTION("""COMPUTED_VALUE"""),88.98437370688725)</f>
        <v>88.98437371</v>
      </c>
      <c r="N214" s="30">
        <f>IFERROR(__xludf.DUMMYFUNCTION("""COMPUTED_VALUE"""),106.11032625764598)</f>
        <v>106.1103263</v>
      </c>
      <c r="O214" s="30">
        <f t="shared" si="1"/>
        <v>0.7745013341</v>
      </c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 t="str">
        <f>IFERROR(__xludf.DUMMYFUNCTION("""COMPUTED_VALUE"""),"Chile")</f>
        <v>Chile</v>
      </c>
      <c r="B215" s="18">
        <f>IFERROR(__xludf.DUMMYFUNCTION("""COMPUTED_VALUE"""),44207.0)</f>
        <v>44207</v>
      </c>
      <c r="C215" s="19">
        <f>IFERROR(__xludf.DUMMYFUNCTION("""COMPUTED_VALUE"""),44213.0)</f>
        <v>44213</v>
      </c>
      <c r="D215" s="17">
        <f>IFERROR(__xludf.DUMMYFUNCTION("""COMPUTED_VALUE"""),2.0)</f>
        <v>2</v>
      </c>
      <c r="E215" s="17">
        <f>IFERROR(__xludf.DUMMYFUNCTION("""COMPUTED_VALUE"""),2438.0)</f>
        <v>2438</v>
      </c>
      <c r="F215" s="17">
        <f>IFERROR(__xludf.DUMMYFUNCTION("""COMPUTED_VALUE"""),381.0)</f>
        <v>381</v>
      </c>
      <c r="G215" s="20">
        <f>IFERROR(__xludf.DUMMYFUNCTION("""COMPUTED_VALUE"""),44.0)</f>
        <v>44</v>
      </c>
      <c r="H215" s="20">
        <f>IFERROR(__xludf.DUMMYFUNCTION("""COMPUTED_VALUE"""),2268.0)</f>
        <v>2268</v>
      </c>
      <c r="I215" s="20">
        <f>IFERROR(__xludf.DUMMYFUNCTION("""COMPUTED_VALUE"""),1942.0)</f>
        <v>1942</v>
      </c>
      <c r="J215" s="21">
        <f>IFERROR(__xludf.DUMMYFUNCTION("""COMPUTED_VALUE"""),552.4000000000001)</f>
        <v>552.4</v>
      </c>
      <c r="K215" s="30">
        <f>IFERROR(__xludf.DUMMYFUNCTION("""COMPUTED_VALUE"""),1.9830981739777755)</f>
        <v>1.983098174</v>
      </c>
      <c r="L215" s="30">
        <f>IFERROR(__xludf.DUMMYFUNCTION("""COMPUTED_VALUE"""),2.875232103163578)</f>
        <v>2.875232103</v>
      </c>
      <c r="M215" s="30">
        <f>IFERROR(__xludf.DUMMYFUNCTION("""COMPUTED_VALUE"""),90.96747188086503)</f>
        <v>90.96747188</v>
      </c>
      <c r="N215" s="30">
        <f>IFERROR(__xludf.DUMMYFUNCTION("""COMPUTED_VALUE"""),108.98555836080956)</f>
        <v>108.9855584</v>
      </c>
      <c r="O215" s="30">
        <f t="shared" si="1"/>
        <v>0.8921339292</v>
      </c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 t="str">
        <f>IFERROR(__xludf.DUMMYFUNCTION("""COMPUTED_VALUE"""),"Chile")</f>
        <v>Chile</v>
      </c>
      <c r="B216" s="18">
        <f>IFERROR(__xludf.DUMMYFUNCTION("""COMPUTED_VALUE"""),44214.0)</f>
        <v>44214</v>
      </c>
      <c r="C216" s="19">
        <f>IFERROR(__xludf.DUMMYFUNCTION("""COMPUTED_VALUE"""),44220.0)</f>
        <v>44220</v>
      </c>
      <c r="D216" s="17">
        <f>IFERROR(__xludf.DUMMYFUNCTION("""COMPUTED_VALUE"""),3.0)</f>
        <v>3</v>
      </c>
      <c r="E216" s="17">
        <f>IFERROR(__xludf.DUMMYFUNCTION("""COMPUTED_VALUE"""),2701.0)</f>
        <v>2701</v>
      </c>
      <c r="F216" s="17">
        <f>IFERROR(__xludf.DUMMYFUNCTION("""COMPUTED_VALUE"""),456.0)</f>
        <v>456</v>
      </c>
      <c r="G216" s="20">
        <f>IFERROR(__xludf.DUMMYFUNCTION("""COMPUTED_VALUE"""),45.0)</f>
        <v>45</v>
      </c>
      <c r="H216" s="20">
        <f>IFERROR(__xludf.DUMMYFUNCTION("""COMPUTED_VALUE"""),2239.0)</f>
        <v>2239</v>
      </c>
      <c r="I216" s="20">
        <f>IFERROR(__xludf.DUMMYFUNCTION("""COMPUTED_VALUE"""),1946.5)</f>
        <v>1946.5</v>
      </c>
      <c r="J216" s="21">
        <f>IFERROR(__xludf.DUMMYFUNCTION("""COMPUTED_VALUE"""),775.0)</f>
        <v>775</v>
      </c>
      <c r="K216" s="30">
        <f>IFERROR(__xludf.DUMMYFUNCTION("""COMPUTED_VALUE"""),2.373471830272613)</f>
        <v>2.37347183</v>
      </c>
      <c r="L216" s="30">
        <f>IFERROR(__xludf.DUMMYFUNCTION("""COMPUTED_VALUE"""),4.033861115046656)</f>
        <v>4.033861115</v>
      </c>
      <c r="M216" s="30">
        <f>IFERROR(__xludf.DUMMYFUNCTION("""COMPUTED_VALUE"""),93.34094371113764)</f>
        <v>93.34094371</v>
      </c>
      <c r="N216" s="30">
        <f>IFERROR(__xludf.DUMMYFUNCTION("""COMPUTED_VALUE"""),113.01941947585622)</f>
        <v>113.0194195</v>
      </c>
      <c r="O216" s="30">
        <f t="shared" si="1"/>
        <v>1.660389285</v>
      </c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 t="str">
        <f>IFERROR(__xludf.DUMMYFUNCTION("""COMPUTED_VALUE"""),"Chile")</f>
        <v>Chile</v>
      </c>
      <c r="B217" s="18">
        <f>IFERROR(__xludf.DUMMYFUNCTION("""COMPUTED_VALUE"""),44221.0)</f>
        <v>44221</v>
      </c>
      <c r="C217" s="19">
        <f>IFERROR(__xludf.DUMMYFUNCTION("""COMPUTED_VALUE"""),44227.0)</f>
        <v>44227</v>
      </c>
      <c r="D217" s="17">
        <f>IFERROR(__xludf.DUMMYFUNCTION("""COMPUTED_VALUE"""),4.0)</f>
        <v>4</v>
      </c>
      <c r="E217" s="17">
        <f>IFERROR(__xludf.DUMMYFUNCTION("""COMPUTED_VALUE"""),2557.0)</f>
        <v>2557</v>
      </c>
      <c r="F217" s="17">
        <f>IFERROR(__xludf.DUMMYFUNCTION("""COMPUTED_VALUE"""),519.0)</f>
        <v>519</v>
      </c>
      <c r="G217" s="20">
        <f>IFERROR(__xludf.DUMMYFUNCTION("""COMPUTED_VALUE"""),46.0)</f>
        <v>46</v>
      </c>
      <c r="H217" s="20">
        <f>IFERROR(__xludf.DUMMYFUNCTION("""COMPUTED_VALUE"""),2121.0)</f>
        <v>2121</v>
      </c>
      <c r="I217" s="20">
        <f>IFERROR(__xludf.DUMMYFUNCTION("""COMPUTED_VALUE"""),1898.0)</f>
        <v>1898</v>
      </c>
      <c r="J217" s="21">
        <f>IFERROR(__xludf.DUMMYFUNCTION("""COMPUTED_VALUE"""),636.2)</f>
        <v>636.2</v>
      </c>
      <c r="K217" s="30">
        <f>IFERROR(__xludf.DUMMYFUNCTION("""COMPUTED_VALUE"""),2.7013857015602767)</f>
        <v>2.701385702</v>
      </c>
      <c r="L217" s="30">
        <f>IFERROR(__xludf.DUMMYFUNCTION("""COMPUTED_VALUE"""),3.31140960179701)</f>
        <v>3.311409602</v>
      </c>
      <c r="M217" s="30">
        <f>IFERROR(__xludf.DUMMYFUNCTION("""COMPUTED_VALUE"""),96.04232941269791)</f>
        <v>96.04232941</v>
      </c>
      <c r="N217" s="30">
        <f>IFERROR(__xludf.DUMMYFUNCTION("""COMPUTED_VALUE"""),116.33082907765323)</f>
        <v>116.3308291</v>
      </c>
      <c r="O217" s="30">
        <f t="shared" si="1"/>
        <v>0.6100239002</v>
      </c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 t="str">
        <f>IFERROR(__xludf.DUMMYFUNCTION("""COMPUTED_VALUE"""),"Chile")</f>
        <v>Chile</v>
      </c>
      <c r="B218" s="18">
        <f>IFERROR(__xludf.DUMMYFUNCTION("""COMPUTED_VALUE"""),44228.0)</f>
        <v>44228</v>
      </c>
      <c r="C218" s="19">
        <f>IFERROR(__xludf.DUMMYFUNCTION("""COMPUTED_VALUE"""),44234.0)</f>
        <v>44234</v>
      </c>
      <c r="D218" s="17">
        <f>IFERROR(__xludf.DUMMYFUNCTION("""COMPUTED_VALUE"""),5.0)</f>
        <v>5</v>
      </c>
      <c r="E218" s="17">
        <f>IFERROR(__xludf.DUMMYFUNCTION("""COMPUTED_VALUE"""),2633.0)</f>
        <v>2633</v>
      </c>
      <c r="F218" s="17">
        <f>IFERROR(__xludf.DUMMYFUNCTION("""COMPUTED_VALUE"""),522.0)</f>
        <v>522</v>
      </c>
      <c r="G218" s="20">
        <f>IFERROR(__xludf.DUMMYFUNCTION("""COMPUTED_VALUE"""),47.0)</f>
        <v>47</v>
      </c>
      <c r="H218" s="20">
        <f>IFERROR(__xludf.DUMMYFUNCTION("""COMPUTED_VALUE"""),2184.0)</f>
        <v>2184</v>
      </c>
      <c r="I218" s="20">
        <f>IFERROR(__xludf.DUMMYFUNCTION("""COMPUTED_VALUE"""),1942.25)</f>
        <v>1942.25</v>
      </c>
      <c r="J218" s="21">
        <f>IFERROR(__xludf.DUMMYFUNCTION("""COMPUTED_VALUE"""),707.2)</f>
        <v>707.2</v>
      </c>
      <c r="K218" s="30">
        <f>IFERROR(__xludf.DUMMYFUNCTION("""COMPUTED_VALUE"""),2.7170006478120703)</f>
        <v>2.717000648</v>
      </c>
      <c r="L218" s="30">
        <f>IFERROR(__xludf.DUMMYFUNCTION("""COMPUTED_VALUE"""),3.680963329756123)</f>
        <v>3.68096333</v>
      </c>
      <c r="M218" s="30">
        <f>IFERROR(__xludf.DUMMYFUNCTION("""COMPUTED_VALUE"""),98.75933006050998)</f>
        <v>98.75933006</v>
      </c>
      <c r="N218" s="30">
        <f>IFERROR(__xludf.DUMMYFUNCTION("""COMPUTED_VALUE"""),120.01179240740936)</f>
        <v>120.0117924</v>
      </c>
      <c r="O218" s="30">
        <f t="shared" si="1"/>
        <v>0.9639626819</v>
      </c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 t="str">
        <f>IFERROR(__xludf.DUMMYFUNCTION("""COMPUTED_VALUE"""),"Chile")</f>
        <v>Chile</v>
      </c>
      <c r="B219" s="18">
        <f>IFERROR(__xludf.DUMMYFUNCTION("""COMPUTED_VALUE"""),44235.0)</f>
        <v>44235</v>
      </c>
      <c r="C219" s="19">
        <f>IFERROR(__xludf.DUMMYFUNCTION("""COMPUTED_VALUE"""),44241.0)</f>
        <v>44241</v>
      </c>
      <c r="D219" s="17">
        <f>IFERROR(__xludf.DUMMYFUNCTION("""COMPUTED_VALUE"""),6.0)</f>
        <v>6</v>
      </c>
      <c r="E219" s="17">
        <f>IFERROR(__xludf.DUMMYFUNCTION("""COMPUTED_VALUE"""),2506.0)</f>
        <v>2506</v>
      </c>
      <c r="F219" s="17">
        <f>IFERROR(__xludf.DUMMYFUNCTION("""COMPUTED_VALUE"""),567.0)</f>
        <v>567</v>
      </c>
      <c r="G219" s="20">
        <f>IFERROR(__xludf.DUMMYFUNCTION("""COMPUTED_VALUE"""),48.0)</f>
        <v>48</v>
      </c>
      <c r="H219" s="20">
        <f>IFERROR(__xludf.DUMMYFUNCTION("""COMPUTED_VALUE"""),2203.0)</f>
        <v>2203</v>
      </c>
      <c r="I219" s="20">
        <f>IFERROR(__xludf.DUMMYFUNCTION("""COMPUTED_VALUE"""),1895.75)</f>
        <v>1895.75</v>
      </c>
      <c r="J219" s="21">
        <f>IFERROR(__xludf.DUMMYFUNCTION("""COMPUTED_VALUE"""),638.0)</f>
        <v>638</v>
      </c>
      <c r="K219" s="30">
        <f>IFERROR(__xludf.DUMMYFUNCTION("""COMPUTED_VALUE"""),2.9512248415889726)</f>
        <v>2.951224842</v>
      </c>
      <c r="L219" s="30">
        <f>IFERROR(__xludf.DUMMYFUNCTION("""COMPUTED_VALUE"""),3.320778569548086)</f>
        <v>3.32077857</v>
      </c>
      <c r="M219" s="30">
        <f>IFERROR(__xludf.DUMMYFUNCTION("""COMPUTED_VALUE"""),101.71055490209895)</f>
        <v>101.7105549</v>
      </c>
      <c r="N219" s="30">
        <f>IFERROR(__xludf.DUMMYFUNCTION("""COMPUTED_VALUE"""),123.33257097695744)</f>
        <v>123.332571</v>
      </c>
      <c r="O219" s="30">
        <f t="shared" si="1"/>
        <v>0.369553728</v>
      </c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 t="str">
        <f>IFERROR(__xludf.DUMMYFUNCTION("""COMPUTED_VALUE"""),"Chile")</f>
        <v>Chile</v>
      </c>
      <c r="B220" s="18">
        <f>IFERROR(__xludf.DUMMYFUNCTION("""COMPUTED_VALUE"""),44242.0)</f>
        <v>44242</v>
      </c>
      <c r="C220" s="19">
        <f>IFERROR(__xludf.DUMMYFUNCTION("""COMPUTED_VALUE"""),44248.0)</f>
        <v>44248</v>
      </c>
      <c r="D220" s="17">
        <f>IFERROR(__xludf.DUMMYFUNCTION("""COMPUTED_VALUE"""),7.0)</f>
        <v>7</v>
      </c>
      <c r="E220" s="17">
        <f>IFERROR(__xludf.DUMMYFUNCTION("""COMPUTED_VALUE"""),2502.0)</f>
        <v>2502</v>
      </c>
      <c r="F220" s="17">
        <f>IFERROR(__xludf.DUMMYFUNCTION("""COMPUTED_VALUE"""),501.0)</f>
        <v>501</v>
      </c>
      <c r="G220" s="20">
        <f>IFERROR(__xludf.DUMMYFUNCTION("""COMPUTED_VALUE"""),49.0)</f>
        <v>49</v>
      </c>
      <c r="H220" s="20">
        <f>IFERROR(__xludf.DUMMYFUNCTION("""COMPUTED_VALUE"""),2174.0)</f>
        <v>2174</v>
      </c>
      <c r="I220" s="20">
        <f>IFERROR(__xludf.DUMMYFUNCTION("""COMPUTED_VALUE"""),1850.25)</f>
        <v>1850.25</v>
      </c>
      <c r="J220" s="21">
        <f>IFERROR(__xludf.DUMMYFUNCTION("""COMPUTED_VALUE"""),653.5999999999999)</f>
        <v>653.6</v>
      </c>
      <c r="K220" s="30">
        <f>IFERROR(__xludf.DUMMYFUNCTION("""COMPUTED_VALUE"""),2.6076960240495155)</f>
        <v>2.607696024</v>
      </c>
      <c r="L220" s="30">
        <f>IFERROR(__xludf.DUMMYFUNCTION("""COMPUTED_VALUE"""),3.4019762900574113)</f>
        <v>3.40197629</v>
      </c>
      <c r="M220" s="30">
        <f>IFERROR(__xludf.DUMMYFUNCTION("""COMPUTED_VALUE"""),104.31825092614847)</f>
        <v>104.3182509</v>
      </c>
      <c r="N220" s="30">
        <f>IFERROR(__xludf.DUMMYFUNCTION("""COMPUTED_VALUE"""),126.73454726701485)</f>
        <v>126.7345473</v>
      </c>
      <c r="O220" s="30">
        <f t="shared" si="1"/>
        <v>0.794280266</v>
      </c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 t="str">
        <f>IFERROR(__xludf.DUMMYFUNCTION("""COMPUTED_VALUE"""),"Chile")</f>
        <v>Chile</v>
      </c>
      <c r="B221" s="18">
        <f>IFERROR(__xludf.DUMMYFUNCTION("""COMPUTED_VALUE"""),44249.0)</f>
        <v>44249</v>
      </c>
      <c r="C221" s="19">
        <f>IFERROR(__xludf.DUMMYFUNCTION("""COMPUTED_VALUE"""),44255.0)</f>
        <v>44255</v>
      </c>
      <c r="D221" s="17">
        <f>IFERROR(__xludf.DUMMYFUNCTION("""COMPUTED_VALUE"""),8.0)</f>
        <v>8</v>
      </c>
      <c r="E221" s="17">
        <f>IFERROR(__xludf.DUMMYFUNCTION("""COMPUTED_VALUE"""),2606.0)</f>
        <v>2606</v>
      </c>
      <c r="F221" s="17">
        <f>IFERROR(__xludf.DUMMYFUNCTION("""COMPUTED_VALUE"""),530.0)</f>
        <v>530</v>
      </c>
      <c r="G221" s="20">
        <f>IFERROR(__xludf.DUMMYFUNCTION("""COMPUTED_VALUE"""),50.0)</f>
        <v>50</v>
      </c>
      <c r="H221" s="20">
        <f>IFERROR(__xludf.DUMMYFUNCTION("""COMPUTED_VALUE"""),2187.0)</f>
        <v>2187</v>
      </c>
      <c r="I221" s="20">
        <f>IFERROR(__xludf.DUMMYFUNCTION("""COMPUTED_VALUE"""),1890.0)</f>
        <v>1890</v>
      </c>
      <c r="J221" s="21">
        <f>IFERROR(__xludf.DUMMYFUNCTION("""COMPUTED_VALUE"""),721.8)</f>
        <v>721.8</v>
      </c>
      <c r="K221" s="30">
        <f>IFERROR(__xludf.DUMMYFUNCTION("""COMPUTED_VALUE"""),2.7586405044835196)</f>
        <v>2.758640504</v>
      </c>
      <c r="L221" s="30">
        <f>IFERROR(__xludf.DUMMYFUNCTION("""COMPUTED_VALUE"""),3.7569560681815175)</f>
        <v>3.756956068</v>
      </c>
      <c r="M221" s="30">
        <f>IFERROR(__xludf.DUMMYFUNCTION("""COMPUTED_VALUE"""),107.07689143063199)</f>
        <v>107.0768914</v>
      </c>
      <c r="N221" s="30">
        <f>IFERROR(__xludf.DUMMYFUNCTION("""COMPUTED_VALUE"""),130.49150333519637)</f>
        <v>130.4915033</v>
      </c>
      <c r="O221" s="30">
        <f t="shared" si="1"/>
        <v>0.9983155637</v>
      </c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 t="str">
        <f>IFERROR(__xludf.DUMMYFUNCTION("""COMPUTED_VALUE"""),"Chile")</f>
        <v>Chile</v>
      </c>
      <c r="B222" s="18">
        <f>IFERROR(__xludf.DUMMYFUNCTION("""COMPUTED_VALUE"""),44256.0)</f>
        <v>44256</v>
      </c>
      <c r="C222" s="19">
        <f>IFERROR(__xludf.DUMMYFUNCTION("""COMPUTED_VALUE"""),44262.0)</f>
        <v>44262</v>
      </c>
      <c r="D222" s="17">
        <f>IFERROR(__xludf.DUMMYFUNCTION("""COMPUTED_VALUE"""),9.0)</f>
        <v>9</v>
      </c>
      <c r="E222" s="17">
        <f>IFERROR(__xludf.DUMMYFUNCTION("""COMPUTED_VALUE"""),2661.0)</f>
        <v>2661</v>
      </c>
      <c r="F222" s="17">
        <f>IFERROR(__xludf.DUMMYFUNCTION("""COMPUTED_VALUE"""),505.0)</f>
        <v>505</v>
      </c>
      <c r="G222" s="20">
        <f>IFERROR(__xludf.DUMMYFUNCTION("""COMPUTED_VALUE"""),51.0)</f>
        <v>51</v>
      </c>
      <c r="H222" s="20">
        <f>IFERROR(__xludf.DUMMYFUNCTION("""COMPUTED_VALUE"""),2155.0)</f>
        <v>2155</v>
      </c>
      <c r="I222" s="20">
        <f>IFERROR(__xludf.DUMMYFUNCTION("""COMPUTED_VALUE"""),1883.75)</f>
        <v>1883.75</v>
      </c>
      <c r="J222" s="21">
        <f>IFERROR(__xludf.DUMMYFUNCTION("""COMPUTED_VALUE"""),858.2)</f>
        <v>858.2</v>
      </c>
      <c r="K222" s="30">
        <f>IFERROR(__xludf.DUMMYFUNCTION("""COMPUTED_VALUE"""),2.62851595238524)</f>
        <v>2.628515952</v>
      </c>
      <c r="L222" s="30">
        <f>IFERROR(__xludf.DUMMYFUNCTION("""COMPUTED_VALUE"""),4.4669156244297294)</f>
        <v>4.466915624</v>
      </c>
      <c r="M222" s="30">
        <f>IFERROR(__xludf.DUMMYFUNCTION("""COMPUTED_VALUE"""),109.70540738301723)</f>
        <v>109.7054074</v>
      </c>
      <c r="N222" s="30">
        <f>IFERROR(__xludf.DUMMYFUNCTION("""COMPUTED_VALUE"""),134.9584189596261)</f>
        <v>134.958419</v>
      </c>
      <c r="O222" s="30">
        <f t="shared" si="1"/>
        <v>1.838399672</v>
      </c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 t="str">
        <f>IFERROR(__xludf.DUMMYFUNCTION("""COMPUTED_VALUE"""),"Chile")</f>
        <v>Chile</v>
      </c>
      <c r="B223" s="18">
        <f>IFERROR(__xludf.DUMMYFUNCTION("""COMPUTED_VALUE"""),44263.0)</f>
        <v>44263</v>
      </c>
      <c r="C223" s="19">
        <f>IFERROR(__xludf.DUMMYFUNCTION("""COMPUTED_VALUE"""),44269.0)</f>
        <v>44269</v>
      </c>
      <c r="D223" s="17">
        <f>IFERROR(__xludf.DUMMYFUNCTION("""COMPUTED_VALUE"""),10.0)</f>
        <v>10</v>
      </c>
      <c r="E223" s="17">
        <f>IFERROR(__xludf.DUMMYFUNCTION("""COMPUTED_VALUE"""),2656.0)</f>
        <v>2656</v>
      </c>
      <c r="F223" s="17">
        <f>IFERROR(__xludf.DUMMYFUNCTION("""COMPUTED_VALUE"""),597.0)</f>
        <v>597</v>
      </c>
      <c r="G223" s="20">
        <f>IFERROR(__xludf.DUMMYFUNCTION("""COMPUTED_VALUE"""),52.0)</f>
        <v>52</v>
      </c>
      <c r="H223" s="20">
        <f>IFERROR(__xludf.DUMMYFUNCTION("""COMPUTED_VALUE"""),2291.0)</f>
        <v>2291</v>
      </c>
      <c r="I223" s="20">
        <f>IFERROR(__xludf.DUMMYFUNCTION("""COMPUTED_VALUE"""),1811.5)</f>
        <v>1811.5</v>
      </c>
      <c r="J223" s="21">
        <f>IFERROR(__xludf.DUMMYFUNCTION("""COMPUTED_VALUE"""),847.5999999999999)</f>
        <v>847.6</v>
      </c>
      <c r="K223" s="30">
        <f>IFERROR(__xludf.DUMMYFUNCTION("""COMPUTED_VALUE"""),3.107374304106908)</f>
        <v>3.107374304</v>
      </c>
      <c r="L223" s="30">
        <f>IFERROR(__xludf.DUMMYFUNCTION("""COMPUTED_VALUE"""),4.411742814340059)</f>
        <v>4.411742814</v>
      </c>
      <c r="M223" s="30">
        <f>IFERROR(__xludf.DUMMYFUNCTION("""COMPUTED_VALUE"""),112.81278168712414)</f>
        <v>112.8127817</v>
      </c>
      <c r="N223" s="30">
        <f>IFERROR(__xludf.DUMMYFUNCTION("""COMPUTED_VALUE"""),139.37016177396617)</f>
        <v>139.3701618</v>
      </c>
      <c r="O223" s="30">
        <f t="shared" si="1"/>
        <v>1.30436851</v>
      </c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 t="str">
        <f>IFERROR(__xludf.DUMMYFUNCTION("""COMPUTED_VALUE"""),"Chile")</f>
        <v>Chile</v>
      </c>
      <c r="B224" s="18">
        <f>IFERROR(__xludf.DUMMYFUNCTION("""COMPUTED_VALUE"""),44270.0)</f>
        <v>44270</v>
      </c>
      <c r="C224" s="19">
        <f>IFERROR(__xludf.DUMMYFUNCTION("""COMPUTED_VALUE"""),44276.0)</f>
        <v>44276</v>
      </c>
      <c r="D224" s="17">
        <f>IFERROR(__xludf.DUMMYFUNCTION("""COMPUTED_VALUE"""),11.0)</f>
        <v>11</v>
      </c>
      <c r="E224" s="17">
        <f>IFERROR(__xludf.DUMMYFUNCTION("""COMPUTED_VALUE"""),2550.0)</f>
        <v>2550</v>
      </c>
      <c r="F224" s="17">
        <f>IFERROR(__xludf.DUMMYFUNCTION("""COMPUTED_VALUE"""),605.0)</f>
        <v>605</v>
      </c>
      <c r="G224" s="20">
        <f>IFERROR(__xludf.DUMMYFUNCTION("""COMPUTED_VALUE"""),53.0)</f>
        <v>53</v>
      </c>
      <c r="H224" s="20">
        <f>IFERROR(__xludf.DUMMYFUNCTION("""COMPUTED_VALUE"""),2236.0)</f>
        <v>2236</v>
      </c>
      <c r="I224" s="20">
        <f>IFERROR(__xludf.DUMMYFUNCTION("""COMPUTED_VALUE"""),0.0)</f>
        <v>0</v>
      </c>
      <c r="J224" s="21">
        <f>IFERROR(__xludf.DUMMYFUNCTION("""COMPUTED_VALUE"""),728.2)</f>
        <v>728.2</v>
      </c>
      <c r="K224" s="30">
        <f>IFERROR(__xludf.DUMMYFUNCTION("""COMPUTED_VALUE"""),3.149014160778357)</f>
        <v>3.149014161</v>
      </c>
      <c r="L224" s="30">
        <f>IFERROR(__xludf.DUMMYFUNCTION("""COMPUTED_VALUE"""),3.790267953518677)</f>
        <v>3.790267954</v>
      </c>
      <c r="M224" s="30">
        <f>IFERROR(__xludf.DUMMYFUNCTION("""COMPUTED_VALUE"""),115.9617958479025)</f>
        <v>115.9617958</v>
      </c>
      <c r="N224" s="30">
        <f>IFERROR(__xludf.DUMMYFUNCTION("""COMPUTED_VALUE"""),143.16042972748485)</f>
        <v>143.1604297</v>
      </c>
      <c r="O224" s="30">
        <f t="shared" si="1"/>
        <v>0.6412537927</v>
      </c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 t="str">
        <f>IFERROR(__xludf.DUMMYFUNCTION("""COMPUTED_VALUE"""),"Chile")</f>
        <v>Chile</v>
      </c>
      <c r="B225" s="18">
        <f>IFERROR(__xludf.DUMMYFUNCTION("""COMPUTED_VALUE"""),44277.0)</f>
        <v>44277</v>
      </c>
      <c r="C225" s="19">
        <f>IFERROR(__xludf.DUMMYFUNCTION("""COMPUTED_VALUE"""),44283.0)</f>
        <v>44283</v>
      </c>
      <c r="D225" s="17">
        <f>IFERROR(__xludf.DUMMYFUNCTION("""COMPUTED_VALUE"""),12.0)</f>
        <v>12</v>
      </c>
      <c r="E225" s="17">
        <f>IFERROR(__xludf.DUMMYFUNCTION("""COMPUTED_VALUE"""),2741.0)</f>
        <v>2741</v>
      </c>
      <c r="F225" s="17">
        <f>IFERROR(__xludf.DUMMYFUNCTION("""COMPUTED_VALUE"""),475.0)</f>
        <v>475</v>
      </c>
      <c r="G225" s="20"/>
      <c r="H225" s="20"/>
      <c r="I225" s="20"/>
      <c r="J225" s="21">
        <f>IFERROR(__xludf.DUMMYFUNCTION("""COMPUTED_VALUE"""),935.0)</f>
        <v>935</v>
      </c>
      <c r="K225" s="30">
        <f>IFERROR(__xludf.DUMMYFUNCTION("""COMPUTED_VALUE"""),2.4723664898673055)</f>
        <v>2.47236649</v>
      </c>
      <c r="L225" s="30">
        <f>IFERROR(__xludf.DUMMYFUNCTION("""COMPUTED_VALUE"""),4.866658248475643)</f>
        <v>4.866658248</v>
      </c>
      <c r="M225" s="30">
        <f>IFERROR(__xludf.DUMMYFUNCTION("""COMPUTED_VALUE"""),118.4341623377698)</f>
        <v>118.4341623</v>
      </c>
      <c r="N225" s="30">
        <f>IFERROR(__xludf.DUMMYFUNCTION("""COMPUTED_VALUE"""),148.02708797596048)</f>
        <v>148.027088</v>
      </c>
      <c r="O225" s="30">
        <f t="shared" si="1"/>
        <v>2.394291759</v>
      </c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 t="str">
        <f>IFERROR(__xludf.DUMMYFUNCTION("""COMPUTED_VALUE"""),"Chile")</f>
        <v>Chile</v>
      </c>
      <c r="B226" s="18">
        <f>IFERROR(__xludf.DUMMYFUNCTION("""COMPUTED_VALUE"""),44284.0)</f>
        <v>44284</v>
      </c>
      <c r="C226" s="19">
        <f>IFERROR(__xludf.DUMMYFUNCTION("""COMPUTED_VALUE"""),44290.0)</f>
        <v>44290</v>
      </c>
      <c r="D226" s="17">
        <f>IFERROR(__xludf.DUMMYFUNCTION("""COMPUTED_VALUE"""),13.0)</f>
        <v>13</v>
      </c>
      <c r="E226" s="17">
        <f>IFERROR(__xludf.DUMMYFUNCTION("""COMPUTED_VALUE"""),2833.0)</f>
        <v>2833</v>
      </c>
      <c r="F226" s="17">
        <f>IFERROR(__xludf.DUMMYFUNCTION("""COMPUTED_VALUE"""),890.0)</f>
        <v>890</v>
      </c>
      <c r="G226" s="20"/>
      <c r="H226" s="20"/>
      <c r="I226" s="20"/>
      <c r="J226" s="21">
        <f>IFERROR(__xludf.DUMMYFUNCTION("""COMPUTED_VALUE"""),991.5)</f>
        <v>991.5</v>
      </c>
      <c r="K226" s="30">
        <f>IFERROR(__xludf.DUMMYFUNCTION("""COMPUTED_VALUE"""),4.632434054698741)</f>
        <v>4.632434055</v>
      </c>
      <c r="L226" s="30">
        <f>IFERROR(__xludf.DUMMYFUNCTION("""COMPUTED_VALUE"""),5.160739736217754)</f>
        <v>5.160739736</v>
      </c>
      <c r="M226" s="30">
        <f>IFERROR(__xludf.DUMMYFUNCTION("""COMPUTED_VALUE"""),123.06659639246854)</f>
        <v>123.0665964</v>
      </c>
      <c r="N226" s="30">
        <f>IFERROR(__xludf.DUMMYFUNCTION("""COMPUTED_VALUE"""),153.18782771217823)</f>
        <v>153.1878277</v>
      </c>
      <c r="O226" s="30">
        <f t="shared" si="1"/>
        <v>0.5283056815</v>
      </c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 t="str">
        <f>IFERROR(__xludf.DUMMYFUNCTION("""COMPUTED_VALUE"""),"Chile")</f>
        <v>Chile</v>
      </c>
      <c r="B227" s="18">
        <f>IFERROR(__xludf.DUMMYFUNCTION("""COMPUTED_VALUE"""),44291.0)</f>
        <v>44291</v>
      </c>
      <c r="C227" s="19">
        <f>IFERROR(__xludf.DUMMYFUNCTION("""COMPUTED_VALUE"""),44297.0)</f>
        <v>44297</v>
      </c>
      <c r="D227" s="17">
        <f>IFERROR(__xludf.DUMMYFUNCTION("""COMPUTED_VALUE"""),14.0)</f>
        <v>14</v>
      </c>
      <c r="E227" s="17">
        <f>IFERROR(__xludf.DUMMYFUNCTION("""COMPUTED_VALUE"""),2849.0)</f>
        <v>2849</v>
      </c>
      <c r="F227" s="17">
        <f>IFERROR(__xludf.DUMMYFUNCTION("""COMPUTED_VALUE"""),702.0)</f>
        <v>702</v>
      </c>
      <c r="G227" s="20"/>
      <c r="H227" s="20"/>
      <c r="I227" s="20"/>
      <c r="J227" s="21">
        <f>IFERROR(__xludf.DUMMYFUNCTION("""COMPUTED_VALUE"""),962.5)</f>
        <v>962.5</v>
      </c>
      <c r="K227" s="30">
        <f>IFERROR(__xludf.DUMMYFUNCTION("""COMPUTED_VALUE"""),3.653897422919681)</f>
        <v>3.653897423</v>
      </c>
      <c r="L227" s="30">
        <f>IFERROR(__xludf.DUMMYFUNCTION("""COMPUTED_VALUE"""),5.00979525578375)</f>
        <v>5.009795256</v>
      </c>
      <c r="M227" s="30">
        <f>IFERROR(__xludf.DUMMYFUNCTION("""COMPUTED_VALUE"""),126.72049381538822)</f>
        <v>126.7204938</v>
      </c>
      <c r="N227" s="30">
        <f>IFERROR(__xludf.DUMMYFUNCTION("""COMPUTED_VALUE"""),158.197622967962)</f>
        <v>158.197623</v>
      </c>
      <c r="O227" s="30">
        <f t="shared" si="1"/>
        <v>1.355897833</v>
      </c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 t="str">
        <f>IFERROR(__xludf.DUMMYFUNCTION("""COMPUTED_VALUE"""),"Chile")</f>
        <v>Chile</v>
      </c>
      <c r="B228" s="18">
        <f>IFERROR(__xludf.DUMMYFUNCTION("""COMPUTED_VALUE"""),44298.0)</f>
        <v>44298</v>
      </c>
      <c r="C228" s="19">
        <f>IFERROR(__xludf.DUMMYFUNCTION("""COMPUTED_VALUE"""),44304.0)</f>
        <v>44304</v>
      </c>
      <c r="D228" s="17">
        <f>IFERROR(__xludf.DUMMYFUNCTION("""COMPUTED_VALUE"""),15.0)</f>
        <v>15</v>
      </c>
      <c r="E228" s="17">
        <f>IFERROR(__xludf.DUMMYFUNCTION("""COMPUTED_VALUE"""),2897.0)</f>
        <v>2897</v>
      </c>
      <c r="F228" s="17">
        <f>IFERROR(__xludf.DUMMYFUNCTION("""COMPUTED_VALUE"""),831.0)</f>
        <v>831</v>
      </c>
      <c r="G228" s="20"/>
      <c r="H228" s="20"/>
      <c r="I228" s="20"/>
      <c r="J228" s="21">
        <f>IFERROR(__xludf.DUMMYFUNCTION("""COMPUTED_VALUE"""),945.5)</f>
        <v>945.5</v>
      </c>
      <c r="K228" s="30">
        <f>IFERROR(__xludf.DUMMYFUNCTION("""COMPUTED_VALUE"""),4.325340111746801)</f>
        <v>4.325340112</v>
      </c>
      <c r="L228" s="30">
        <f>IFERROR(__xludf.DUMMYFUNCTION("""COMPUTED_VALUE"""),4.92131056035692)</f>
        <v>4.92131056</v>
      </c>
      <c r="M228" s="30">
        <f>IFERROR(__xludf.DUMMYFUNCTION("""COMPUTED_VALUE"""),131.04583392713502)</f>
        <v>131.0458339</v>
      </c>
      <c r="N228" s="30">
        <f>IFERROR(__xludf.DUMMYFUNCTION("""COMPUTED_VALUE"""),163.1189335283189)</f>
        <v>163.1189335</v>
      </c>
      <c r="O228" s="30">
        <f t="shared" si="1"/>
        <v>0.5959704486</v>
      </c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 t="str">
        <f>IFERROR(__xludf.DUMMYFUNCTION("""COMPUTED_VALUE"""),"Chile")</f>
        <v>Chile</v>
      </c>
      <c r="B229" s="18">
        <f>IFERROR(__xludf.DUMMYFUNCTION("""COMPUTED_VALUE"""),44305.0)</f>
        <v>44305</v>
      </c>
      <c r="C229" s="19">
        <f>IFERROR(__xludf.DUMMYFUNCTION("""COMPUTED_VALUE"""),44311.0)</f>
        <v>44311</v>
      </c>
      <c r="D229" s="17">
        <f>IFERROR(__xludf.DUMMYFUNCTION("""COMPUTED_VALUE"""),16.0)</f>
        <v>16</v>
      </c>
      <c r="E229" s="17">
        <f>IFERROR(__xludf.DUMMYFUNCTION("""COMPUTED_VALUE"""),2664.0)</f>
        <v>2664</v>
      </c>
      <c r="F229" s="17">
        <f>IFERROR(__xludf.DUMMYFUNCTION("""COMPUTED_VALUE"""),679.0)</f>
        <v>679</v>
      </c>
      <c r="G229" s="20"/>
      <c r="H229" s="20"/>
      <c r="I229" s="20"/>
      <c r="J229" s="21">
        <f>IFERROR(__xludf.DUMMYFUNCTION("""COMPUTED_VALUE"""),755.0)</f>
        <v>755</v>
      </c>
      <c r="K229" s="30">
        <f>IFERROR(__xludf.DUMMYFUNCTION("""COMPUTED_VALUE"""),3.534182834989264)</f>
        <v>3.534182835</v>
      </c>
      <c r="L229" s="30">
        <f>IFERROR(__xludf.DUMMYFUNCTION("""COMPUTED_VALUE"""),3.929761473368033)</f>
        <v>3.929761473</v>
      </c>
      <c r="M229" s="30">
        <f>IFERROR(__xludf.DUMMYFUNCTION("""COMPUTED_VALUE"""),134.58001676212427)</f>
        <v>134.5800168</v>
      </c>
      <c r="N229" s="30">
        <f>IFERROR(__xludf.DUMMYFUNCTION("""COMPUTED_VALUE"""),167.04869500168695)</f>
        <v>167.048695</v>
      </c>
      <c r="O229" s="30">
        <f t="shared" si="1"/>
        <v>0.3955786384</v>
      </c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 t="str">
        <f>IFERROR(__xludf.DUMMYFUNCTION("""COMPUTED_VALUE"""),"Chile")</f>
        <v>Chile</v>
      </c>
      <c r="B230" s="18">
        <f>IFERROR(__xludf.DUMMYFUNCTION("""COMPUTED_VALUE"""),44312.0)</f>
        <v>44312</v>
      </c>
      <c r="C230" s="19">
        <f>IFERROR(__xludf.DUMMYFUNCTION("""COMPUTED_VALUE"""),44318.0)</f>
        <v>44318</v>
      </c>
      <c r="D230" s="17">
        <f>IFERROR(__xludf.DUMMYFUNCTION("""COMPUTED_VALUE"""),17.0)</f>
        <v>17</v>
      </c>
      <c r="E230" s="17">
        <f>IFERROR(__xludf.DUMMYFUNCTION("""COMPUTED_VALUE"""),2786.0)</f>
        <v>2786</v>
      </c>
      <c r="F230" s="17">
        <f>IFERROR(__xludf.DUMMYFUNCTION("""COMPUTED_VALUE"""),705.0)</f>
        <v>705</v>
      </c>
      <c r="G230" s="20"/>
      <c r="H230" s="20"/>
      <c r="I230" s="20"/>
      <c r="J230" s="21">
        <f>IFERROR(__xludf.DUMMYFUNCTION("""COMPUTED_VALUE"""),801.5)</f>
        <v>801.5</v>
      </c>
      <c r="K230" s="30">
        <f>IFERROR(__xludf.DUMMYFUNCTION("""COMPUTED_VALUE"""),3.6695123691714744)</f>
        <v>3.669512369</v>
      </c>
      <c r="L230" s="30">
        <f>IFERROR(__xludf.DUMMYFUNCTION("""COMPUTED_VALUE"""),4.1717931402708315)</f>
        <v>4.17179314</v>
      </c>
      <c r="M230" s="30">
        <f>IFERROR(__xludf.DUMMYFUNCTION("""COMPUTED_VALUE"""),138.24952913129576)</f>
        <v>138.2495291</v>
      </c>
      <c r="N230" s="30">
        <f>IFERROR(__xludf.DUMMYFUNCTION("""COMPUTED_VALUE"""),171.2204881419578)</f>
        <v>171.2204881</v>
      </c>
      <c r="O230" s="30">
        <f t="shared" si="1"/>
        <v>0.5022807711</v>
      </c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 t="str">
        <f>IFERROR(__xludf.DUMMYFUNCTION("""COMPUTED_VALUE"""),"Chile")</f>
        <v>Chile</v>
      </c>
      <c r="B231" s="18">
        <f>IFERROR(__xludf.DUMMYFUNCTION("""COMPUTED_VALUE"""),44319.0)</f>
        <v>44319</v>
      </c>
      <c r="C231" s="19">
        <f>IFERROR(__xludf.DUMMYFUNCTION("""COMPUTED_VALUE"""),44325.0)</f>
        <v>44325</v>
      </c>
      <c r="D231" s="17">
        <f>IFERROR(__xludf.DUMMYFUNCTION("""COMPUTED_VALUE"""),18.0)</f>
        <v>18</v>
      </c>
      <c r="E231" s="17">
        <f>IFERROR(__xludf.DUMMYFUNCTION("""COMPUTED_VALUE"""),2731.0)</f>
        <v>2731</v>
      </c>
      <c r="F231" s="17">
        <f>IFERROR(__xludf.DUMMYFUNCTION("""COMPUTED_VALUE"""),657.0)</f>
        <v>657</v>
      </c>
      <c r="G231" s="20"/>
      <c r="H231" s="20"/>
      <c r="I231" s="20"/>
      <c r="J231" s="21">
        <f>IFERROR(__xludf.DUMMYFUNCTION("""COMPUTED_VALUE"""),751.75)</f>
        <v>751.75</v>
      </c>
      <c r="K231" s="30">
        <f>IFERROR(__xludf.DUMMYFUNCTION("""COMPUTED_VALUE"""),3.419673229142778)</f>
        <v>3.419673229</v>
      </c>
      <c r="L231" s="30">
        <f>IFERROR(__xludf.DUMMYFUNCTION("""COMPUTED_VALUE"""),3.9128452815952564)</f>
        <v>3.912845282</v>
      </c>
      <c r="M231" s="30">
        <f>IFERROR(__xludf.DUMMYFUNCTION("""COMPUTED_VALUE"""),141.66920236043853)</f>
        <v>141.6692024</v>
      </c>
      <c r="N231" s="30">
        <f>IFERROR(__xludf.DUMMYFUNCTION("""COMPUTED_VALUE"""),175.13333342355304)</f>
        <v>175.1333334</v>
      </c>
      <c r="O231" s="30">
        <f t="shared" si="1"/>
        <v>0.4931720525</v>
      </c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 t="str">
        <f>IFERROR(__xludf.DUMMYFUNCTION("""COMPUTED_VALUE"""),"Chile")</f>
        <v>Chile</v>
      </c>
      <c r="B232" s="18">
        <f>IFERROR(__xludf.DUMMYFUNCTION("""COMPUTED_VALUE"""),44326.0)</f>
        <v>44326</v>
      </c>
      <c r="C232" s="19">
        <f>IFERROR(__xludf.DUMMYFUNCTION("""COMPUTED_VALUE"""),44332.0)</f>
        <v>44332</v>
      </c>
      <c r="D232" s="17">
        <f>IFERROR(__xludf.DUMMYFUNCTION("""COMPUTED_VALUE"""),19.0)</f>
        <v>19</v>
      </c>
      <c r="E232" s="17">
        <f>IFERROR(__xludf.DUMMYFUNCTION("""COMPUTED_VALUE"""),2766.0)</f>
        <v>2766</v>
      </c>
      <c r="F232" s="17">
        <f>IFERROR(__xludf.DUMMYFUNCTION("""COMPUTED_VALUE"""),614.0)</f>
        <v>614</v>
      </c>
      <c r="G232" s="20"/>
      <c r="H232" s="20"/>
      <c r="I232" s="20"/>
      <c r="J232" s="21">
        <f>IFERROR(__xludf.DUMMYFUNCTION("""COMPUTED_VALUE"""),810.5)</f>
        <v>810.5</v>
      </c>
      <c r="K232" s="30">
        <f>IFERROR(__xludf.DUMMYFUNCTION("""COMPUTED_VALUE"""),3.195858999533738)</f>
        <v>3.195859</v>
      </c>
      <c r="L232" s="30">
        <f>IFERROR(__xludf.DUMMYFUNCTION("""COMPUTED_VALUE"""),4.218637979026212)</f>
        <v>4.218637979</v>
      </c>
      <c r="M232" s="30">
        <f>IFERROR(__xludf.DUMMYFUNCTION("""COMPUTED_VALUE"""),144.86506135997226)</f>
        <v>144.8650614</v>
      </c>
      <c r="N232" s="30">
        <f>IFERROR(__xludf.DUMMYFUNCTION("""COMPUTED_VALUE"""),179.35197140257924)</f>
        <v>179.3519714</v>
      </c>
      <c r="O232" s="30">
        <f t="shared" si="1"/>
        <v>1.022778979</v>
      </c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 t="str">
        <f>IFERROR(__xludf.DUMMYFUNCTION("""COMPUTED_VALUE"""),"Chile")</f>
        <v>Chile</v>
      </c>
      <c r="B233" s="18">
        <f>IFERROR(__xludf.DUMMYFUNCTION("""COMPUTED_VALUE"""),44333.0)</f>
        <v>44333</v>
      </c>
      <c r="C233" s="19">
        <f>IFERROR(__xludf.DUMMYFUNCTION("""COMPUTED_VALUE"""),44339.0)</f>
        <v>44339</v>
      </c>
      <c r="D233" s="17">
        <f>IFERROR(__xludf.DUMMYFUNCTION("""COMPUTED_VALUE"""),20.0)</f>
        <v>20</v>
      </c>
      <c r="E233" s="17">
        <f>IFERROR(__xludf.DUMMYFUNCTION("""COMPUTED_VALUE"""),2936.0)</f>
        <v>2936</v>
      </c>
      <c r="F233" s="17">
        <f>IFERROR(__xludf.DUMMYFUNCTION("""COMPUTED_VALUE"""),686.0)</f>
        <v>686</v>
      </c>
      <c r="G233" s="20"/>
      <c r="H233" s="20"/>
      <c r="I233" s="20"/>
      <c r="J233" s="21">
        <f>IFERROR(__xludf.DUMMYFUNCTION("""COMPUTED_VALUE"""),898.75)</f>
        <v>898.75</v>
      </c>
      <c r="K233" s="30">
        <f>IFERROR(__xludf.DUMMYFUNCTION("""COMPUTED_VALUE"""),3.570617709576782)</f>
        <v>3.57061771</v>
      </c>
      <c r="L233" s="30">
        <f>IFERROR(__xludf.DUMMYFUNCTION("""COMPUTED_VALUE"""),4.6779776479331385)</f>
        <v>4.677977648</v>
      </c>
      <c r="M233" s="30">
        <f>IFERROR(__xludf.DUMMYFUNCTION("""COMPUTED_VALUE"""),148.43567906954905)</f>
        <v>148.4356791</v>
      </c>
      <c r="N233" s="30">
        <f>IFERROR(__xludf.DUMMYFUNCTION("""COMPUTED_VALUE"""),184.02994905051239)</f>
        <v>184.0299491</v>
      </c>
      <c r="O233" s="30">
        <f t="shared" si="1"/>
        <v>1.107359938</v>
      </c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 t="str">
        <f>IFERROR(__xludf.DUMMYFUNCTION("""COMPUTED_VALUE"""),"Chile")</f>
        <v>Chile</v>
      </c>
      <c r="B234" s="18">
        <f>IFERROR(__xludf.DUMMYFUNCTION("""COMPUTED_VALUE"""),44340.0)</f>
        <v>44340</v>
      </c>
      <c r="C234" s="19">
        <f>IFERROR(__xludf.DUMMYFUNCTION("""COMPUTED_VALUE"""),44346.0)</f>
        <v>44346</v>
      </c>
      <c r="D234" s="17">
        <f>IFERROR(__xludf.DUMMYFUNCTION("""COMPUTED_VALUE"""),21.0)</f>
        <v>21</v>
      </c>
      <c r="E234" s="17">
        <f>IFERROR(__xludf.DUMMYFUNCTION("""COMPUTED_VALUE"""),3081.0)</f>
        <v>3081</v>
      </c>
      <c r="F234" s="17">
        <f>IFERROR(__xludf.DUMMYFUNCTION("""COMPUTED_VALUE"""),650.0)</f>
        <v>650</v>
      </c>
      <c r="G234" s="20"/>
      <c r="H234" s="20"/>
      <c r="I234" s="20"/>
      <c r="J234" s="21">
        <f>IFERROR(__xludf.DUMMYFUNCTION("""COMPUTED_VALUE"""),904.5)</f>
        <v>904.5</v>
      </c>
      <c r="K234" s="30">
        <f>IFERROR(__xludf.DUMMYFUNCTION("""COMPUTED_VALUE"""),3.3832383545552593)</f>
        <v>3.383238355</v>
      </c>
      <c r="L234" s="30">
        <f>IFERROR(__xludf.DUMMYFUNCTION("""COMPUTED_VALUE"""),4.707906294915742)</f>
        <v>4.707906295</v>
      </c>
      <c r="M234" s="30">
        <f>IFERROR(__xludf.DUMMYFUNCTION("""COMPUTED_VALUE"""),151.8189174241043)</f>
        <v>151.8189174</v>
      </c>
      <c r="N234" s="30">
        <f>IFERROR(__xludf.DUMMYFUNCTION("""COMPUTED_VALUE"""),188.73785534542813)</f>
        <v>188.7378553</v>
      </c>
      <c r="O234" s="30">
        <f t="shared" si="1"/>
        <v>1.32466794</v>
      </c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 t="str">
        <f>IFERROR(__xludf.DUMMYFUNCTION("""COMPUTED_VALUE"""),"Chile")</f>
        <v>Chile</v>
      </c>
      <c r="B235" s="18">
        <f>IFERROR(__xludf.DUMMYFUNCTION("""COMPUTED_VALUE"""),44347.0)</f>
        <v>44347</v>
      </c>
      <c r="C235" s="19">
        <f>IFERROR(__xludf.DUMMYFUNCTION("""COMPUTED_VALUE"""),44353.0)</f>
        <v>44353</v>
      </c>
      <c r="D235" s="17">
        <f>IFERROR(__xludf.DUMMYFUNCTION("""COMPUTED_VALUE"""),22.0)</f>
        <v>22</v>
      </c>
      <c r="E235" s="17">
        <f>IFERROR(__xludf.DUMMYFUNCTION("""COMPUTED_VALUE"""),3014.0)</f>
        <v>3014</v>
      </c>
      <c r="F235" s="17">
        <f>IFERROR(__xludf.DUMMYFUNCTION("""COMPUTED_VALUE"""),769.0)</f>
        <v>769</v>
      </c>
      <c r="G235" s="20"/>
      <c r="H235" s="20"/>
      <c r="I235" s="20"/>
      <c r="J235" s="21">
        <f>IFERROR(__xludf.DUMMYFUNCTION("""COMPUTED_VALUE"""),806.0)</f>
        <v>806</v>
      </c>
      <c r="K235" s="30">
        <f>IFERROR(__xludf.DUMMYFUNCTION("""COMPUTED_VALUE"""),4.002631222543069)</f>
        <v>4.002631223</v>
      </c>
      <c r="L235" s="30">
        <f>IFERROR(__xludf.DUMMYFUNCTION("""COMPUTED_VALUE"""),4.195215559648522)</f>
        <v>4.19521556</v>
      </c>
      <c r="M235" s="30">
        <f>IFERROR(__xludf.DUMMYFUNCTION("""COMPUTED_VALUE"""),155.8215486466474)</f>
        <v>155.8215486</v>
      </c>
      <c r="N235" s="30">
        <f>IFERROR(__xludf.DUMMYFUNCTION("""COMPUTED_VALUE"""),192.93307090507665)</f>
        <v>192.9330709</v>
      </c>
      <c r="O235" s="30">
        <f t="shared" si="1"/>
        <v>0.1925843371</v>
      </c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 t="str">
        <f>IFERROR(__xludf.DUMMYFUNCTION("""COMPUTED_VALUE"""),"Chile")</f>
        <v>Chile</v>
      </c>
      <c r="B236" s="18">
        <f>IFERROR(__xludf.DUMMYFUNCTION("""COMPUTED_VALUE"""),44354.0)</f>
        <v>44354</v>
      </c>
      <c r="C236" s="19">
        <f>IFERROR(__xludf.DUMMYFUNCTION("""COMPUTED_VALUE"""),44360.0)</f>
        <v>44360</v>
      </c>
      <c r="D236" s="17">
        <f>IFERROR(__xludf.DUMMYFUNCTION("""COMPUTED_VALUE"""),23.0)</f>
        <v>23</v>
      </c>
      <c r="E236" s="17">
        <f>IFERROR(__xludf.DUMMYFUNCTION("""COMPUTED_VALUE"""),3132.0)</f>
        <v>3132</v>
      </c>
      <c r="F236" s="17">
        <f>IFERROR(__xludf.DUMMYFUNCTION("""COMPUTED_VALUE"""),770.0)</f>
        <v>770</v>
      </c>
      <c r="G236" s="20"/>
      <c r="H236" s="20"/>
      <c r="I236" s="20"/>
      <c r="J236" s="21">
        <f>IFERROR(__xludf.DUMMYFUNCTION("""COMPUTED_VALUE"""),821.25)</f>
        <v>821.25</v>
      </c>
      <c r="K236" s="30">
        <f>IFERROR(__xludf.DUMMYFUNCTION("""COMPUTED_VALUE"""),4.007836204627)</f>
        <v>4.007836205</v>
      </c>
      <c r="L236" s="30">
        <f>IFERROR(__xludf.DUMMYFUNCTION("""COMPUTED_VALUE"""),4.274591536428473)</f>
        <v>4.274591536</v>
      </c>
      <c r="M236" s="30">
        <f>IFERROR(__xludf.DUMMYFUNCTION("""COMPUTED_VALUE"""),159.8293848512744)</f>
        <v>159.8293849</v>
      </c>
      <c r="N236" s="30">
        <f>IFERROR(__xludf.DUMMYFUNCTION("""COMPUTED_VALUE"""),197.2076624415051)</f>
        <v>197.2076624</v>
      </c>
      <c r="O236" s="30">
        <f t="shared" si="1"/>
        <v>0.2667553318</v>
      </c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 t="str">
        <f>IFERROR(__xludf.DUMMYFUNCTION("""COMPUTED_VALUE"""),"Chile")</f>
        <v>Chile</v>
      </c>
      <c r="B237" s="18">
        <f>IFERROR(__xludf.DUMMYFUNCTION("""COMPUTED_VALUE"""),44361.0)</f>
        <v>44361</v>
      </c>
      <c r="C237" s="19">
        <f>IFERROR(__xludf.DUMMYFUNCTION("""COMPUTED_VALUE"""),44367.0)</f>
        <v>44367</v>
      </c>
      <c r="D237" s="17">
        <f>IFERROR(__xludf.DUMMYFUNCTION("""COMPUTED_VALUE"""),24.0)</f>
        <v>24</v>
      </c>
      <c r="E237" s="17">
        <f>IFERROR(__xludf.DUMMYFUNCTION("""COMPUTED_VALUE"""),3180.0)</f>
        <v>3180</v>
      </c>
      <c r="F237" s="17">
        <f>IFERROR(__xludf.DUMMYFUNCTION("""COMPUTED_VALUE"""),806.0)</f>
        <v>806</v>
      </c>
      <c r="G237" s="20"/>
      <c r="H237" s="20"/>
      <c r="I237" s="20"/>
      <c r="J237" s="21">
        <f>IFERROR(__xludf.DUMMYFUNCTION("""COMPUTED_VALUE"""),764.75)</f>
        <v>764.75</v>
      </c>
      <c r="K237" s="30">
        <f>IFERROR(__xludf.DUMMYFUNCTION("""COMPUTED_VALUE"""),4.195215559648522)</f>
        <v>4.19521556</v>
      </c>
      <c r="L237" s="30">
        <f>IFERROR(__xludf.DUMMYFUNCTION("""COMPUTED_VALUE"""),3.980510048686361)</f>
        <v>3.980510049</v>
      </c>
      <c r="M237" s="30">
        <f>IFERROR(__xludf.DUMMYFUNCTION("""COMPUTED_VALUE"""),164.02460041092291)</f>
        <v>164.0246004</v>
      </c>
      <c r="N237" s="30">
        <f>IFERROR(__xludf.DUMMYFUNCTION("""COMPUTED_VALUE"""),201.18817249019148)</f>
        <v>201.1881725</v>
      </c>
      <c r="O237" s="30">
        <f t="shared" si="1"/>
        <v>-0.214705511</v>
      </c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 t="str">
        <f>IFERROR(__xludf.DUMMYFUNCTION("""COMPUTED_VALUE"""),"Chile")</f>
        <v>Chile</v>
      </c>
      <c r="B238" s="18">
        <f>IFERROR(__xludf.DUMMYFUNCTION("""COMPUTED_VALUE"""),44368.0)</f>
        <v>44368</v>
      </c>
      <c r="C238" s="19">
        <f>IFERROR(__xludf.DUMMYFUNCTION("""COMPUTED_VALUE"""),44374.0)</f>
        <v>44374</v>
      </c>
      <c r="D238" s="17">
        <f>IFERROR(__xludf.DUMMYFUNCTION("""COMPUTED_VALUE"""),25.0)</f>
        <v>25</v>
      </c>
      <c r="E238" s="17">
        <f>IFERROR(__xludf.DUMMYFUNCTION("""COMPUTED_VALUE"""),3194.0)</f>
        <v>3194</v>
      </c>
      <c r="F238" s="17">
        <f>IFERROR(__xludf.DUMMYFUNCTION("""COMPUTED_VALUE"""),785.0)</f>
        <v>785</v>
      </c>
      <c r="G238" s="20"/>
      <c r="H238" s="20"/>
      <c r="I238" s="20"/>
      <c r="J238" s="21">
        <f>IFERROR(__xludf.DUMMYFUNCTION("""COMPUTED_VALUE"""),768.5)</f>
        <v>768.5</v>
      </c>
      <c r="K238" s="30">
        <f>IFERROR(__xludf.DUMMYFUNCTION("""COMPUTED_VALUE"""),4.085910935885968)</f>
        <v>4.085910936</v>
      </c>
      <c r="L238" s="30">
        <f>IFERROR(__xludf.DUMMYFUNCTION("""COMPUTED_VALUE"""),4.000028731501104)</f>
        <v>4.000028732</v>
      </c>
      <c r="M238" s="30">
        <f>IFERROR(__xludf.DUMMYFUNCTION("""COMPUTED_VALUE"""),168.1105113468089)</f>
        <v>168.1105113</v>
      </c>
      <c r="N238" s="30">
        <f>IFERROR(__xludf.DUMMYFUNCTION("""COMPUTED_VALUE"""),205.18820122169257)</f>
        <v>205.1882012</v>
      </c>
      <c r="O238" s="30">
        <f t="shared" si="1"/>
        <v>-0.08588220438</v>
      </c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 t="str">
        <f>IFERROR(__xludf.DUMMYFUNCTION("""COMPUTED_VALUE"""),"Chile")</f>
        <v>Chile</v>
      </c>
      <c r="B239" s="18">
        <f>IFERROR(__xludf.DUMMYFUNCTION("""COMPUTED_VALUE"""),44375.0)</f>
        <v>44375</v>
      </c>
      <c r="C239" s="19">
        <f>IFERROR(__xludf.DUMMYFUNCTION("""COMPUTED_VALUE"""),44381.0)</f>
        <v>44381</v>
      </c>
      <c r="D239" s="17">
        <f>IFERROR(__xludf.DUMMYFUNCTION("""COMPUTED_VALUE"""),26.0)</f>
        <v>26</v>
      </c>
      <c r="E239" s="17">
        <f>IFERROR(__xludf.DUMMYFUNCTION("""COMPUTED_VALUE"""),3326.0)</f>
        <v>3326</v>
      </c>
      <c r="F239" s="17">
        <f>IFERROR(__xludf.DUMMYFUNCTION("""COMPUTED_VALUE"""),805.0)</f>
        <v>805</v>
      </c>
      <c r="G239" s="20"/>
      <c r="H239" s="20"/>
      <c r="I239" s="20"/>
      <c r="J239" s="21">
        <f>IFERROR(__xludf.DUMMYFUNCTION("""COMPUTED_VALUE"""),885.25)</f>
        <v>885.25</v>
      </c>
      <c r="K239" s="30">
        <f>IFERROR(__xludf.DUMMYFUNCTION("""COMPUTED_VALUE"""),4.190010577564591)</f>
        <v>4.190010578</v>
      </c>
      <c r="L239" s="30">
        <f>IFERROR(__xludf.DUMMYFUNCTION("""COMPUTED_VALUE"""),4.607710389800068)</f>
        <v>4.60771039</v>
      </c>
      <c r="M239" s="30">
        <f>IFERROR(__xludf.DUMMYFUNCTION("""COMPUTED_VALUE"""),172.30052192437347)</f>
        <v>172.3005219</v>
      </c>
      <c r="N239" s="30">
        <f>IFERROR(__xludf.DUMMYFUNCTION("""COMPUTED_VALUE"""),209.79591161149264)</f>
        <v>209.7959116</v>
      </c>
      <c r="O239" s="30">
        <f t="shared" si="1"/>
        <v>0.4176998122</v>
      </c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 t="str">
        <f>IFERROR(__xludf.DUMMYFUNCTION("""COMPUTED_VALUE"""),"Chile")</f>
        <v>Chile</v>
      </c>
      <c r="B240" s="18">
        <f>IFERROR(__xludf.DUMMYFUNCTION("""COMPUTED_VALUE"""),44382.0)</f>
        <v>44382</v>
      </c>
      <c r="C240" s="19">
        <f>IFERROR(__xludf.DUMMYFUNCTION("""COMPUTED_VALUE"""),44388.0)</f>
        <v>44388</v>
      </c>
      <c r="D240" s="17">
        <f>IFERROR(__xludf.DUMMYFUNCTION("""COMPUTED_VALUE"""),27.0)</f>
        <v>27</v>
      </c>
      <c r="E240" s="17">
        <f>IFERROR(__xludf.DUMMYFUNCTION("""COMPUTED_VALUE"""),3119.0)</f>
        <v>3119</v>
      </c>
      <c r="F240" s="17">
        <f>IFERROR(__xludf.DUMMYFUNCTION("""COMPUTED_VALUE"""),774.0)</f>
        <v>774</v>
      </c>
      <c r="G240" s="20"/>
      <c r="H240" s="20"/>
      <c r="I240" s="20"/>
      <c r="J240" s="21">
        <f>IFERROR(__xludf.DUMMYFUNCTION("""COMPUTED_VALUE"""),729.0)</f>
        <v>729</v>
      </c>
      <c r="K240" s="30">
        <f>IFERROR(__xludf.DUMMYFUNCTION("""COMPUTED_VALUE"""),4.028656132962725)</f>
        <v>4.028656133</v>
      </c>
      <c r="L240" s="30">
        <f>IFERROR(__xludf.DUMMYFUNCTION("""COMPUTED_VALUE"""),3.794431939185822)</f>
        <v>3.794431939</v>
      </c>
      <c r="M240" s="30">
        <f>IFERROR(__xludf.DUMMYFUNCTION("""COMPUTED_VALUE"""),176.3291780573362)</f>
        <v>176.3291781</v>
      </c>
      <c r="N240" s="30">
        <f>IFERROR(__xludf.DUMMYFUNCTION("""COMPUTED_VALUE"""),213.59034355067845)</f>
        <v>213.5903436</v>
      </c>
      <c r="O240" s="30">
        <f t="shared" si="1"/>
        <v>-0.2342241938</v>
      </c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 t="str">
        <f>IFERROR(__xludf.DUMMYFUNCTION("""COMPUTED_VALUE"""),"Chile")</f>
        <v>Chile</v>
      </c>
      <c r="B241" s="18">
        <f>IFERROR(__xludf.DUMMYFUNCTION("""COMPUTED_VALUE"""),44389.0)</f>
        <v>44389</v>
      </c>
      <c r="C241" s="19">
        <f>IFERROR(__xludf.DUMMYFUNCTION("""COMPUTED_VALUE"""),44395.0)</f>
        <v>44395</v>
      </c>
      <c r="D241" s="17">
        <f>IFERROR(__xludf.DUMMYFUNCTION("""COMPUTED_VALUE"""),28.0)</f>
        <v>28</v>
      </c>
      <c r="E241" s="17">
        <f>IFERROR(__xludf.DUMMYFUNCTION("""COMPUTED_VALUE"""),3042.0)</f>
        <v>3042</v>
      </c>
      <c r="F241" s="17">
        <f>IFERROR(__xludf.DUMMYFUNCTION("""COMPUTED_VALUE"""),637.0)</f>
        <v>637</v>
      </c>
      <c r="G241" s="20"/>
      <c r="H241" s="20"/>
      <c r="I241" s="20"/>
      <c r="J241" s="21">
        <f>IFERROR(__xludf.DUMMYFUNCTION("""COMPUTED_VALUE"""),681.25)</f>
        <v>681.25</v>
      </c>
      <c r="K241" s="30">
        <f>IFERROR(__xludf.DUMMYFUNCTION("""COMPUTED_VALUE"""),3.3155735874641548)</f>
        <v>3.315573587</v>
      </c>
      <c r="L241" s="30">
        <f>IFERROR(__xludf.DUMMYFUNCTION("""COMPUTED_VALUE"""),3.545894044678109)</f>
        <v>3.545894045</v>
      </c>
      <c r="M241" s="30">
        <f>IFERROR(__xludf.DUMMYFUNCTION("""COMPUTED_VALUE"""),179.64475164480035)</f>
        <v>179.6447516</v>
      </c>
      <c r="N241" s="30">
        <f>IFERROR(__xludf.DUMMYFUNCTION("""COMPUTED_VALUE"""),217.13623759535656)</f>
        <v>217.1362376</v>
      </c>
      <c r="O241" s="30">
        <f t="shared" si="1"/>
        <v>0.2303204572</v>
      </c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 t="str">
        <f>IFERROR(__xludf.DUMMYFUNCTION("""COMPUTED_VALUE"""),"Chile")</f>
        <v>Chile</v>
      </c>
      <c r="B242" s="18">
        <f>IFERROR(__xludf.DUMMYFUNCTION("""COMPUTED_VALUE"""),44396.0)</f>
        <v>44396</v>
      </c>
      <c r="C242" s="19">
        <f>IFERROR(__xludf.DUMMYFUNCTION("""COMPUTED_VALUE"""),44402.0)</f>
        <v>44402</v>
      </c>
      <c r="D242" s="17">
        <f>IFERROR(__xludf.DUMMYFUNCTION("""COMPUTED_VALUE"""),29.0)</f>
        <v>29</v>
      </c>
      <c r="E242" s="17">
        <f>IFERROR(__xludf.DUMMYFUNCTION("""COMPUTED_VALUE"""),2866.0)</f>
        <v>2866</v>
      </c>
      <c r="F242" s="17">
        <f>IFERROR(__xludf.DUMMYFUNCTION("""COMPUTED_VALUE"""),512.0)</f>
        <v>512</v>
      </c>
      <c r="G242" s="20"/>
      <c r="H242" s="20"/>
      <c r="I242" s="20"/>
      <c r="J242" s="21">
        <f>IFERROR(__xludf.DUMMYFUNCTION("""COMPUTED_VALUE"""),441.25)</f>
        <v>441.25</v>
      </c>
      <c r="K242" s="30">
        <f>IFERROR(__xludf.DUMMYFUNCTION("""COMPUTED_VALUE"""),2.6649508269727584)</f>
        <v>2.664950827</v>
      </c>
      <c r="L242" s="30">
        <f>IFERROR(__xludf.DUMMYFUNCTION("""COMPUTED_VALUE"""),2.2966983445346285)</f>
        <v>2.296698345</v>
      </c>
      <c r="M242" s="30">
        <f>IFERROR(__xludf.DUMMYFUNCTION("""COMPUTED_VALUE"""),182.3097024717731)</f>
        <v>182.3097025</v>
      </c>
      <c r="N242" s="30">
        <f>IFERROR(__xludf.DUMMYFUNCTION("""COMPUTED_VALUE"""),219.4329359398912)</f>
        <v>219.4329359</v>
      </c>
      <c r="O242" s="30">
        <f t="shared" si="1"/>
        <v>-0.3682524824</v>
      </c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 t="str">
        <f>IFERROR(__xludf.DUMMYFUNCTION("""COMPUTED_VALUE"""),"Chile")</f>
        <v>Chile</v>
      </c>
      <c r="B243" s="18">
        <f>IFERROR(__xludf.DUMMYFUNCTION("""COMPUTED_VALUE"""),44403.0)</f>
        <v>44403</v>
      </c>
      <c r="C243" s="19">
        <f>IFERROR(__xludf.DUMMYFUNCTION("""COMPUTED_VALUE"""),44409.0)</f>
        <v>44409</v>
      </c>
      <c r="D243" s="17">
        <f>IFERROR(__xludf.DUMMYFUNCTION("""COMPUTED_VALUE"""),30.0)</f>
        <v>30</v>
      </c>
      <c r="E243" s="17">
        <f>IFERROR(__xludf.DUMMYFUNCTION("""COMPUTED_VALUE"""),2745.0)</f>
        <v>2745</v>
      </c>
      <c r="F243" s="17">
        <f>IFERROR(__xludf.DUMMYFUNCTION("""COMPUTED_VALUE"""),502.0)</f>
        <v>502</v>
      </c>
      <c r="G243" s="20"/>
      <c r="H243" s="20"/>
      <c r="I243" s="20"/>
      <c r="J243" s="21">
        <f>IFERROR(__xludf.DUMMYFUNCTION("""COMPUTED_VALUE"""),375.25)</f>
        <v>375.25</v>
      </c>
      <c r="K243" s="30">
        <f>IFERROR(__xludf.DUMMYFUNCTION("""COMPUTED_VALUE"""),2.6129010061334466)</f>
        <v>2.612901006</v>
      </c>
      <c r="L243" s="30">
        <f>IFERROR(__xludf.DUMMYFUNCTION("""COMPUTED_VALUE"""),1.9531695269951712)</f>
        <v>1.953169527</v>
      </c>
      <c r="M243" s="30">
        <f>IFERROR(__xludf.DUMMYFUNCTION("""COMPUTED_VALUE"""),184.92260347790656)</f>
        <v>184.9226035</v>
      </c>
      <c r="N243" s="30">
        <f>IFERROR(__xludf.DUMMYFUNCTION("""COMPUTED_VALUE"""),221.38610546688636)</f>
        <v>221.3861055</v>
      </c>
      <c r="O243" s="30">
        <f t="shared" si="1"/>
        <v>-0.6597314791</v>
      </c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 t="str">
        <f>IFERROR(__xludf.DUMMYFUNCTION("""COMPUTED_VALUE"""),"Chile")</f>
        <v>Chile</v>
      </c>
      <c r="B244" s="18">
        <f>IFERROR(__xludf.DUMMYFUNCTION("""COMPUTED_VALUE"""),44410.0)</f>
        <v>44410</v>
      </c>
      <c r="C244" s="19">
        <f>IFERROR(__xludf.DUMMYFUNCTION("""COMPUTED_VALUE"""),44416.0)</f>
        <v>44416</v>
      </c>
      <c r="D244" s="17">
        <f>IFERROR(__xludf.DUMMYFUNCTION("""COMPUTED_VALUE"""),31.0)</f>
        <v>31</v>
      </c>
      <c r="E244" s="17">
        <f>IFERROR(__xludf.DUMMYFUNCTION("""COMPUTED_VALUE"""),2639.0)</f>
        <v>2639</v>
      </c>
      <c r="F244" s="17">
        <f>IFERROR(__xludf.DUMMYFUNCTION("""COMPUTED_VALUE"""),488.0)</f>
        <v>488</v>
      </c>
      <c r="G244" s="20"/>
      <c r="H244" s="20"/>
      <c r="I244" s="20"/>
      <c r="J244" s="21">
        <f>IFERROR(__xludf.DUMMYFUNCTION("""COMPUTED_VALUE"""),295.0)</f>
        <v>295</v>
      </c>
      <c r="K244" s="30">
        <f>IFERROR(__xludf.DUMMYFUNCTION("""COMPUTED_VALUE"""),2.5400312569584105)</f>
        <v>2.540031257</v>
      </c>
      <c r="L244" s="30">
        <f>IFERROR(__xludf.DUMMYFUNCTION("""COMPUTED_VALUE"""),1.5354697147596947)</f>
        <v>1.535469715</v>
      </c>
      <c r="M244" s="30">
        <f>IFERROR(__xludf.DUMMYFUNCTION("""COMPUTED_VALUE"""),187.46263473486496)</f>
        <v>187.4626347</v>
      </c>
      <c r="N244" s="30">
        <f>IFERROR(__xludf.DUMMYFUNCTION("""COMPUTED_VALUE"""),222.92157518164606)</f>
        <v>222.9215752</v>
      </c>
      <c r="O244" s="30">
        <f t="shared" si="1"/>
        <v>-1.004561542</v>
      </c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 t="str">
        <f>IFERROR(__xludf.DUMMYFUNCTION("""COMPUTED_VALUE"""),"Chile")</f>
        <v>Chile</v>
      </c>
      <c r="B245" s="18">
        <f>IFERROR(__xludf.DUMMYFUNCTION("""COMPUTED_VALUE"""),44417.0)</f>
        <v>44417</v>
      </c>
      <c r="C245" s="19">
        <f>IFERROR(__xludf.DUMMYFUNCTION("""COMPUTED_VALUE"""),44423.0)</f>
        <v>44423</v>
      </c>
      <c r="D245" s="17">
        <f>IFERROR(__xludf.DUMMYFUNCTION("""COMPUTED_VALUE"""),32.0)</f>
        <v>32</v>
      </c>
      <c r="E245" s="17">
        <f>IFERROR(__xludf.DUMMYFUNCTION("""COMPUTED_VALUE"""),2625.0)</f>
        <v>2625</v>
      </c>
      <c r="F245" s="17">
        <f>IFERROR(__xludf.DUMMYFUNCTION("""COMPUTED_VALUE"""),364.0)</f>
        <v>364</v>
      </c>
      <c r="G245" s="20"/>
      <c r="H245" s="20"/>
      <c r="I245" s="20"/>
      <c r="J245" s="21">
        <f>IFERROR(__xludf.DUMMYFUNCTION("""COMPUTED_VALUE"""),347.25)</f>
        <v>347.25</v>
      </c>
      <c r="K245" s="30">
        <f>IFERROR(__xludf.DUMMYFUNCTION("""COMPUTED_VALUE"""),1.8946134785509456)</f>
        <v>1.894613479</v>
      </c>
      <c r="L245" s="30">
        <f>IFERROR(__xludf.DUMMYFUNCTION("""COMPUTED_VALUE"""),1.8074300286450986)</f>
        <v>1.807430029</v>
      </c>
      <c r="M245" s="30">
        <f>IFERROR(__xludf.DUMMYFUNCTION("""COMPUTED_VALUE"""),189.35724821341591)</f>
        <v>189.3572482</v>
      </c>
      <c r="N245" s="30">
        <f>IFERROR(__xludf.DUMMYFUNCTION("""COMPUTED_VALUE"""),224.72900521029115)</f>
        <v>224.7290052</v>
      </c>
      <c r="O245" s="30">
        <f t="shared" si="1"/>
        <v>-0.08718344991</v>
      </c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 t="str">
        <f>IFERROR(__xludf.DUMMYFUNCTION("""COMPUTED_VALUE"""),"Chile")</f>
        <v>Chile</v>
      </c>
      <c r="B246" s="18">
        <f>IFERROR(__xludf.DUMMYFUNCTION("""COMPUTED_VALUE"""),44424.0)</f>
        <v>44424</v>
      </c>
      <c r="C246" s="19">
        <f>IFERROR(__xludf.DUMMYFUNCTION("""COMPUTED_VALUE"""),44430.0)</f>
        <v>44430</v>
      </c>
      <c r="D246" s="17">
        <f>IFERROR(__xludf.DUMMYFUNCTION("""COMPUTED_VALUE"""),33.0)</f>
        <v>33</v>
      </c>
      <c r="E246" s="17">
        <f>IFERROR(__xludf.DUMMYFUNCTION("""COMPUTED_VALUE"""),2608.0)</f>
        <v>2608</v>
      </c>
      <c r="F246" s="17">
        <f>IFERROR(__xludf.DUMMYFUNCTION("""COMPUTED_VALUE"""),270.0)</f>
        <v>270</v>
      </c>
      <c r="G246" s="20"/>
      <c r="H246" s="20"/>
      <c r="I246" s="20"/>
      <c r="J246" s="21">
        <f>IFERROR(__xludf.DUMMYFUNCTION("""COMPUTED_VALUE"""),363.0)</f>
        <v>363</v>
      </c>
      <c r="K246" s="30">
        <f>IFERROR(__xludf.DUMMYFUNCTION("""COMPUTED_VALUE"""),1.4053451626614155)</f>
        <v>1.405345163</v>
      </c>
      <c r="L246" s="30">
        <f>IFERROR(__xludf.DUMMYFUNCTION("""COMPUTED_VALUE"""),1.8894084964670141)</f>
        <v>1.889408496</v>
      </c>
      <c r="M246" s="30">
        <f>IFERROR(__xludf.DUMMYFUNCTION("""COMPUTED_VALUE"""),190.76259337607732)</f>
        <v>190.7625934</v>
      </c>
      <c r="N246" s="30">
        <f>IFERROR(__xludf.DUMMYFUNCTION("""COMPUTED_VALUE"""),226.61841370675816)</f>
        <v>226.6184137</v>
      </c>
      <c r="O246" s="30">
        <f t="shared" si="1"/>
        <v>0.4840633338</v>
      </c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 t="str">
        <f>IFERROR(__xludf.DUMMYFUNCTION("""COMPUTED_VALUE"""),"Chile")</f>
        <v>Chile</v>
      </c>
      <c r="B247" s="18">
        <f>IFERROR(__xludf.DUMMYFUNCTION("""COMPUTED_VALUE"""),44431.0)</f>
        <v>44431</v>
      </c>
      <c r="C247" s="19">
        <f>IFERROR(__xludf.DUMMYFUNCTION("""COMPUTED_VALUE"""),44437.0)</f>
        <v>44437</v>
      </c>
      <c r="D247" s="17">
        <f>IFERROR(__xludf.DUMMYFUNCTION("""COMPUTED_VALUE"""),34.0)</f>
        <v>34</v>
      </c>
      <c r="E247" s="17">
        <f>IFERROR(__xludf.DUMMYFUNCTION("""COMPUTED_VALUE"""),2357.0)</f>
        <v>2357</v>
      </c>
      <c r="F247" s="17">
        <f>IFERROR(__xludf.DUMMYFUNCTION("""COMPUTED_VALUE"""),235.0)</f>
        <v>235</v>
      </c>
      <c r="G247" s="20"/>
      <c r="H247" s="20"/>
      <c r="I247" s="20"/>
      <c r="J247" s="21">
        <f>IFERROR(__xludf.DUMMYFUNCTION("""COMPUTED_VALUE"""),134.0)</f>
        <v>134</v>
      </c>
      <c r="K247" s="30">
        <f>IFERROR(__xludf.DUMMYFUNCTION("""COMPUTED_VALUE"""),1.2231707897238246)</f>
        <v>1.22317079</v>
      </c>
      <c r="L247" s="30">
        <f>IFERROR(__xludf.DUMMYFUNCTION("""COMPUTED_VALUE"""),0.6974675992467766)</f>
        <v>0.6974675992</v>
      </c>
      <c r="M247" s="30">
        <f>IFERROR(__xludf.DUMMYFUNCTION("""COMPUTED_VALUE"""),191.98576416580116)</f>
        <v>191.9857642</v>
      </c>
      <c r="N247" s="30">
        <f>IFERROR(__xludf.DUMMYFUNCTION("""COMPUTED_VALUE"""),227.31588130600494)</f>
        <v>227.3158813</v>
      </c>
      <c r="O247" s="30">
        <f t="shared" si="1"/>
        <v>-0.5257031905</v>
      </c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 t="str">
        <f>IFERROR(__xludf.DUMMYFUNCTION("""COMPUTED_VALUE"""),"Chile")</f>
        <v>Chile</v>
      </c>
      <c r="B248" s="18">
        <f>IFERROR(__xludf.DUMMYFUNCTION("""COMPUTED_VALUE"""),44438.0)</f>
        <v>44438</v>
      </c>
      <c r="C248" s="19">
        <f>IFERROR(__xludf.DUMMYFUNCTION("""COMPUTED_VALUE"""),44444.0)</f>
        <v>44444</v>
      </c>
      <c r="D248" s="17">
        <f>IFERROR(__xludf.DUMMYFUNCTION("""COMPUTED_VALUE"""),35.0)</f>
        <v>35</v>
      </c>
      <c r="E248" s="17">
        <f>IFERROR(__xludf.DUMMYFUNCTION("""COMPUTED_VALUE"""),2332.0)</f>
        <v>2332</v>
      </c>
      <c r="F248" s="17">
        <f>IFERROR(__xludf.DUMMYFUNCTION("""COMPUTED_VALUE"""),205.0)</f>
        <v>205</v>
      </c>
      <c r="G248" s="20"/>
      <c r="H248" s="20"/>
      <c r="I248" s="20"/>
      <c r="J248" s="21">
        <f>IFERROR(__xludf.DUMMYFUNCTION("""COMPUTED_VALUE"""),177.0)</f>
        <v>177</v>
      </c>
      <c r="K248" s="30">
        <f>IFERROR(__xludf.DUMMYFUNCTION("""COMPUTED_VALUE"""),1.0670213272058895)</f>
        <v>1.067021327</v>
      </c>
      <c r="L248" s="30">
        <f>IFERROR(__xludf.DUMMYFUNCTION("""COMPUTED_VALUE"""),0.9212818288558169)</f>
        <v>0.9212818289</v>
      </c>
      <c r="M248" s="30">
        <f>IFERROR(__xludf.DUMMYFUNCTION("""COMPUTED_VALUE"""),193.05278549300704)</f>
        <v>193.0527855</v>
      </c>
      <c r="N248" s="30">
        <f>IFERROR(__xludf.DUMMYFUNCTION("""COMPUTED_VALUE"""),228.23716313486077)</f>
        <v>228.2371631</v>
      </c>
      <c r="O248" s="30">
        <f t="shared" si="1"/>
        <v>-0.1457394984</v>
      </c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 t="str">
        <f>IFERROR(__xludf.DUMMYFUNCTION("""COMPUTED_VALUE"""),"Chile")</f>
        <v>Chile</v>
      </c>
      <c r="B249" s="18">
        <f>IFERROR(__xludf.DUMMYFUNCTION("""COMPUTED_VALUE"""),44445.0)</f>
        <v>44445</v>
      </c>
      <c r="C249" s="19">
        <f>IFERROR(__xludf.DUMMYFUNCTION("""COMPUTED_VALUE"""),44451.0)</f>
        <v>44451</v>
      </c>
      <c r="D249" s="17">
        <f>IFERROR(__xludf.DUMMYFUNCTION("""COMPUTED_VALUE"""),36.0)</f>
        <v>36</v>
      </c>
      <c r="E249" s="17">
        <f>IFERROR(__xludf.DUMMYFUNCTION("""COMPUTED_VALUE"""),2394.0)</f>
        <v>2394</v>
      </c>
      <c r="F249" s="17">
        <f>IFERROR(__xludf.DUMMYFUNCTION("""COMPUTED_VALUE"""),142.0)</f>
        <v>142</v>
      </c>
      <c r="G249" s="20"/>
      <c r="H249" s="20"/>
      <c r="I249" s="20"/>
      <c r="J249" s="21">
        <f>IFERROR(__xludf.DUMMYFUNCTION("""COMPUTED_VALUE"""),180.75)</f>
        <v>180.75</v>
      </c>
      <c r="K249" s="30">
        <f>IFERROR(__xludf.DUMMYFUNCTION("""COMPUTED_VALUE"""),0.7391074559182259)</f>
        <v>0.7391074559</v>
      </c>
      <c r="L249" s="30">
        <f>IFERROR(__xludf.DUMMYFUNCTION("""COMPUTED_VALUE"""),0.9408005116705588)</f>
        <v>0.9408005117</v>
      </c>
      <c r="M249" s="30">
        <f>IFERROR(__xludf.DUMMYFUNCTION("""COMPUTED_VALUE"""),193.79189294892527)</f>
        <v>193.7918929</v>
      </c>
      <c r="N249" s="30">
        <f>IFERROR(__xludf.DUMMYFUNCTION("""COMPUTED_VALUE"""),229.1779636465313)</f>
        <v>229.1779636</v>
      </c>
      <c r="O249" s="30">
        <f t="shared" si="1"/>
        <v>0.2016930558</v>
      </c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 t="str">
        <f>IFERROR(__xludf.DUMMYFUNCTION("""COMPUTED_VALUE"""),"Chile")</f>
        <v>Chile</v>
      </c>
      <c r="B250" s="18">
        <f>IFERROR(__xludf.DUMMYFUNCTION("""COMPUTED_VALUE"""),44452.0)</f>
        <v>44452</v>
      </c>
      <c r="C250" s="19">
        <f>IFERROR(__xludf.DUMMYFUNCTION("""COMPUTED_VALUE"""),44458.0)</f>
        <v>44458</v>
      </c>
      <c r="D250" s="17">
        <f>IFERROR(__xludf.DUMMYFUNCTION("""COMPUTED_VALUE"""),37.0)</f>
        <v>37</v>
      </c>
      <c r="E250" s="17">
        <f>IFERROR(__xludf.DUMMYFUNCTION("""COMPUTED_VALUE"""),2383.0)</f>
        <v>2383</v>
      </c>
      <c r="F250" s="17">
        <f>IFERROR(__xludf.DUMMYFUNCTION("""COMPUTED_VALUE"""),127.0)</f>
        <v>127</v>
      </c>
      <c r="G250" s="20"/>
      <c r="H250" s="20"/>
      <c r="I250" s="20"/>
      <c r="J250" s="21">
        <f>IFERROR(__xludf.DUMMYFUNCTION("""COMPUTED_VALUE"""),228.75)</f>
        <v>228.75</v>
      </c>
      <c r="K250" s="30">
        <f>IFERROR(__xludf.DUMMYFUNCTION("""COMPUTED_VALUE"""),0.6610327246592584)</f>
        <v>0.6610327247</v>
      </c>
      <c r="L250" s="30">
        <f>IFERROR(__xludf.DUMMYFUNCTION("""COMPUTED_VALUE"""),1.1906396516992548)</f>
        <v>1.190639652</v>
      </c>
      <c r="M250" s="30">
        <f>IFERROR(__xludf.DUMMYFUNCTION("""COMPUTED_VALUE"""),194.45292567358453)</f>
        <v>194.4529257</v>
      </c>
      <c r="N250" s="30">
        <f>IFERROR(__xludf.DUMMYFUNCTION("""COMPUTED_VALUE"""),230.36860329823057)</f>
        <v>230.3686033</v>
      </c>
      <c r="O250" s="30">
        <f t="shared" si="1"/>
        <v>0.529606927</v>
      </c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 t="str">
        <f>IFERROR(__xludf.DUMMYFUNCTION("""COMPUTED_VALUE"""),"Chile")</f>
        <v>Chile</v>
      </c>
      <c r="B251" s="18">
        <f>IFERROR(__xludf.DUMMYFUNCTION("""COMPUTED_VALUE"""),44459.0)</f>
        <v>44459</v>
      </c>
      <c r="C251" s="19">
        <f>IFERROR(__xludf.DUMMYFUNCTION("""COMPUTED_VALUE"""),44465.0)</f>
        <v>44465</v>
      </c>
      <c r="D251" s="17">
        <f>IFERROR(__xludf.DUMMYFUNCTION("""COMPUTED_VALUE"""),38.0)</f>
        <v>38</v>
      </c>
      <c r="E251" s="17">
        <f>IFERROR(__xludf.DUMMYFUNCTION("""COMPUTED_VALUE"""),2354.0)</f>
        <v>2354</v>
      </c>
      <c r="F251" s="17">
        <f>IFERROR(__xludf.DUMMYFUNCTION("""COMPUTED_VALUE"""),81.0)</f>
        <v>81</v>
      </c>
      <c r="G251" s="20"/>
      <c r="H251" s="20"/>
      <c r="I251" s="20"/>
      <c r="J251" s="21">
        <f>IFERROR(__xludf.DUMMYFUNCTION("""COMPUTED_VALUE"""),140.25)</f>
        <v>140.25</v>
      </c>
      <c r="K251" s="30">
        <f>IFERROR(__xludf.DUMMYFUNCTION("""COMPUTED_VALUE"""),0.42160354879842465)</f>
        <v>0.4216035488</v>
      </c>
      <c r="L251" s="30">
        <f>IFERROR(__xludf.DUMMYFUNCTION("""COMPUTED_VALUE"""),0.7299987372713465)</f>
        <v>0.7299987373</v>
      </c>
      <c r="M251" s="30">
        <f>IFERROR(__xludf.DUMMYFUNCTION("""COMPUTED_VALUE"""),194.87452922238296)</f>
        <v>194.8745292</v>
      </c>
      <c r="N251" s="30">
        <f>IFERROR(__xludf.DUMMYFUNCTION("""COMPUTED_VALUE"""),231.09860203550193)</f>
        <v>231.098602</v>
      </c>
      <c r="O251" s="30">
        <f t="shared" si="1"/>
        <v>0.3083951885</v>
      </c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 t="str">
        <f>IFERROR(__xludf.DUMMYFUNCTION("""COMPUTED_VALUE"""),"Chile")</f>
        <v>Chile</v>
      </c>
      <c r="B252" s="18">
        <f>IFERROR(__xludf.DUMMYFUNCTION("""COMPUTED_VALUE"""),44466.0)</f>
        <v>44466</v>
      </c>
      <c r="C252" s="19">
        <f>IFERROR(__xludf.DUMMYFUNCTION("""COMPUTED_VALUE"""),44472.0)</f>
        <v>44472</v>
      </c>
      <c r="D252" s="17">
        <f>IFERROR(__xludf.DUMMYFUNCTION("""COMPUTED_VALUE"""),39.0)</f>
        <v>39</v>
      </c>
      <c r="E252" s="17">
        <f>IFERROR(__xludf.DUMMYFUNCTION("""COMPUTED_VALUE"""),2244.0)</f>
        <v>2244</v>
      </c>
      <c r="F252" s="17">
        <f>IFERROR(__xludf.DUMMYFUNCTION("""COMPUTED_VALUE"""),54.0)</f>
        <v>54</v>
      </c>
      <c r="G252" s="20"/>
      <c r="H252" s="20"/>
      <c r="I252" s="20"/>
      <c r="J252" s="21">
        <f>IFERROR(__xludf.DUMMYFUNCTION("""COMPUTED_VALUE"""),121.5)</f>
        <v>121.5</v>
      </c>
      <c r="K252" s="30">
        <f>IFERROR(__xludf.DUMMYFUNCTION("""COMPUTED_VALUE"""),0.28106903253228316)</f>
        <v>0.2810690325</v>
      </c>
      <c r="L252" s="30">
        <f>IFERROR(__xludf.DUMMYFUNCTION("""COMPUTED_VALUE"""),0.632405323197637)</f>
        <v>0.6324053232</v>
      </c>
      <c r="M252" s="30">
        <f>IFERROR(__xludf.DUMMYFUNCTION("""COMPUTED_VALUE"""),195.15559825491525)</f>
        <v>195.1555983</v>
      </c>
      <c r="N252" s="30">
        <f>IFERROR(__xludf.DUMMYFUNCTION("""COMPUTED_VALUE"""),231.73100735869957)</f>
        <v>231.7310074</v>
      </c>
      <c r="O252" s="30">
        <f t="shared" si="1"/>
        <v>0.3513362907</v>
      </c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 t="str">
        <f>IFERROR(__xludf.DUMMYFUNCTION("""COMPUTED_VALUE"""),"Chile")</f>
        <v>Chile</v>
      </c>
      <c r="B253" s="18">
        <f>IFERROR(__xludf.DUMMYFUNCTION("""COMPUTED_VALUE"""),44473.0)</f>
        <v>44473</v>
      </c>
      <c r="C253" s="19">
        <f>IFERROR(__xludf.DUMMYFUNCTION("""COMPUTED_VALUE"""),44479.0)</f>
        <v>44479</v>
      </c>
      <c r="D253" s="17">
        <f>IFERROR(__xludf.DUMMYFUNCTION("""COMPUTED_VALUE"""),40.0)</f>
        <v>40</v>
      </c>
      <c r="E253" s="17">
        <f>IFERROR(__xludf.DUMMYFUNCTION("""COMPUTED_VALUE"""),2316.0)</f>
        <v>2316</v>
      </c>
      <c r="F253" s="17">
        <f>IFERROR(__xludf.DUMMYFUNCTION("""COMPUTED_VALUE"""),70.0)</f>
        <v>70</v>
      </c>
      <c r="G253" s="20"/>
      <c r="H253" s="20"/>
      <c r="I253" s="20"/>
      <c r="J253" s="21">
        <f>IFERROR(__xludf.DUMMYFUNCTION("""COMPUTED_VALUE"""),246.75)</f>
        <v>246.75</v>
      </c>
      <c r="K253" s="30">
        <f>IFERROR(__xludf.DUMMYFUNCTION("""COMPUTED_VALUE"""),0.36434874587518185)</f>
        <v>0.3643487459</v>
      </c>
      <c r="L253" s="30">
        <f>IFERROR(__xludf.DUMMYFUNCTION("""COMPUTED_VALUE"""),1.284329329210016)</f>
        <v>1.284329329</v>
      </c>
      <c r="M253" s="30">
        <f>IFERROR(__xludf.DUMMYFUNCTION("""COMPUTED_VALUE"""),195.51994700079044)</f>
        <v>195.519947</v>
      </c>
      <c r="N253" s="30">
        <f>IFERROR(__xludf.DUMMYFUNCTION("""COMPUTED_VALUE"""),233.01533668790958)</f>
        <v>233.0153367</v>
      </c>
      <c r="O253" s="30">
        <f t="shared" si="1"/>
        <v>0.9199805833</v>
      </c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 t="str">
        <f>IFERROR(__xludf.DUMMYFUNCTION("""COMPUTED_VALUE"""),"Chile")</f>
        <v>Chile</v>
      </c>
      <c r="B254" s="18">
        <f>IFERROR(__xludf.DUMMYFUNCTION("""COMPUTED_VALUE"""),44480.0)</f>
        <v>44480</v>
      </c>
      <c r="C254" s="19">
        <f>IFERROR(__xludf.DUMMYFUNCTION("""COMPUTED_VALUE"""),44486.0)</f>
        <v>44486</v>
      </c>
      <c r="D254" s="17">
        <f>IFERROR(__xludf.DUMMYFUNCTION("""COMPUTED_VALUE"""),41.0)</f>
        <v>41</v>
      </c>
      <c r="E254" s="17">
        <f>IFERROR(__xludf.DUMMYFUNCTION("""COMPUTED_VALUE"""),2325.0)</f>
        <v>2325</v>
      </c>
      <c r="F254" s="17">
        <f>IFERROR(__xludf.DUMMYFUNCTION("""COMPUTED_VALUE"""),45.0)</f>
        <v>45</v>
      </c>
      <c r="G254" s="20"/>
      <c r="H254" s="20"/>
      <c r="I254" s="20"/>
      <c r="J254" s="21">
        <f>IFERROR(__xludf.DUMMYFUNCTION("""COMPUTED_VALUE"""),319.5)</f>
        <v>319.5</v>
      </c>
      <c r="K254" s="30">
        <f>IFERROR(__xludf.DUMMYFUNCTION("""COMPUTED_VALUE"""),0.2342241937769026)</f>
        <v>0.2342241938</v>
      </c>
      <c r="L254" s="30">
        <f>IFERROR(__xludf.DUMMYFUNCTION("""COMPUTED_VALUE"""),1.6629917758160084)</f>
        <v>1.662991776</v>
      </c>
      <c r="M254" s="30">
        <f>IFERROR(__xludf.DUMMYFUNCTION("""COMPUTED_VALUE"""),195.75417119456733)</f>
        <v>195.7541712</v>
      </c>
      <c r="N254" s="30">
        <f>IFERROR(__xludf.DUMMYFUNCTION("""COMPUTED_VALUE"""),234.6783284637256)</f>
        <v>234.6783285</v>
      </c>
      <c r="O254" s="30">
        <f t="shared" si="1"/>
        <v>1.428767582</v>
      </c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3" t="str">
        <f>IFERROR(__xludf.DUMMYFUNCTION("""COMPUTED_VALUE"""),"Chile")</f>
        <v>Chile</v>
      </c>
      <c r="B255" s="24">
        <f>IFERROR(__xludf.DUMMYFUNCTION("""COMPUTED_VALUE"""),44487.0)</f>
        <v>44487</v>
      </c>
      <c r="C255" s="25">
        <f>IFERROR(__xludf.DUMMYFUNCTION("""COMPUTED_VALUE"""),44493.0)</f>
        <v>44493</v>
      </c>
      <c r="D255" s="23">
        <f>IFERROR(__xludf.DUMMYFUNCTION("""COMPUTED_VALUE"""),42.0)</f>
        <v>42</v>
      </c>
      <c r="E255" s="23">
        <f>IFERROR(__xludf.DUMMYFUNCTION("""COMPUTED_VALUE"""),2112.0)</f>
        <v>2112</v>
      </c>
      <c r="F255" s="23">
        <f>IFERROR(__xludf.DUMMYFUNCTION("""COMPUTED_VALUE"""),60.0)</f>
        <v>60</v>
      </c>
      <c r="G255" s="26"/>
      <c r="H255" s="26"/>
      <c r="I255" s="26"/>
      <c r="J255" s="27">
        <f>IFERROR(__xludf.DUMMYFUNCTION("""COMPUTED_VALUE"""),130.75)</f>
        <v>130.75</v>
      </c>
      <c r="K255" s="31">
        <f>IFERROR(__xludf.DUMMYFUNCTION("""COMPUTED_VALUE"""),0.31229892503587015)</f>
        <v>0.312298925</v>
      </c>
      <c r="L255" s="31">
        <f>IFERROR(__xludf.DUMMYFUNCTION("""COMPUTED_VALUE"""),0.6805514074740003)</f>
        <v>0.6805514075</v>
      </c>
      <c r="M255" s="31">
        <f>IFERROR(__xludf.DUMMYFUNCTION("""COMPUTED_VALUE"""),196.0664701196032)</f>
        <v>196.0664701</v>
      </c>
      <c r="N255" s="31">
        <f>IFERROR(__xludf.DUMMYFUNCTION("""COMPUTED_VALUE"""),235.3588798711996)</f>
        <v>235.3588799</v>
      </c>
      <c r="O255" s="31">
        <f t="shared" si="1"/>
        <v>0.3682524824</v>
      </c>
      <c r="P255" s="23"/>
      <c r="Q255" s="23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 t="str">
        <f>IFERROR(__xludf.DUMMYFUNCTION("QUERY('Colombia CON'!A2:N70,""SELECT *"",0)"),"Colombia")</f>
        <v>Colombia</v>
      </c>
      <c r="B256" s="18">
        <f>IFERROR(__xludf.DUMMYFUNCTION("""COMPUTED_VALUE"""),43906.0)</f>
        <v>43906</v>
      </c>
      <c r="C256" s="19">
        <f>IFERROR(__xludf.DUMMYFUNCTION("""COMPUTED_VALUE"""),43912.0)</f>
        <v>43912</v>
      </c>
      <c r="D256" s="17">
        <f>IFERROR(__xludf.DUMMYFUNCTION("""COMPUTED_VALUE"""),12.0)</f>
        <v>12</v>
      </c>
      <c r="E256" s="17">
        <f>IFERROR(__xludf.DUMMYFUNCTION("""COMPUTED_VALUE"""),4499.0)</f>
        <v>4499</v>
      </c>
      <c r="F256" s="17">
        <f>IFERROR(__xludf.DUMMYFUNCTION("""COMPUTED_VALUE"""),2.0)</f>
        <v>2</v>
      </c>
      <c r="G256" s="20">
        <f>IFERROR(__xludf.DUMMYFUNCTION("""COMPUTED_VALUE"""),1.0)</f>
        <v>1</v>
      </c>
      <c r="H256" s="32">
        <f>IFERROR(__xludf.DUMMYFUNCTION("""COMPUTED_VALUE"""),7964.0)</f>
        <v>7964</v>
      </c>
      <c r="I256" s="20">
        <f>IFERROR(__xludf.DUMMYFUNCTION("""COMPUTED_VALUE"""),4853.333333333333)</f>
        <v>4853.333333</v>
      </c>
      <c r="J256" s="21">
        <f>IFERROR(__xludf.DUMMYFUNCTION("""COMPUTED_VALUE"""),202.19999999999982)</f>
        <v>202.2</v>
      </c>
      <c r="K256" s="22">
        <f>IFERROR(__xludf.DUMMYFUNCTION("""COMPUTED_VALUE"""),0.003901233181759371)</f>
        <v>0.003901233182</v>
      </c>
      <c r="L256" s="22">
        <f>IFERROR(__xludf.DUMMYFUNCTION("""COMPUTED_VALUE"""),0.39441467467587205)</f>
        <v>0.3944146747</v>
      </c>
      <c r="M256" s="22">
        <f>IFERROR(__xludf.DUMMYFUNCTION("""COMPUTED_VALUE"""),0.003901233181759371)</f>
        <v>0.003901233182</v>
      </c>
      <c r="N256" s="22">
        <f>IFERROR(__xludf.DUMMYFUNCTION("""COMPUTED_VALUE"""),0.39441467467587205)</f>
        <v>0.3944146747</v>
      </c>
      <c r="O256" s="22">
        <f t="shared" si="1"/>
        <v>0.3905134415</v>
      </c>
      <c r="P256" s="7" t="s">
        <v>5</v>
      </c>
      <c r="Q256" s="4">
        <v>5.1265841E7</v>
      </c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 t="str">
        <f>IFERROR(__xludf.DUMMYFUNCTION("""COMPUTED_VALUE"""),"Colombia")</f>
        <v>Colombia</v>
      </c>
      <c r="B257" s="18">
        <f>IFERROR(__xludf.DUMMYFUNCTION("""COMPUTED_VALUE"""),43913.0)</f>
        <v>43913</v>
      </c>
      <c r="C257" s="19">
        <f>IFERROR(__xludf.DUMMYFUNCTION("""COMPUTED_VALUE"""),43919.0)</f>
        <v>43919</v>
      </c>
      <c r="D257" s="17">
        <f>IFERROR(__xludf.DUMMYFUNCTION("""COMPUTED_VALUE"""),13.0)</f>
        <v>13</v>
      </c>
      <c r="E257" s="17">
        <f>IFERROR(__xludf.DUMMYFUNCTION("""COMPUTED_VALUE"""),4337.0)</f>
        <v>4337</v>
      </c>
      <c r="F257" s="17">
        <f>IFERROR(__xludf.DUMMYFUNCTION("""COMPUTED_VALUE"""),8.0)</f>
        <v>8</v>
      </c>
      <c r="G257" s="20">
        <f>IFERROR(__xludf.DUMMYFUNCTION("""COMPUTED_VALUE"""),2.0)</f>
        <v>2</v>
      </c>
      <c r="H257" s="32">
        <f>IFERROR(__xludf.DUMMYFUNCTION("""COMPUTED_VALUE"""),8440.0)</f>
        <v>8440</v>
      </c>
      <c r="I257" s="20">
        <f>IFERROR(__xludf.DUMMYFUNCTION("""COMPUTED_VALUE"""),4660.666666666667)</f>
        <v>4660.666667</v>
      </c>
      <c r="J257" s="21">
        <f>IFERROR(__xludf.DUMMYFUNCTION("""COMPUTED_VALUE"""),20.600000000000364)</f>
        <v>20.6</v>
      </c>
      <c r="K257" s="22">
        <f>IFERROR(__xludf.DUMMYFUNCTION("""COMPUTED_VALUE"""),0.015604932727037484)</f>
        <v>0.01560493273</v>
      </c>
      <c r="L257" s="22">
        <f>IFERROR(__xludf.DUMMYFUNCTION("""COMPUTED_VALUE"""),0.04018270177212223)</f>
        <v>0.04018270177</v>
      </c>
      <c r="M257" s="22">
        <f>IFERROR(__xludf.DUMMYFUNCTION("""COMPUTED_VALUE"""),0.019506165908796856)</f>
        <v>0.01950616591</v>
      </c>
      <c r="N257" s="22">
        <f>IFERROR(__xludf.DUMMYFUNCTION("""COMPUTED_VALUE"""),0.4345973764479943)</f>
        <v>0.4345973764</v>
      </c>
      <c r="O257" s="22">
        <f t="shared" si="1"/>
        <v>0.02457776905</v>
      </c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 t="str">
        <f>IFERROR(__xludf.DUMMYFUNCTION("""COMPUTED_VALUE"""),"Colombia")</f>
        <v>Colombia</v>
      </c>
      <c r="B258" s="18">
        <f>IFERROR(__xludf.DUMMYFUNCTION("""COMPUTED_VALUE"""),43920.0)</f>
        <v>43920</v>
      </c>
      <c r="C258" s="19">
        <f>IFERROR(__xludf.DUMMYFUNCTION("""COMPUTED_VALUE"""),43926.0)</f>
        <v>43926</v>
      </c>
      <c r="D258" s="17">
        <f>IFERROR(__xludf.DUMMYFUNCTION("""COMPUTED_VALUE"""),14.0)</f>
        <v>14</v>
      </c>
      <c r="E258" s="17">
        <f>IFERROR(__xludf.DUMMYFUNCTION("""COMPUTED_VALUE"""),4190.0)</f>
        <v>4190</v>
      </c>
      <c r="F258" s="17">
        <f>IFERROR(__xludf.DUMMYFUNCTION("""COMPUTED_VALUE"""),25.0)</f>
        <v>25</v>
      </c>
      <c r="G258" s="20">
        <f>IFERROR(__xludf.DUMMYFUNCTION("""COMPUTED_VALUE"""),3.0)</f>
        <v>3</v>
      </c>
      <c r="H258" s="32">
        <f>IFERROR(__xludf.DUMMYFUNCTION("""COMPUTED_VALUE"""),8479.0)</f>
        <v>8479</v>
      </c>
      <c r="I258" s="20">
        <f>IFERROR(__xludf.DUMMYFUNCTION("""COMPUTED_VALUE"""),4653.166666666667)</f>
        <v>4653.166667</v>
      </c>
      <c r="J258" s="21">
        <f>IFERROR(__xludf.DUMMYFUNCTION("""COMPUTED_VALUE"""),-88.0)</f>
        <v>-88</v>
      </c>
      <c r="K258" s="22">
        <f>IFERROR(__xludf.DUMMYFUNCTION("""COMPUTED_VALUE"""),0.04876541477199214)</f>
        <v>0.04876541477</v>
      </c>
      <c r="L258" s="22">
        <f>IFERROR(__xludf.DUMMYFUNCTION("""COMPUTED_VALUE"""),-0.1716542599974123)</f>
        <v>-0.17165426</v>
      </c>
      <c r="M258" s="22">
        <f>IFERROR(__xludf.DUMMYFUNCTION("""COMPUTED_VALUE"""),0.06827158068078899)</f>
        <v>0.06827158068</v>
      </c>
      <c r="N258" s="22">
        <f>IFERROR(__xludf.DUMMYFUNCTION("""COMPUTED_VALUE"""),0.262943116450582)</f>
        <v>0.2629431165</v>
      </c>
      <c r="O258" s="22">
        <f t="shared" si="1"/>
        <v>-0.2204196748</v>
      </c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 t="str">
        <f>IFERROR(__xludf.DUMMYFUNCTION("""COMPUTED_VALUE"""),"Colombia")</f>
        <v>Colombia</v>
      </c>
      <c r="B259" s="18">
        <f>IFERROR(__xludf.DUMMYFUNCTION("""COMPUTED_VALUE"""),43927.0)</f>
        <v>43927</v>
      </c>
      <c r="C259" s="19">
        <f>IFERROR(__xludf.DUMMYFUNCTION("""COMPUTED_VALUE"""),43933.0)</f>
        <v>43933</v>
      </c>
      <c r="D259" s="17">
        <f>IFERROR(__xludf.DUMMYFUNCTION("""COMPUTED_VALUE"""),15.0)</f>
        <v>15</v>
      </c>
      <c r="E259" s="17">
        <f>IFERROR(__xludf.DUMMYFUNCTION("""COMPUTED_VALUE"""),4255.0)</f>
        <v>4255</v>
      </c>
      <c r="F259" s="17">
        <f>IFERROR(__xludf.DUMMYFUNCTION("""COMPUTED_VALUE"""),74.0)</f>
        <v>74</v>
      </c>
      <c r="G259" s="20">
        <f>IFERROR(__xludf.DUMMYFUNCTION("""COMPUTED_VALUE"""),4.0)</f>
        <v>4</v>
      </c>
      <c r="H259" s="32">
        <f>IFERROR(__xludf.DUMMYFUNCTION("""COMPUTED_VALUE"""),7676.0)</f>
        <v>7676</v>
      </c>
      <c r="I259" s="20">
        <f>IFERROR(__xludf.DUMMYFUNCTION("""COMPUTED_VALUE"""),4519.5)</f>
        <v>4519.5</v>
      </c>
      <c r="J259" s="21">
        <f>IFERROR(__xludf.DUMMYFUNCTION("""COMPUTED_VALUE"""),0.0)</f>
        <v>0</v>
      </c>
      <c r="K259" s="22">
        <f>IFERROR(__xludf.DUMMYFUNCTION("""COMPUTED_VALUE"""),0.1443456277250967)</f>
        <v>0.1443456277</v>
      </c>
      <c r="L259" s="22">
        <f>IFERROR(__xludf.DUMMYFUNCTION("""COMPUTED_VALUE"""),0.0)</f>
        <v>0</v>
      </c>
      <c r="M259" s="22">
        <f>IFERROR(__xludf.DUMMYFUNCTION("""COMPUTED_VALUE"""),0.21261720840588572)</f>
        <v>0.2126172084</v>
      </c>
      <c r="N259" s="22">
        <f>IFERROR(__xludf.DUMMYFUNCTION("""COMPUTED_VALUE"""),0.262943116450582)</f>
        <v>0.2629431165</v>
      </c>
      <c r="O259" s="22">
        <f t="shared" si="1"/>
        <v>-0.1443456277</v>
      </c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 t="str">
        <f>IFERROR(__xludf.DUMMYFUNCTION("""COMPUTED_VALUE"""),"Colombia")</f>
        <v>Colombia</v>
      </c>
      <c r="B260" s="18">
        <f>IFERROR(__xludf.DUMMYFUNCTION("""COMPUTED_VALUE"""),43934.0)</f>
        <v>43934</v>
      </c>
      <c r="C260" s="19">
        <f>IFERROR(__xludf.DUMMYFUNCTION("""COMPUTED_VALUE"""),43940.0)</f>
        <v>43940</v>
      </c>
      <c r="D260" s="17">
        <f>IFERROR(__xludf.DUMMYFUNCTION("""COMPUTED_VALUE"""),16.0)</f>
        <v>16</v>
      </c>
      <c r="E260" s="17">
        <f>IFERROR(__xludf.DUMMYFUNCTION("""COMPUTED_VALUE"""),4355.0)</f>
        <v>4355</v>
      </c>
      <c r="F260" s="17">
        <f>IFERROR(__xludf.DUMMYFUNCTION("""COMPUTED_VALUE"""),70.0)</f>
        <v>70</v>
      </c>
      <c r="G260" s="20">
        <f>IFERROR(__xludf.DUMMYFUNCTION("""COMPUTED_VALUE"""),5.0)</f>
        <v>5</v>
      </c>
      <c r="H260" s="32">
        <f>IFERROR(__xludf.DUMMYFUNCTION("""COMPUTED_VALUE"""),7029.0)</f>
        <v>7029</v>
      </c>
      <c r="I260" s="20">
        <f>IFERROR(__xludf.DUMMYFUNCTION("""COMPUTED_VALUE"""),4406.333333333333)</f>
        <v>4406.333333</v>
      </c>
      <c r="J260" s="21">
        <f>IFERROR(__xludf.DUMMYFUNCTION("""COMPUTED_VALUE"""),92.19999999999982)</f>
        <v>92.2</v>
      </c>
      <c r="K260" s="22">
        <f>IFERROR(__xludf.DUMMYFUNCTION("""COMPUTED_VALUE"""),0.13654316136157796)</f>
        <v>0.1365431614</v>
      </c>
      <c r="L260" s="22">
        <f>IFERROR(__xludf.DUMMYFUNCTION("""COMPUTED_VALUE"""),0.17984684967910664)</f>
        <v>0.1798468497</v>
      </c>
      <c r="M260" s="22">
        <f>IFERROR(__xludf.DUMMYFUNCTION("""COMPUTED_VALUE"""),0.3491603697674637)</f>
        <v>0.3491603698</v>
      </c>
      <c r="N260" s="22">
        <f>IFERROR(__xludf.DUMMYFUNCTION("""COMPUTED_VALUE"""),0.44278996612968863)</f>
        <v>0.4427899661</v>
      </c>
      <c r="O260" s="22">
        <f t="shared" si="1"/>
        <v>0.04330368832</v>
      </c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 t="str">
        <f>IFERROR(__xludf.DUMMYFUNCTION("""COMPUTED_VALUE"""),"Colombia")</f>
        <v>Colombia</v>
      </c>
      <c r="B261" s="18">
        <f>IFERROR(__xludf.DUMMYFUNCTION("""COMPUTED_VALUE"""),43941.0)</f>
        <v>43941</v>
      </c>
      <c r="C261" s="19">
        <f>IFERROR(__xludf.DUMMYFUNCTION("""COMPUTED_VALUE"""),43947.0)</f>
        <v>43947</v>
      </c>
      <c r="D261" s="17">
        <f>IFERROR(__xludf.DUMMYFUNCTION("""COMPUTED_VALUE"""),17.0)</f>
        <v>17</v>
      </c>
      <c r="E261" s="17">
        <f>IFERROR(__xludf.DUMMYFUNCTION("""COMPUTED_VALUE"""),4328.0)</f>
        <v>4328</v>
      </c>
      <c r="F261" s="17">
        <f>IFERROR(__xludf.DUMMYFUNCTION("""COMPUTED_VALUE"""),65.0)</f>
        <v>65</v>
      </c>
      <c r="G261" s="20">
        <f>IFERROR(__xludf.DUMMYFUNCTION("""COMPUTED_VALUE"""),6.0)</f>
        <v>6</v>
      </c>
      <c r="H261" s="32">
        <f>IFERROR(__xludf.DUMMYFUNCTION("""COMPUTED_VALUE"""),6341.0)</f>
        <v>6341</v>
      </c>
      <c r="I261" s="20">
        <f>IFERROR(__xludf.DUMMYFUNCTION("""COMPUTED_VALUE"""),4375.166666666667)</f>
        <v>4375.166667</v>
      </c>
      <c r="J261" s="21">
        <f>IFERROR(__xludf.DUMMYFUNCTION("""COMPUTED_VALUE"""),65.0)</f>
        <v>65</v>
      </c>
      <c r="K261" s="22">
        <f>IFERROR(__xludf.DUMMYFUNCTION("""COMPUTED_VALUE"""),0.12679007840717954)</f>
        <v>0.1267900784</v>
      </c>
      <c r="L261" s="22">
        <f>IFERROR(__xludf.DUMMYFUNCTION("""COMPUTED_VALUE"""),0.12679007840717954)</f>
        <v>0.1267900784</v>
      </c>
      <c r="M261" s="22">
        <f>IFERROR(__xludf.DUMMYFUNCTION("""COMPUTED_VALUE"""),0.4759504481746432)</f>
        <v>0.4759504482</v>
      </c>
      <c r="N261" s="22">
        <f>IFERROR(__xludf.DUMMYFUNCTION("""COMPUTED_VALUE"""),0.5695800445368682)</f>
        <v>0.5695800445</v>
      </c>
      <c r="O261" s="22">
        <f t="shared" si="1"/>
        <v>0</v>
      </c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 t="str">
        <f>IFERROR(__xludf.DUMMYFUNCTION("""COMPUTED_VALUE"""),"Colombia")</f>
        <v>Colombia</v>
      </c>
      <c r="B262" s="18">
        <f>IFERROR(__xludf.DUMMYFUNCTION("""COMPUTED_VALUE"""),43948.0)</f>
        <v>43948</v>
      </c>
      <c r="C262" s="19">
        <f>IFERROR(__xludf.DUMMYFUNCTION("""COMPUTED_VALUE"""),43954.0)</f>
        <v>43954</v>
      </c>
      <c r="D262" s="17">
        <f>IFERROR(__xludf.DUMMYFUNCTION("""COMPUTED_VALUE"""),18.0)</f>
        <v>18</v>
      </c>
      <c r="E262" s="17">
        <f>IFERROR(__xludf.DUMMYFUNCTION("""COMPUTED_VALUE"""),4263.0)</f>
        <v>4263</v>
      </c>
      <c r="F262" s="17">
        <f>IFERROR(__xludf.DUMMYFUNCTION("""COMPUTED_VALUE"""),96.0)</f>
        <v>96</v>
      </c>
      <c r="G262" s="20">
        <f>IFERROR(__xludf.DUMMYFUNCTION("""COMPUTED_VALUE"""),7.0)</f>
        <v>7</v>
      </c>
      <c r="H262" s="32">
        <f>IFERROR(__xludf.DUMMYFUNCTION("""COMPUTED_VALUE"""),5915.0)</f>
        <v>5915</v>
      </c>
      <c r="I262" s="20">
        <f>IFERROR(__xludf.DUMMYFUNCTION("""COMPUTED_VALUE"""),4324.5)</f>
        <v>4324.5</v>
      </c>
      <c r="J262" s="21">
        <f>IFERROR(__xludf.DUMMYFUNCTION("""COMPUTED_VALUE"""),-68.19999999999982)</f>
        <v>-68.2</v>
      </c>
      <c r="K262" s="22">
        <f>IFERROR(__xludf.DUMMYFUNCTION("""COMPUTED_VALUE"""),0.1872591927244498)</f>
        <v>0.1872591927</v>
      </c>
      <c r="L262" s="22">
        <f>IFERROR(__xludf.DUMMYFUNCTION("""COMPUTED_VALUE"""),-0.13303205149799419)</f>
        <v>-0.1330320515</v>
      </c>
      <c r="M262" s="22">
        <f>IFERROR(__xludf.DUMMYFUNCTION("""COMPUTED_VALUE"""),0.6632096408990931)</f>
        <v>0.6632096409</v>
      </c>
      <c r="N262" s="22">
        <f>IFERROR(__xludf.DUMMYFUNCTION("""COMPUTED_VALUE"""),0.436547993038874)</f>
        <v>0.436547993</v>
      </c>
      <c r="O262" s="22">
        <f t="shared" si="1"/>
        <v>-0.3202912442</v>
      </c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 t="str">
        <f>IFERROR(__xludf.DUMMYFUNCTION("""COMPUTED_VALUE"""),"Colombia")</f>
        <v>Colombia</v>
      </c>
      <c r="B263" s="18">
        <f>IFERROR(__xludf.DUMMYFUNCTION("""COMPUTED_VALUE"""),43955.0)</f>
        <v>43955</v>
      </c>
      <c r="C263" s="19">
        <f>IFERROR(__xludf.DUMMYFUNCTION("""COMPUTED_VALUE"""),43961.0)</f>
        <v>43961</v>
      </c>
      <c r="D263" s="17">
        <f>IFERROR(__xludf.DUMMYFUNCTION("""COMPUTED_VALUE"""),19.0)</f>
        <v>19</v>
      </c>
      <c r="E263" s="17">
        <f>IFERROR(__xludf.DUMMYFUNCTION("""COMPUTED_VALUE"""),4469.0)</f>
        <v>4469</v>
      </c>
      <c r="F263" s="17">
        <f>IFERROR(__xludf.DUMMYFUNCTION("""COMPUTED_VALUE"""),123.0)</f>
        <v>123</v>
      </c>
      <c r="G263" s="20">
        <f>IFERROR(__xludf.DUMMYFUNCTION("""COMPUTED_VALUE"""),8.0)</f>
        <v>8</v>
      </c>
      <c r="H263" s="32">
        <f>IFERROR(__xludf.DUMMYFUNCTION("""COMPUTED_VALUE"""),5564.0)</f>
        <v>5564</v>
      </c>
      <c r="I263" s="20">
        <f>IFERROR(__xludf.DUMMYFUNCTION("""COMPUTED_VALUE"""),4307.333333333333)</f>
        <v>4307.333333</v>
      </c>
      <c r="J263" s="21">
        <f>IFERROR(__xludf.DUMMYFUNCTION("""COMPUTED_VALUE"""),100.80000000000018)</f>
        <v>100.8</v>
      </c>
      <c r="K263" s="22">
        <f>IFERROR(__xludf.DUMMYFUNCTION("""COMPUTED_VALUE"""),0.2399258406782013)</f>
        <v>0.2399258407</v>
      </c>
      <c r="L263" s="22">
        <f>IFERROR(__xludf.DUMMYFUNCTION("""COMPUTED_VALUE"""),0.19662215236067265)</f>
        <v>0.1966221524</v>
      </c>
      <c r="M263" s="22">
        <f>IFERROR(__xludf.DUMMYFUNCTION("""COMPUTED_VALUE"""),0.9031354815772944)</f>
        <v>0.9031354816</v>
      </c>
      <c r="N263" s="22">
        <f>IFERROR(__xludf.DUMMYFUNCTION("""COMPUTED_VALUE"""),0.6331701453995466)</f>
        <v>0.6331701454</v>
      </c>
      <c r="O263" s="22">
        <f t="shared" si="1"/>
        <v>-0.04330368832</v>
      </c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 t="str">
        <f>IFERROR(__xludf.DUMMYFUNCTION("""COMPUTED_VALUE"""),"Colombia")</f>
        <v>Colombia</v>
      </c>
      <c r="B264" s="18">
        <f>IFERROR(__xludf.DUMMYFUNCTION("""COMPUTED_VALUE"""),43962.0)</f>
        <v>43962</v>
      </c>
      <c r="C264" s="19">
        <f>IFERROR(__xludf.DUMMYFUNCTION("""COMPUTED_VALUE"""),43968.0)</f>
        <v>43968</v>
      </c>
      <c r="D264" s="17">
        <f>IFERROR(__xludf.DUMMYFUNCTION("""COMPUTED_VALUE"""),20.0)</f>
        <v>20</v>
      </c>
      <c r="E264" s="17">
        <f>IFERROR(__xludf.DUMMYFUNCTION("""COMPUTED_VALUE"""),4579.0)</f>
        <v>4579</v>
      </c>
      <c r="F264" s="17">
        <f>IFERROR(__xludf.DUMMYFUNCTION("""COMPUTED_VALUE"""),111.0)</f>
        <v>111</v>
      </c>
      <c r="G264" s="20">
        <f>IFERROR(__xludf.DUMMYFUNCTION("""COMPUTED_VALUE"""),9.0)</f>
        <v>9</v>
      </c>
      <c r="H264" s="32">
        <f>IFERROR(__xludf.DUMMYFUNCTION("""COMPUTED_VALUE"""),5562.0)</f>
        <v>5562</v>
      </c>
      <c r="I264" s="20">
        <f>IFERROR(__xludf.DUMMYFUNCTION("""COMPUTED_VALUE"""),4312.0)</f>
        <v>4312</v>
      </c>
      <c r="J264" s="21">
        <f>IFERROR(__xludf.DUMMYFUNCTION("""COMPUTED_VALUE"""),60.19999999999982)</f>
        <v>60.2</v>
      </c>
      <c r="K264" s="22">
        <f>IFERROR(__xludf.DUMMYFUNCTION("""COMPUTED_VALUE"""),0.21651844158764508)</f>
        <v>0.2165184416</v>
      </c>
      <c r="L264" s="22">
        <f>IFERROR(__xludf.DUMMYFUNCTION("""COMPUTED_VALUE"""),0.1174271187709567)</f>
        <v>0.1174271188</v>
      </c>
      <c r="M264" s="22">
        <f>IFERROR(__xludf.DUMMYFUNCTION("""COMPUTED_VALUE"""),1.1196539231649394)</f>
        <v>1.119653923</v>
      </c>
      <c r="N264" s="22">
        <f>IFERROR(__xludf.DUMMYFUNCTION("""COMPUTED_VALUE"""),0.7505972641705033)</f>
        <v>0.7505972642</v>
      </c>
      <c r="O264" s="22">
        <f t="shared" si="1"/>
        <v>-0.09909132282</v>
      </c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 t="str">
        <f>IFERROR(__xludf.DUMMYFUNCTION("""COMPUTED_VALUE"""),"Colombia")</f>
        <v>Colombia</v>
      </c>
      <c r="B265" s="18">
        <f>IFERROR(__xludf.DUMMYFUNCTION("""COMPUTED_VALUE"""),43969.0)</f>
        <v>43969</v>
      </c>
      <c r="C265" s="19">
        <f>IFERROR(__xludf.DUMMYFUNCTION("""COMPUTED_VALUE"""),43975.0)</f>
        <v>43975</v>
      </c>
      <c r="D265" s="17">
        <f>IFERROR(__xludf.DUMMYFUNCTION("""COMPUTED_VALUE"""),21.0)</f>
        <v>21</v>
      </c>
      <c r="E265" s="17">
        <f>IFERROR(__xludf.DUMMYFUNCTION("""COMPUTED_VALUE"""),4701.0)</f>
        <v>4701</v>
      </c>
      <c r="F265" s="17">
        <f>IFERROR(__xludf.DUMMYFUNCTION("""COMPUTED_VALUE"""),153.0)</f>
        <v>153</v>
      </c>
      <c r="G265" s="20">
        <f>IFERROR(__xludf.DUMMYFUNCTION("""COMPUTED_VALUE"""),10.0)</f>
        <v>10</v>
      </c>
      <c r="H265" s="32">
        <f>IFERROR(__xludf.DUMMYFUNCTION("""COMPUTED_VALUE"""),5315.0)</f>
        <v>5315</v>
      </c>
      <c r="I265" s="20">
        <f>IFERROR(__xludf.DUMMYFUNCTION("""COMPUTED_VALUE"""),4341.666666666667)</f>
        <v>4341.666667</v>
      </c>
      <c r="J265" s="21">
        <f>IFERROR(__xludf.DUMMYFUNCTION("""COMPUTED_VALUE"""),222.80000000000018)</f>
        <v>222.8</v>
      </c>
      <c r="K265" s="22">
        <f>IFERROR(__xludf.DUMMYFUNCTION("""COMPUTED_VALUE"""),0.29844433840459184)</f>
        <v>0.2984443384</v>
      </c>
      <c r="L265" s="22">
        <f>IFERROR(__xludf.DUMMYFUNCTION("""COMPUTED_VALUE"""),0.4345973764479943)</f>
        <v>0.4345973764</v>
      </c>
      <c r="M265" s="22">
        <f>IFERROR(__xludf.DUMMYFUNCTION("""COMPUTED_VALUE"""),1.4180982615695312)</f>
        <v>1.418098262</v>
      </c>
      <c r="N265" s="22">
        <f>IFERROR(__xludf.DUMMYFUNCTION("""COMPUTED_VALUE"""),1.1851946406184977)</f>
        <v>1.185194641</v>
      </c>
      <c r="O265" s="22">
        <f t="shared" si="1"/>
        <v>0.136153038</v>
      </c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 t="str">
        <f>IFERROR(__xludf.DUMMYFUNCTION("""COMPUTED_VALUE"""),"Colombia")</f>
        <v>Colombia</v>
      </c>
      <c r="B266" s="18">
        <f>IFERROR(__xludf.DUMMYFUNCTION("""COMPUTED_VALUE"""),43976.0)</f>
        <v>43976</v>
      </c>
      <c r="C266" s="19">
        <f>IFERROR(__xludf.DUMMYFUNCTION("""COMPUTED_VALUE"""),43982.0)</f>
        <v>43982</v>
      </c>
      <c r="D266" s="17">
        <f>IFERROR(__xludf.DUMMYFUNCTION("""COMPUTED_VALUE"""),22.0)</f>
        <v>22</v>
      </c>
      <c r="E266" s="17">
        <f>IFERROR(__xludf.DUMMYFUNCTION("""COMPUTED_VALUE"""),4738.0)</f>
        <v>4738</v>
      </c>
      <c r="F266" s="17">
        <f>IFERROR(__xludf.DUMMYFUNCTION("""COMPUTED_VALUE"""),212.0)</f>
        <v>212</v>
      </c>
      <c r="G266" s="20">
        <f>IFERROR(__xludf.DUMMYFUNCTION("""COMPUTED_VALUE"""),11.0)</f>
        <v>11</v>
      </c>
      <c r="H266" s="32">
        <f>IFERROR(__xludf.DUMMYFUNCTION("""COMPUTED_VALUE"""),5569.0)</f>
        <v>5569</v>
      </c>
      <c r="I266" s="20">
        <f>IFERROR(__xludf.DUMMYFUNCTION("""COMPUTED_VALUE"""),4366.0)</f>
        <v>4366</v>
      </c>
      <c r="J266" s="21">
        <f>IFERROR(__xludf.DUMMYFUNCTION("""COMPUTED_VALUE"""),253.0)</f>
        <v>253</v>
      </c>
      <c r="K266" s="22">
        <f>IFERROR(__xludf.DUMMYFUNCTION("""COMPUTED_VALUE"""),0.4135307172664933)</f>
        <v>0.4135307173</v>
      </c>
      <c r="L266" s="22">
        <f>IFERROR(__xludf.DUMMYFUNCTION("""COMPUTED_VALUE"""),0.4935059974925604)</f>
        <v>0.4935059975</v>
      </c>
      <c r="M266" s="22">
        <f>IFERROR(__xludf.DUMMYFUNCTION("""COMPUTED_VALUE"""),1.8316289788360245)</f>
        <v>1.831628979</v>
      </c>
      <c r="N266" s="22">
        <f>IFERROR(__xludf.DUMMYFUNCTION("""COMPUTED_VALUE"""),1.678700638111058)</f>
        <v>1.678700638</v>
      </c>
      <c r="O266" s="22">
        <f t="shared" si="1"/>
        <v>0.07997528023</v>
      </c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 t="str">
        <f>IFERROR(__xludf.DUMMYFUNCTION("""COMPUTED_VALUE"""),"Colombia")</f>
        <v>Colombia</v>
      </c>
      <c r="B267" s="18">
        <f>IFERROR(__xludf.DUMMYFUNCTION("""COMPUTED_VALUE"""),43983.0)</f>
        <v>43983</v>
      </c>
      <c r="C267" s="19">
        <f>IFERROR(__xludf.DUMMYFUNCTION("""COMPUTED_VALUE"""),43989.0)</f>
        <v>43989</v>
      </c>
      <c r="D267" s="17">
        <f>IFERROR(__xludf.DUMMYFUNCTION("""COMPUTED_VALUE"""),23.0)</f>
        <v>23</v>
      </c>
      <c r="E267" s="17">
        <f>IFERROR(__xludf.DUMMYFUNCTION("""COMPUTED_VALUE"""),5153.0)</f>
        <v>5153</v>
      </c>
      <c r="F267" s="17">
        <f>IFERROR(__xludf.DUMMYFUNCTION("""COMPUTED_VALUE"""),320.0)</f>
        <v>320</v>
      </c>
      <c r="G267" s="20">
        <f>IFERROR(__xludf.DUMMYFUNCTION("""COMPUTED_VALUE"""),12.0)</f>
        <v>12</v>
      </c>
      <c r="H267" s="32">
        <f>IFERROR(__xludf.DUMMYFUNCTION("""COMPUTED_VALUE"""),5228.5)</f>
        <v>5228.5</v>
      </c>
      <c r="I267" s="20">
        <f>IFERROR(__xludf.DUMMYFUNCTION("""COMPUTED_VALUE"""),4296.8)</f>
        <v>4296.8</v>
      </c>
      <c r="J267" s="21">
        <f>IFERROR(__xludf.DUMMYFUNCTION("""COMPUTED_VALUE"""),610.3999999999996)</f>
        <v>610.4</v>
      </c>
      <c r="K267" s="22">
        <f>IFERROR(__xludf.DUMMYFUNCTION("""COMPUTED_VALUE"""),0.6241973090814993)</f>
        <v>0.6241973091</v>
      </c>
      <c r="L267" s="22">
        <f>IFERROR(__xludf.DUMMYFUNCTION("""COMPUTED_VALUE"""),1.1906563670729593)</f>
        <v>1.190656367</v>
      </c>
      <c r="M267" s="22">
        <f>IFERROR(__xludf.DUMMYFUNCTION("""COMPUTED_VALUE"""),2.4558262879175237)</f>
        <v>2.455826288</v>
      </c>
      <c r="N267" s="22">
        <f>IFERROR(__xludf.DUMMYFUNCTION("""COMPUTED_VALUE"""),2.8693570051840176)</f>
        <v>2.869357005</v>
      </c>
      <c r="O267" s="22">
        <f t="shared" si="1"/>
        <v>0.566459058</v>
      </c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 t="str">
        <f>IFERROR(__xludf.DUMMYFUNCTION("""COMPUTED_VALUE"""),"Colombia")</f>
        <v>Colombia</v>
      </c>
      <c r="B268" s="18">
        <f>IFERROR(__xludf.DUMMYFUNCTION("""COMPUTED_VALUE"""),43990.0)</f>
        <v>43990</v>
      </c>
      <c r="C268" s="19">
        <f>IFERROR(__xludf.DUMMYFUNCTION("""COMPUTED_VALUE"""),43996.0)</f>
        <v>43996</v>
      </c>
      <c r="D268" s="17">
        <f>IFERROR(__xludf.DUMMYFUNCTION("""COMPUTED_VALUE"""),24.0)</f>
        <v>24</v>
      </c>
      <c r="E268" s="17">
        <f>IFERROR(__xludf.DUMMYFUNCTION("""COMPUTED_VALUE"""),5338.0)</f>
        <v>5338</v>
      </c>
      <c r="F268" s="17">
        <f>IFERROR(__xludf.DUMMYFUNCTION("""COMPUTED_VALUE"""),408.0)</f>
        <v>408</v>
      </c>
      <c r="G268" s="20">
        <f>IFERROR(__xludf.DUMMYFUNCTION("""COMPUTED_VALUE"""),13.0)</f>
        <v>13</v>
      </c>
      <c r="H268" s="32">
        <f>IFERROR(__xludf.DUMMYFUNCTION("""COMPUTED_VALUE"""),5405.0)</f>
        <v>5405</v>
      </c>
      <c r="I268" s="20">
        <f>IFERROR(__xludf.DUMMYFUNCTION("""COMPUTED_VALUE"""),4316.4)</f>
        <v>4316.4</v>
      </c>
      <c r="J268" s="21">
        <f>IFERROR(__xludf.DUMMYFUNCTION("""COMPUTED_VALUE"""),823.1999999999998)</f>
        <v>823.2</v>
      </c>
      <c r="K268" s="22">
        <f>IFERROR(__xludf.DUMMYFUNCTION("""COMPUTED_VALUE"""),0.7958515690789115)</f>
        <v>0.7958515691</v>
      </c>
      <c r="L268" s="22">
        <f>IFERROR(__xludf.DUMMYFUNCTION("""COMPUTED_VALUE"""),1.6057475776121566)</f>
        <v>1.605747578</v>
      </c>
      <c r="M268" s="22">
        <f>IFERROR(__xludf.DUMMYFUNCTION("""COMPUTED_VALUE"""),3.251677856996435)</f>
        <v>3.251677857</v>
      </c>
      <c r="N268" s="22">
        <f>IFERROR(__xludf.DUMMYFUNCTION("""COMPUTED_VALUE"""),4.475104582796174)</f>
        <v>4.475104583</v>
      </c>
      <c r="O268" s="22">
        <f t="shared" si="1"/>
        <v>0.8098960085</v>
      </c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 t="str">
        <f>IFERROR(__xludf.DUMMYFUNCTION("""COMPUTED_VALUE"""),"Colombia")</f>
        <v>Colombia</v>
      </c>
      <c r="B269" s="18">
        <f>IFERROR(__xludf.DUMMYFUNCTION("""COMPUTED_VALUE"""),43997.0)</f>
        <v>43997</v>
      </c>
      <c r="C269" s="19">
        <f>IFERROR(__xludf.DUMMYFUNCTION("""COMPUTED_VALUE"""),44003.0)</f>
        <v>44003</v>
      </c>
      <c r="D269" s="17">
        <f>IFERROR(__xludf.DUMMYFUNCTION("""COMPUTED_VALUE"""),25.0)</f>
        <v>25</v>
      </c>
      <c r="E269" s="17">
        <f>IFERROR(__xludf.DUMMYFUNCTION("""COMPUTED_VALUE"""),5778.0)</f>
        <v>5778</v>
      </c>
      <c r="F269" s="17">
        <f>IFERROR(__xludf.DUMMYFUNCTION("""COMPUTED_VALUE"""),570.0)</f>
        <v>570</v>
      </c>
      <c r="G269" s="20">
        <f>IFERROR(__xludf.DUMMYFUNCTION("""COMPUTED_VALUE"""),14.0)</f>
        <v>14</v>
      </c>
      <c r="H269" s="32">
        <f>IFERROR(__xludf.DUMMYFUNCTION("""COMPUTED_VALUE"""),5700.0)</f>
        <v>5700</v>
      </c>
      <c r="I269" s="20">
        <f>IFERROR(__xludf.DUMMYFUNCTION("""COMPUTED_VALUE"""),4278.0)</f>
        <v>4278</v>
      </c>
      <c r="J269" s="21">
        <f>IFERROR(__xludf.DUMMYFUNCTION("""COMPUTED_VALUE"""),1223.3999999999996)</f>
        <v>1223.4</v>
      </c>
      <c r="K269" s="22">
        <f>IFERROR(__xludf.DUMMYFUNCTION("""COMPUTED_VALUE"""),1.1118514568014206)</f>
        <v>1.111851457</v>
      </c>
      <c r="L269" s="22">
        <f>IFERROR(__xludf.DUMMYFUNCTION("""COMPUTED_VALUE"""),2.3863843372822062)</f>
        <v>2.386384337</v>
      </c>
      <c r="M269" s="22">
        <f>IFERROR(__xludf.DUMMYFUNCTION("""COMPUTED_VALUE"""),4.363529313797856)</f>
        <v>4.363529314</v>
      </c>
      <c r="N269" s="22">
        <f>IFERROR(__xludf.DUMMYFUNCTION("""COMPUTED_VALUE"""),6.86148892007838)</f>
        <v>6.86148892</v>
      </c>
      <c r="O269" s="22">
        <f t="shared" si="1"/>
        <v>1.27453288</v>
      </c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 t="str">
        <f>IFERROR(__xludf.DUMMYFUNCTION("""COMPUTED_VALUE"""),"Colombia")</f>
        <v>Colombia</v>
      </c>
      <c r="B270" s="18">
        <f>IFERROR(__xludf.DUMMYFUNCTION("""COMPUTED_VALUE"""),44004.0)</f>
        <v>44004</v>
      </c>
      <c r="C270" s="19">
        <f>IFERROR(__xludf.DUMMYFUNCTION("""COMPUTED_VALUE"""),44010.0)</f>
        <v>44010</v>
      </c>
      <c r="D270" s="17">
        <f>IFERROR(__xludf.DUMMYFUNCTION("""COMPUTED_VALUE"""),26.0)</f>
        <v>26</v>
      </c>
      <c r="E270" s="17">
        <f>IFERROR(__xludf.DUMMYFUNCTION("""COMPUTED_VALUE"""),6128.0)</f>
        <v>6128</v>
      </c>
      <c r="F270" s="17">
        <f>IFERROR(__xludf.DUMMYFUNCTION("""COMPUTED_VALUE"""),941.0)</f>
        <v>941</v>
      </c>
      <c r="G270" s="20">
        <f>IFERROR(__xludf.DUMMYFUNCTION("""COMPUTED_VALUE"""),15.0)</f>
        <v>15</v>
      </c>
      <c r="H270" s="32">
        <f>IFERROR(__xludf.DUMMYFUNCTION("""COMPUTED_VALUE"""),6347.5)</f>
        <v>6347.5</v>
      </c>
      <c r="I270" s="20">
        <f>IFERROR(__xludf.DUMMYFUNCTION("""COMPUTED_VALUE"""),4255.0)</f>
        <v>4255</v>
      </c>
      <c r="J270" s="21">
        <f>IFERROR(__xludf.DUMMYFUNCTION("""COMPUTED_VALUE"""),1536.0)</f>
        <v>1536</v>
      </c>
      <c r="K270" s="22">
        <f>IFERROR(__xludf.DUMMYFUNCTION("""COMPUTED_VALUE"""),1.835530212017784)</f>
        <v>1.835530212</v>
      </c>
      <c r="L270" s="22">
        <f>IFERROR(__xludf.DUMMYFUNCTION("""COMPUTED_VALUE"""),2.9961470835911967)</f>
        <v>2.996147084</v>
      </c>
      <c r="M270" s="22">
        <f>IFERROR(__xludf.DUMMYFUNCTION("""COMPUTED_VALUE"""),6.19905952581564)</f>
        <v>6.199059526</v>
      </c>
      <c r="N270" s="22">
        <f>IFERROR(__xludf.DUMMYFUNCTION("""COMPUTED_VALUE"""),9.857636003669576)</f>
        <v>9.857636004</v>
      </c>
      <c r="O270" s="22">
        <f t="shared" si="1"/>
        <v>1.160616872</v>
      </c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 t="str">
        <f>IFERROR(__xludf.DUMMYFUNCTION("""COMPUTED_VALUE"""),"Colombia")</f>
        <v>Colombia</v>
      </c>
      <c r="B271" s="18">
        <f>IFERROR(__xludf.DUMMYFUNCTION("""COMPUTED_VALUE"""),44011.0)</f>
        <v>44011</v>
      </c>
      <c r="C271" s="19">
        <f>IFERROR(__xludf.DUMMYFUNCTION("""COMPUTED_VALUE"""),44017.0)</f>
        <v>44017</v>
      </c>
      <c r="D271" s="17">
        <f>IFERROR(__xludf.DUMMYFUNCTION("""COMPUTED_VALUE"""),27.0)</f>
        <v>27</v>
      </c>
      <c r="E271" s="17">
        <f>IFERROR(__xludf.DUMMYFUNCTION("""COMPUTED_VALUE"""),6233.0)</f>
        <v>6233</v>
      </c>
      <c r="F271" s="17">
        <f>IFERROR(__xludf.DUMMYFUNCTION("""COMPUTED_VALUE"""),886.0)</f>
        <v>886</v>
      </c>
      <c r="G271" s="20">
        <f>IFERROR(__xludf.DUMMYFUNCTION("""COMPUTED_VALUE"""),16.0)</f>
        <v>16</v>
      </c>
      <c r="H271" s="32">
        <f>IFERROR(__xludf.DUMMYFUNCTION("""COMPUTED_VALUE"""),6565.0)</f>
        <v>6565</v>
      </c>
      <c r="I271" s="20">
        <f>IFERROR(__xludf.DUMMYFUNCTION("""COMPUTED_VALUE"""),4262.8)</f>
        <v>4262.8</v>
      </c>
      <c r="J271" s="21">
        <f>IFERROR(__xludf.DUMMYFUNCTION("""COMPUTED_VALUE"""),1666.0)</f>
        <v>1666</v>
      </c>
      <c r="K271" s="22">
        <f>IFERROR(__xludf.DUMMYFUNCTION("""COMPUTED_VALUE"""),1.728246299519401)</f>
        <v>1.7282463</v>
      </c>
      <c r="L271" s="22">
        <f>IFERROR(__xludf.DUMMYFUNCTION("""COMPUTED_VALUE"""),3.249727240405556)</f>
        <v>3.24972724</v>
      </c>
      <c r="M271" s="22">
        <f>IFERROR(__xludf.DUMMYFUNCTION("""COMPUTED_VALUE"""),7.927305825335041)</f>
        <v>7.927305825</v>
      </c>
      <c r="N271" s="22">
        <f>IFERROR(__xludf.DUMMYFUNCTION("""COMPUTED_VALUE"""),13.107363244075131)</f>
        <v>13.10736324</v>
      </c>
      <c r="O271" s="22">
        <f t="shared" si="1"/>
        <v>1.521480941</v>
      </c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 t="str">
        <f>IFERROR(__xludf.DUMMYFUNCTION("""COMPUTED_VALUE"""),"Colombia")</f>
        <v>Colombia</v>
      </c>
      <c r="B272" s="18">
        <f>IFERROR(__xludf.DUMMYFUNCTION("""COMPUTED_VALUE"""),44018.0)</f>
        <v>44018</v>
      </c>
      <c r="C272" s="19">
        <f>IFERROR(__xludf.DUMMYFUNCTION("""COMPUTED_VALUE"""),44024.0)</f>
        <v>44024</v>
      </c>
      <c r="D272" s="17">
        <f>IFERROR(__xludf.DUMMYFUNCTION("""COMPUTED_VALUE"""),28.0)</f>
        <v>28</v>
      </c>
      <c r="E272" s="17">
        <f>IFERROR(__xludf.DUMMYFUNCTION("""COMPUTED_VALUE"""),6739.0)</f>
        <v>6739</v>
      </c>
      <c r="F272" s="17">
        <f>IFERROR(__xludf.DUMMYFUNCTION("""COMPUTED_VALUE"""),1243.0)</f>
        <v>1243</v>
      </c>
      <c r="G272" s="20">
        <f>IFERROR(__xludf.DUMMYFUNCTION("""COMPUTED_VALUE"""),17.0)</f>
        <v>17</v>
      </c>
      <c r="H272" s="32">
        <f>IFERROR(__xludf.DUMMYFUNCTION("""COMPUTED_VALUE"""),6558.5)</f>
        <v>6558.5</v>
      </c>
      <c r="I272" s="20">
        <f>IFERROR(__xludf.DUMMYFUNCTION("""COMPUTED_VALUE"""),4263.0)</f>
        <v>4263</v>
      </c>
      <c r="J272" s="21">
        <f>IFERROR(__xludf.DUMMYFUNCTION("""COMPUTED_VALUE"""),2195.3999999999996)</f>
        <v>2195.4</v>
      </c>
      <c r="K272" s="22">
        <f>IFERROR(__xludf.DUMMYFUNCTION("""COMPUTED_VALUE"""),2.424616422463449)</f>
        <v>2.424616422</v>
      </c>
      <c r="L272" s="22">
        <f>IFERROR(__xludf.DUMMYFUNCTION("""COMPUTED_VALUE"""),4.282383663617261)</f>
        <v>4.282383664</v>
      </c>
      <c r="M272" s="22">
        <f>IFERROR(__xludf.DUMMYFUNCTION("""COMPUTED_VALUE"""),10.35192224779849)</f>
        <v>10.35192225</v>
      </c>
      <c r="N272" s="22">
        <f>IFERROR(__xludf.DUMMYFUNCTION("""COMPUTED_VALUE"""),17.38974690769239)</f>
        <v>17.38974691</v>
      </c>
      <c r="O272" s="22">
        <f t="shared" si="1"/>
        <v>1.857767241</v>
      </c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 t="str">
        <f>IFERROR(__xludf.DUMMYFUNCTION("""COMPUTED_VALUE"""),"Colombia")</f>
        <v>Colombia</v>
      </c>
      <c r="B273" s="18">
        <f>IFERROR(__xludf.DUMMYFUNCTION("""COMPUTED_VALUE"""),44025.0)</f>
        <v>44025</v>
      </c>
      <c r="C273" s="19">
        <f>IFERROR(__xludf.DUMMYFUNCTION("""COMPUTED_VALUE"""),44031.0)</f>
        <v>44031</v>
      </c>
      <c r="D273" s="17">
        <f>IFERROR(__xludf.DUMMYFUNCTION("""COMPUTED_VALUE"""),29.0)</f>
        <v>29</v>
      </c>
      <c r="E273" s="17">
        <f>IFERROR(__xludf.DUMMYFUNCTION("""COMPUTED_VALUE"""),7313.0)</f>
        <v>7313</v>
      </c>
      <c r="F273" s="17">
        <f>IFERROR(__xludf.DUMMYFUNCTION("""COMPUTED_VALUE"""),1429.0)</f>
        <v>1429</v>
      </c>
      <c r="G273" s="20">
        <f>IFERROR(__xludf.DUMMYFUNCTION("""COMPUTED_VALUE"""),18.0)</f>
        <v>18</v>
      </c>
      <c r="H273" s="32">
        <f>IFERROR(__xludf.DUMMYFUNCTION("""COMPUTED_VALUE"""),6572.5)</f>
        <v>6572.5</v>
      </c>
      <c r="I273" s="20">
        <f>IFERROR(__xludf.DUMMYFUNCTION("""COMPUTED_VALUE"""),4331.2)</f>
        <v>4331.2</v>
      </c>
      <c r="J273" s="21">
        <f>IFERROR(__xludf.DUMMYFUNCTION("""COMPUTED_VALUE"""),2868.2)</f>
        <v>2868.2</v>
      </c>
      <c r="K273" s="22">
        <f>IFERROR(__xludf.DUMMYFUNCTION("""COMPUTED_VALUE"""),2.78743110836707)</f>
        <v>2.787431108</v>
      </c>
      <c r="L273" s="22">
        <f>IFERROR(__xludf.DUMMYFUNCTION("""COMPUTED_VALUE"""),5.594758505961114)</f>
        <v>5.594758506</v>
      </c>
      <c r="M273" s="22">
        <f>IFERROR(__xludf.DUMMYFUNCTION("""COMPUTED_VALUE"""),13.139353356165559)</f>
        <v>13.13935336</v>
      </c>
      <c r="N273" s="22">
        <f>IFERROR(__xludf.DUMMYFUNCTION("""COMPUTED_VALUE"""),22.984505413653505)</f>
        <v>22.98450541</v>
      </c>
      <c r="O273" s="22">
        <f t="shared" si="1"/>
        <v>2.807327398</v>
      </c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 t="str">
        <f>IFERROR(__xludf.DUMMYFUNCTION("""COMPUTED_VALUE"""),"Colombia")</f>
        <v>Colombia</v>
      </c>
      <c r="B274" s="18">
        <f>IFERROR(__xludf.DUMMYFUNCTION("""COMPUTED_VALUE"""),44032.0)</f>
        <v>44032</v>
      </c>
      <c r="C274" s="19">
        <f>IFERROR(__xludf.DUMMYFUNCTION("""COMPUTED_VALUE"""),44038.0)</f>
        <v>44038</v>
      </c>
      <c r="D274" s="17">
        <f>IFERROR(__xludf.DUMMYFUNCTION("""COMPUTED_VALUE"""),30.0)</f>
        <v>30</v>
      </c>
      <c r="E274" s="17">
        <f>IFERROR(__xludf.DUMMYFUNCTION("""COMPUTED_VALUE"""),7702.0)</f>
        <v>7702</v>
      </c>
      <c r="F274" s="17">
        <f>IFERROR(__xludf.DUMMYFUNCTION("""COMPUTED_VALUE"""),1789.0)</f>
        <v>1789</v>
      </c>
      <c r="G274" s="20">
        <f>IFERROR(__xludf.DUMMYFUNCTION("""COMPUTED_VALUE"""),19.0)</f>
        <v>19</v>
      </c>
      <c r="H274" s="32">
        <f>IFERROR(__xludf.DUMMYFUNCTION("""COMPUTED_VALUE"""),6728.5)</f>
        <v>6728.5</v>
      </c>
      <c r="I274" s="20">
        <f>IFERROR(__xludf.DUMMYFUNCTION("""COMPUTED_VALUE"""),4368.2)</f>
        <v>4368.2</v>
      </c>
      <c r="J274" s="21">
        <f>IFERROR(__xludf.DUMMYFUNCTION("""COMPUTED_VALUE"""),3379.8)</f>
        <v>3379.8</v>
      </c>
      <c r="K274" s="22">
        <f>IFERROR(__xludf.DUMMYFUNCTION("""COMPUTED_VALUE"""),3.489653081083757)</f>
        <v>3.489653081</v>
      </c>
      <c r="L274" s="22">
        <f>IFERROR(__xludf.DUMMYFUNCTION("""COMPUTED_VALUE"""),6.592693953855161)</f>
        <v>6.592693954</v>
      </c>
      <c r="M274" s="22">
        <f>IFERROR(__xludf.DUMMYFUNCTION("""COMPUTED_VALUE"""),16.629006437249316)</f>
        <v>16.62900644</v>
      </c>
      <c r="N274" s="22">
        <f>IFERROR(__xludf.DUMMYFUNCTION("""COMPUTED_VALUE"""),29.577199367508666)</f>
        <v>29.57719937</v>
      </c>
      <c r="O274" s="22">
        <f t="shared" si="1"/>
        <v>3.103040873</v>
      </c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 t="str">
        <f>IFERROR(__xludf.DUMMYFUNCTION("""COMPUTED_VALUE"""),"Colombia")</f>
        <v>Colombia</v>
      </c>
      <c r="B275" s="18">
        <f>IFERROR(__xludf.DUMMYFUNCTION("""COMPUTED_VALUE"""),44039.0)</f>
        <v>44039</v>
      </c>
      <c r="C275" s="19">
        <f>IFERROR(__xludf.DUMMYFUNCTION("""COMPUTED_VALUE"""),44045.0)</f>
        <v>44045</v>
      </c>
      <c r="D275" s="17">
        <f>IFERROR(__xludf.DUMMYFUNCTION("""COMPUTED_VALUE"""),31.0)</f>
        <v>31</v>
      </c>
      <c r="E275" s="17">
        <f>IFERROR(__xludf.DUMMYFUNCTION("""COMPUTED_VALUE"""),8070.0)</f>
        <v>8070</v>
      </c>
      <c r="F275" s="17">
        <f>IFERROR(__xludf.DUMMYFUNCTION("""COMPUTED_VALUE"""),2125.0)</f>
        <v>2125</v>
      </c>
      <c r="G275" s="20">
        <f>IFERROR(__xludf.DUMMYFUNCTION("""COMPUTED_VALUE"""),20.0)</f>
        <v>20</v>
      </c>
      <c r="H275" s="32">
        <f>IFERROR(__xludf.DUMMYFUNCTION("""COMPUTED_VALUE"""),6818.5)</f>
        <v>6818.5</v>
      </c>
      <c r="I275" s="20">
        <f>IFERROR(__xludf.DUMMYFUNCTION("""COMPUTED_VALUE"""),4518.8)</f>
        <v>4518.8</v>
      </c>
      <c r="J275" s="21">
        <f>IFERROR(__xludf.DUMMYFUNCTION("""COMPUTED_VALUE"""),3706.2)</f>
        <v>3706.2</v>
      </c>
      <c r="K275" s="22">
        <f>IFERROR(__xludf.DUMMYFUNCTION("""COMPUTED_VALUE"""),4.145060255619331)</f>
        <v>4.145060256</v>
      </c>
      <c r="L275" s="22">
        <f>IFERROR(__xludf.DUMMYFUNCTION("""COMPUTED_VALUE"""),7.229375209118289)</f>
        <v>7.229375209</v>
      </c>
      <c r="M275" s="22">
        <f>IFERROR(__xludf.DUMMYFUNCTION("""COMPUTED_VALUE"""),20.774066692868647)</f>
        <v>20.77406669</v>
      </c>
      <c r="N275" s="22">
        <f>IFERROR(__xludf.DUMMYFUNCTION("""COMPUTED_VALUE"""),36.80657457662696)</f>
        <v>36.80657458</v>
      </c>
      <c r="O275" s="22">
        <f t="shared" si="1"/>
        <v>3.084314953</v>
      </c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 t="str">
        <f>IFERROR(__xludf.DUMMYFUNCTION("""COMPUTED_VALUE"""),"Colombia")</f>
        <v>Colombia</v>
      </c>
      <c r="B276" s="18">
        <f>IFERROR(__xludf.DUMMYFUNCTION("""COMPUTED_VALUE"""),44046.0)</f>
        <v>44046</v>
      </c>
      <c r="C276" s="19">
        <f>IFERROR(__xludf.DUMMYFUNCTION("""COMPUTED_VALUE"""),44052.0)</f>
        <v>44052</v>
      </c>
      <c r="D276" s="17">
        <f>IFERROR(__xludf.DUMMYFUNCTION("""COMPUTED_VALUE"""),32.0)</f>
        <v>32</v>
      </c>
      <c r="E276" s="17">
        <f>IFERROR(__xludf.DUMMYFUNCTION("""COMPUTED_VALUE"""),7888.0)</f>
        <v>7888</v>
      </c>
      <c r="F276" s="17">
        <f>IFERROR(__xludf.DUMMYFUNCTION("""COMPUTED_VALUE"""),2192.0)</f>
        <v>2192</v>
      </c>
      <c r="G276" s="20">
        <f>IFERROR(__xludf.DUMMYFUNCTION("""COMPUTED_VALUE"""),21.0)</f>
        <v>21</v>
      </c>
      <c r="H276" s="32">
        <f>IFERROR(__xludf.DUMMYFUNCTION("""COMPUTED_VALUE"""),6998.5)</f>
        <v>6998.5</v>
      </c>
      <c r="I276" s="20">
        <f>IFERROR(__xludf.DUMMYFUNCTION("""COMPUTED_VALUE"""),4478.2)</f>
        <v>4478.2</v>
      </c>
      <c r="J276" s="21">
        <f>IFERROR(__xludf.DUMMYFUNCTION("""COMPUTED_VALUE"""),3445.2)</f>
        <v>3445.2</v>
      </c>
      <c r="K276" s="22">
        <f>IFERROR(__xludf.DUMMYFUNCTION("""COMPUTED_VALUE"""),4.27575156720827)</f>
        <v>4.275751567</v>
      </c>
      <c r="L276" s="22">
        <f>IFERROR(__xludf.DUMMYFUNCTION("""COMPUTED_VALUE"""),6.720264278898691)</f>
        <v>6.720264279</v>
      </c>
      <c r="M276" s="22">
        <f>IFERROR(__xludf.DUMMYFUNCTION("""COMPUTED_VALUE"""),25.04981826007692)</f>
        <v>25.04981826</v>
      </c>
      <c r="N276" s="22">
        <f>IFERROR(__xludf.DUMMYFUNCTION("""COMPUTED_VALUE"""),43.52683885552565)</f>
        <v>43.52683886</v>
      </c>
      <c r="O276" s="22">
        <f t="shared" si="1"/>
        <v>2.444512712</v>
      </c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 t="str">
        <f>IFERROR(__xludf.DUMMYFUNCTION("""COMPUTED_VALUE"""),"Colombia")</f>
        <v>Colombia</v>
      </c>
      <c r="B277" s="18">
        <f>IFERROR(__xludf.DUMMYFUNCTION("""COMPUTED_VALUE"""),44053.0)</f>
        <v>44053</v>
      </c>
      <c r="C277" s="19">
        <f>IFERROR(__xludf.DUMMYFUNCTION("""COMPUTED_VALUE"""),44059.0)</f>
        <v>44059</v>
      </c>
      <c r="D277" s="17">
        <f>IFERROR(__xludf.DUMMYFUNCTION("""COMPUTED_VALUE"""),33.0)</f>
        <v>33</v>
      </c>
      <c r="E277" s="17">
        <f>IFERROR(__xludf.DUMMYFUNCTION("""COMPUTED_VALUE"""),7648.0)</f>
        <v>7648</v>
      </c>
      <c r="F277" s="17">
        <f>IFERROR(__xludf.DUMMYFUNCTION("""COMPUTED_VALUE"""),2255.0)</f>
        <v>2255</v>
      </c>
      <c r="G277" s="20">
        <f>IFERROR(__xludf.DUMMYFUNCTION("""COMPUTED_VALUE"""),22.0)</f>
        <v>22</v>
      </c>
      <c r="H277" s="32">
        <f>IFERROR(__xludf.DUMMYFUNCTION("""COMPUTED_VALUE"""),7252.5)</f>
        <v>7252.5</v>
      </c>
      <c r="I277" s="20">
        <f>IFERROR(__xludf.DUMMYFUNCTION("""COMPUTED_VALUE"""),4485.0)</f>
        <v>4485</v>
      </c>
      <c r="J277" s="21">
        <f>IFERROR(__xludf.DUMMYFUNCTION("""COMPUTED_VALUE"""),3248.8)</f>
        <v>3248.8</v>
      </c>
      <c r="K277" s="22">
        <f>IFERROR(__xludf.DUMMYFUNCTION("""COMPUTED_VALUE"""),4.39864041243369)</f>
        <v>4.398640412</v>
      </c>
      <c r="L277" s="22">
        <f>IFERROR(__xludf.DUMMYFUNCTION("""COMPUTED_VALUE"""),6.337163180449922)</f>
        <v>6.33716318</v>
      </c>
      <c r="M277" s="22">
        <f>IFERROR(__xludf.DUMMYFUNCTION("""COMPUTED_VALUE"""),29.448458672510608)</f>
        <v>29.44845867</v>
      </c>
      <c r="N277" s="22">
        <f>IFERROR(__xludf.DUMMYFUNCTION("""COMPUTED_VALUE"""),49.86400203597557)</f>
        <v>49.86400204</v>
      </c>
      <c r="O277" s="22">
        <f t="shared" si="1"/>
        <v>1.938522768</v>
      </c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 t="str">
        <f>IFERROR(__xludf.DUMMYFUNCTION("""COMPUTED_VALUE"""),"Colombia")</f>
        <v>Colombia</v>
      </c>
      <c r="B278" s="18">
        <f>IFERROR(__xludf.DUMMYFUNCTION("""COMPUTED_VALUE"""),44060.0)</f>
        <v>44060</v>
      </c>
      <c r="C278" s="19">
        <f>IFERROR(__xludf.DUMMYFUNCTION("""COMPUTED_VALUE"""),44066.0)</f>
        <v>44066</v>
      </c>
      <c r="D278" s="17">
        <f>IFERROR(__xludf.DUMMYFUNCTION("""COMPUTED_VALUE"""),34.0)</f>
        <v>34</v>
      </c>
      <c r="E278" s="17">
        <f>IFERROR(__xludf.DUMMYFUNCTION("""COMPUTED_VALUE"""),7152.0)</f>
        <v>7152</v>
      </c>
      <c r="F278" s="17">
        <f>IFERROR(__xludf.DUMMYFUNCTION("""COMPUTED_VALUE"""),2219.0)</f>
        <v>2219</v>
      </c>
      <c r="G278" s="20">
        <f>IFERROR(__xludf.DUMMYFUNCTION("""COMPUTED_VALUE"""),23.0)</f>
        <v>23</v>
      </c>
      <c r="H278" s="32">
        <f>IFERROR(__xludf.DUMMYFUNCTION("""COMPUTED_VALUE"""),7617.0)</f>
        <v>7617</v>
      </c>
      <c r="I278" s="20">
        <f>IFERROR(__xludf.DUMMYFUNCTION("""COMPUTED_VALUE"""),4542.6)</f>
        <v>4542.6</v>
      </c>
      <c r="J278" s="21">
        <f>IFERROR(__xludf.DUMMYFUNCTION("""COMPUTED_VALUE"""),2816.0)</f>
        <v>2816</v>
      </c>
      <c r="K278" s="22">
        <f>IFERROR(__xludf.DUMMYFUNCTION("""COMPUTED_VALUE"""),4.328418215162022)</f>
        <v>4.328418215</v>
      </c>
      <c r="L278" s="22">
        <f>IFERROR(__xludf.DUMMYFUNCTION("""COMPUTED_VALUE"""),5.492936319917193)</f>
        <v>5.49293632</v>
      </c>
      <c r="M278" s="22">
        <f>IFERROR(__xludf.DUMMYFUNCTION("""COMPUTED_VALUE"""),33.77687688767263)</f>
        <v>33.77687689</v>
      </c>
      <c r="N278" s="22">
        <f>IFERROR(__xludf.DUMMYFUNCTION("""COMPUTED_VALUE"""),55.35693835589276)</f>
        <v>55.35693836</v>
      </c>
      <c r="O278" s="22">
        <f t="shared" si="1"/>
        <v>1.164518105</v>
      </c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 t="str">
        <f>IFERROR(__xludf.DUMMYFUNCTION("""COMPUTED_VALUE"""),"Colombia")</f>
        <v>Colombia</v>
      </c>
      <c r="B279" s="18">
        <f>IFERROR(__xludf.DUMMYFUNCTION("""COMPUTED_VALUE"""),44067.0)</f>
        <v>44067</v>
      </c>
      <c r="C279" s="19">
        <f>IFERROR(__xludf.DUMMYFUNCTION("""COMPUTED_VALUE"""),44073.0)</f>
        <v>44073</v>
      </c>
      <c r="D279" s="17">
        <f>IFERROR(__xludf.DUMMYFUNCTION("""COMPUTED_VALUE"""),35.0)</f>
        <v>35</v>
      </c>
      <c r="E279" s="17">
        <f>IFERROR(__xludf.DUMMYFUNCTION("""COMPUTED_VALUE"""),6798.0)</f>
        <v>6798</v>
      </c>
      <c r="F279" s="17">
        <f>IFERROR(__xludf.DUMMYFUNCTION("""COMPUTED_VALUE"""),2047.0)</f>
        <v>2047</v>
      </c>
      <c r="G279" s="20">
        <f>IFERROR(__xludf.DUMMYFUNCTION("""COMPUTED_VALUE"""),24.0)</f>
        <v>24</v>
      </c>
      <c r="H279" s="32">
        <f>IFERROR(__xludf.DUMMYFUNCTION("""COMPUTED_VALUE"""),7894.5)</f>
        <v>7894.5</v>
      </c>
      <c r="I279" s="20">
        <f>IFERROR(__xludf.DUMMYFUNCTION("""COMPUTED_VALUE"""),4514.8)</f>
        <v>4514.8</v>
      </c>
      <c r="J279" s="21">
        <f>IFERROR(__xludf.DUMMYFUNCTION("""COMPUTED_VALUE"""),2445.3999999999996)</f>
        <v>2445.4</v>
      </c>
      <c r="K279" s="22">
        <f>IFERROR(__xludf.DUMMYFUNCTION("""COMPUTED_VALUE"""),3.9929121615307155)</f>
        <v>3.992912162</v>
      </c>
      <c r="L279" s="22">
        <f>IFERROR(__xludf.DUMMYFUNCTION("""COMPUTED_VALUE"""),4.770037811337182)</f>
        <v>4.770037811</v>
      </c>
      <c r="M279" s="22">
        <f>IFERROR(__xludf.DUMMYFUNCTION("""COMPUTED_VALUE"""),37.76978904920335)</f>
        <v>37.76978905</v>
      </c>
      <c r="N279" s="22">
        <f>IFERROR(__xludf.DUMMYFUNCTION("""COMPUTED_VALUE"""),60.12697616722994)</f>
        <v>60.12697617</v>
      </c>
      <c r="O279" s="22">
        <f t="shared" si="1"/>
        <v>0.7771256498</v>
      </c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 t="str">
        <f>IFERROR(__xludf.DUMMYFUNCTION("""COMPUTED_VALUE"""),"Colombia")</f>
        <v>Colombia</v>
      </c>
      <c r="B280" s="18">
        <f>IFERROR(__xludf.DUMMYFUNCTION("""COMPUTED_VALUE"""),44074.0)</f>
        <v>44074</v>
      </c>
      <c r="C280" s="19">
        <f>IFERROR(__xludf.DUMMYFUNCTION("""COMPUTED_VALUE"""),44080.0)</f>
        <v>44080</v>
      </c>
      <c r="D280" s="17">
        <f>IFERROR(__xludf.DUMMYFUNCTION("""COMPUTED_VALUE"""),36.0)</f>
        <v>36</v>
      </c>
      <c r="E280" s="17">
        <f>IFERROR(__xludf.DUMMYFUNCTION("""COMPUTED_VALUE"""),6570.0)</f>
        <v>6570</v>
      </c>
      <c r="F280" s="17">
        <f>IFERROR(__xludf.DUMMYFUNCTION("""COMPUTED_VALUE"""),2049.0)</f>
        <v>2049</v>
      </c>
      <c r="G280" s="20">
        <f>IFERROR(__xludf.DUMMYFUNCTION("""COMPUTED_VALUE"""),25.0)</f>
        <v>25</v>
      </c>
      <c r="H280" s="32">
        <f>IFERROR(__xludf.DUMMYFUNCTION("""COMPUTED_VALUE"""),8117.0)</f>
        <v>8117</v>
      </c>
      <c r="I280" s="20">
        <f>IFERROR(__xludf.DUMMYFUNCTION("""COMPUTED_VALUE"""),4554.6)</f>
        <v>4554.6</v>
      </c>
      <c r="J280" s="21">
        <f>IFERROR(__xludf.DUMMYFUNCTION("""COMPUTED_VALUE"""),2221.6000000000004)</f>
        <v>2221.6</v>
      </c>
      <c r="K280" s="22">
        <f>IFERROR(__xludf.DUMMYFUNCTION("""COMPUTED_VALUE"""),3.9968133947124755)</f>
        <v>3.996813395</v>
      </c>
      <c r="L280" s="22">
        <f>IFERROR(__xludf.DUMMYFUNCTION("""COMPUTED_VALUE"""),4.333489818298309)</f>
        <v>4.333489818</v>
      </c>
      <c r="M280" s="22">
        <f>IFERROR(__xludf.DUMMYFUNCTION("""COMPUTED_VALUE"""),41.76660244391582)</f>
        <v>41.76660244</v>
      </c>
      <c r="N280" s="22">
        <f>IFERROR(__xludf.DUMMYFUNCTION("""COMPUTED_VALUE"""),64.46046598552824)</f>
        <v>64.46046599</v>
      </c>
      <c r="O280" s="22">
        <f t="shared" si="1"/>
        <v>0.3366764236</v>
      </c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 t="str">
        <f>IFERROR(__xludf.DUMMYFUNCTION("""COMPUTED_VALUE"""),"Colombia")</f>
        <v>Colombia</v>
      </c>
      <c r="B281" s="18">
        <f>IFERROR(__xludf.DUMMYFUNCTION("""COMPUTED_VALUE"""),44081.0)</f>
        <v>44081</v>
      </c>
      <c r="C281" s="19">
        <f>IFERROR(__xludf.DUMMYFUNCTION("""COMPUTED_VALUE"""),44087.0)</f>
        <v>44087</v>
      </c>
      <c r="D281" s="17">
        <f>IFERROR(__xludf.DUMMYFUNCTION("""COMPUTED_VALUE"""),37.0)</f>
        <v>37</v>
      </c>
      <c r="E281" s="17">
        <f>IFERROR(__xludf.DUMMYFUNCTION("""COMPUTED_VALUE"""),6383.0)</f>
        <v>6383</v>
      </c>
      <c r="F281" s="17">
        <f>IFERROR(__xludf.DUMMYFUNCTION("""COMPUTED_VALUE"""),1512.0)</f>
        <v>1512</v>
      </c>
      <c r="G281" s="20">
        <f>IFERROR(__xludf.DUMMYFUNCTION("""COMPUTED_VALUE"""),26.0)</f>
        <v>26</v>
      </c>
      <c r="H281" s="32">
        <f>IFERROR(__xludf.DUMMYFUNCTION("""COMPUTED_VALUE"""),8184.0)</f>
        <v>8184</v>
      </c>
      <c r="I281" s="20">
        <f>IFERROR(__xludf.DUMMYFUNCTION("""COMPUTED_VALUE"""),4592.0)</f>
        <v>4592</v>
      </c>
      <c r="J281" s="21">
        <f>IFERROR(__xludf.DUMMYFUNCTION("""COMPUTED_VALUE"""),2072.3999999999996)</f>
        <v>2072.4</v>
      </c>
      <c r="K281" s="22">
        <f>IFERROR(__xludf.DUMMYFUNCTION("""COMPUTED_VALUE"""),2.949332285410084)</f>
        <v>2.949332285</v>
      </c>
      <c r="L281" s="22">
        <f>IFERROR(__xludf.DUMMYFUNCTION("""COMPUTED_VALUE"""),4.04245782293906)</f>
        <v>4.042457823</v>
      </c>
      <c r="M281" s="22">
        <f>IFERROR(__xludf.DUMMYFUNCTION("""COMPUTED_VALUE"""),44.71593472932591)</f>
        <v>44.71593473</v>
      </c>
      <c r="N281" s="22">
        <f>IFERROR(__xludf.DUMMYFUNCTION("""COMPUTED_VALUE"""),68.5029238084673)</f>
        <v>68.50292381</v>
      </c>
      <c r="O281" s="22">
        <f t="shared" si="1"/>
        <v>1.093125538</v>
      </c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 t="str">
        <f>IFERROR(__xludf.DUMMYFUNCTION("""COMPUTED_VALUE"""),"Colombia")</f>
        <v>Colombia</v>
      </c>
      <c r="B282" s="18">
        <f>IFERROR(__xludf.DUMMYFUNCTION("""COMPUTED_VALUE"""),44088.0)</f>
        <v>44088</v>
      </c>
      <c r="C282" s="19">
        <f>IFERROR(__xludf.DUMMYFUNCTION("""COMPUTED_VALUE"""),44094.0)</f>
        <v>44094</v>
      </c>
      <c r="D282" s="17">
        <f>IFERROR(__xludf.DUMMYFUNCTION("""COMPUTED_VALUE"""),38.0)</f>
        <v>38</v>
      </c>
      <c r="E282" s="17">
        <f>IFERROR(__xludf.DUMMYFUNCTION("""COMPUTED_VALUE"""),6240.0)</f>
        <v>6240</v>
      </c>
      <c r="F282" s="17">
        <f>IFERROR(__xludf.DUMMYFUNCTION("""COMPUTED_VALUE"""),1284.0)</f>
        <v>1284</v>
      </c>
      <c r="G282" s="20">
        <f>IFERROR(__xludf.DUMMYFUNCTION("""COMPUTED_VALUE"""),27.0)</f>
        <v>27</v>
      </c>
      <c r="H282" s="32">
        <f>IFERROR(__xludf.DUMMYFUNCTION("""COMPUTED_VALUE"""),7859.0)</f>
        <v>7859</v>
      </c>
      <c r="I282" s="20">
        <f>IFERROR(__xludf.DUMMYFUNCTION("""COMPUTED_VALUE"""),4567.0)</f>
        <v>4567</v>
      </c>
      <c r="J282" s="21">
        <f>IFERROR(__xludf.DUMMYFUNCTION("""COMPUTED_VALUE"""),1867.8000000000002)</f>
        <v>1867.8</v>
      </c>
      <c r="K282" s="22">
        <f>IFERROR(__xludf.DUMMYFUNCTION("""COMPUTED_VALUE"""),2.504591702689516)</f>
        <v>2.504591703</v>
      </c>
      <c r="L282" s="22">
        <f>IFERROR(__xludf.DUMMYFUNCTION("""COMPUTED_VALUE"""),3.6433616684450767)</f>
        <v>3.643361668</v>
      </c>
      <c r="M282" s="22">
        <f>IFERROR(__xludf.DUMMYFUNCTION("""COMPUTED_VALUE"""),47.220526432015426)</f>
        <v>47.22052643</v>
      </c>
      <c r="N282" s="22">
        <f>IFERROR(__xludf.DUMMYFUNCTION("""COMPUTED_VALUE"""),72.14628547691238)</f>
        <v>72.14628548</v>
      </c>
      <c r="O282" s="22">
        <f t="shared" si="1"/>
        <v>1.138769966</v>
      </c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 t="str">
        <f>IFERROR(__xludf.DUMMYFUNCTION("""COMPUTED_VALUE"""),"Colombia")</f>
        <v>Colombia</v>
      </c>
      <c r="B283" s="18">
        <f>IFERROR(__xludf.DUMMYFUNCTION("""COMPUTED_VALUE"""),44095.0)</f>
        <v>44095</v>
      </c>
      <c r="C283" s="19">
        <f>IFERROR(__xludf.DUMMYFUNCTION("""COMPUTED_VALUE"""),44101.0)</f>
        <v>44101</v>
      </c>
      <c r="D283" s="17">
        <f>IFERROR(__xludf.DUMMYFUNCTION("""COMPUTED_VALUE"""),39.0)</f>
        <v>39</v>
      </c>
      <c r="E283" s="17">
        <f>IFERROR(__xludf.DUMMYFUNCTION("""COMPUTED_VALUE"""),6161.0)</f>
        <v>6161</v>
      </c>
      <c r="F283" s="17">
        <f>IFERROR(__xludf.DUMMYFUNCTION("""COMPUTED_VALUE"""),1280.0)</f>
        <v>1280</v>
      </c>
      <c r="G283" s="20">
        <f>IFERROR(__xludf.DUMMYFUNCTION("""COMPUTED_VALUE"""),28.0)</f>
        <v>28</v>
      </c>
      <c r="H283" s="32">
        <f>IFERROR(__xludf.DUMMYFUNCTION("""COMPUTED_VALUE"""),6739.0)</f>
        <v>6739</v>
      </c>
      <c r="I283" s="20">
        <f>IFERROR(__xludf.DUMMYFUNCTION("""COMPUTED_VALUE"""),4543.6)</f>
        <v>4543.6</v>
      </c>
      <c r="J283" s="21">
        <f>IFERROR(__xludf.DUMMYFUNCTION("""COMPUTED_VALUE"""),1903.3999999999996)</f>
        <v>1903.4</v>
      </c>
      <c r="K283" s="22">
        <f>IFERROR(__xludf.DUMMYFUNCTION("""COMPUTED_VALUE"""),2.496789236325997)</f>
        <v>2.496789236</v>
      </c>
      <c r="L283" s="22">
        <f>IFERROR(__xludf.DUMMYFUNCTION("""COMPUTED_VALUE"""),3.7128036190803924)</f>
        <v>3.712803619</v>
      </c>
      <c r="M283" s="22">
        <f>IFERROR(__xludf.DUMMYFUNCTION("""COMPUTED_VALUE"""),49.71731566834142)</f>
        <v>49.71731567</v>
      </c>
      <c r="N283" s="22">
        <f>IFERROR(__xludf.DUMMYFUNCTION("""COMPUTED_VALUE"""),75.85908909599277)</f>
        <v>75.8590891</v>
      </c>
      <c r="O283" s="22">
        <f t="shared" si="1"/>
        <v>1.216014383</v>
      </c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 t="str">
        <f>IFERROR(__xludf.DUMMYFUNCTION("""COMPUTED_VALUE"""),"Colombia")</f>
        <v>Colombia</v>
      </c>
      <c r="B284" s="18">
        <f>IFERROR(__xludf.DUMMYFUNCTION("""COMPUTED_VALUE"""),44102.0)</f>
        <v>44102</v>
      </c>
      <c r="C284" s="19">
        <f>IFERROR(__xludf.DUMMYFUNCTION("""COMPUTED_VALUE"""),44108.0)</f>
        <v>44108</v>
      </c>
      <c r="D284" s="17">
        <f>IFERROR(__xludf.DUMMYFUNCTION("""COMPUTED_VALUE"""),40.0)</f>
        <v>40</v>
      </c>
      <c r="E284" s="17">
        <f>IFERROR(__xludf.DUMMYFUNCTION("""COMPUTED_VALUE"""),6019.0)</f>
        <v>6019</v>
      </c>
      <c r="F284" s="17">
        <f>IFERROR(__xludf.DUMMYFUNCTION("""COMPUTED_VALUE"""),1224.0)</f>
        <v>1224</v>
      </c>
      <c r="G284" s="20">
        <f>IFERROR(__xludf.DUMMYFUNCTION("""COMPUTED_VALUE"""),29.0)</f>
        <v>29</v>
      </c>
      <c r="H284" s="32">
        <f>IFERROR(__xludf.DUMMYFUNCTION("""COMPUTED_VALUE"""),7313.0)</f>
        <v>7313</v>
      </c>
      <c r="I284" s="20">
        <f>IFERROR(__xludf.DUMMYFUNCTION("""COMPUTED_VALUE"""),4444.8)</f>
        <v>4444.8</v>
      </c>
      <c r="J284" s="21">
        <f>IFERROR(__xludf.DUMMYFUNCTION("""COMPUTED_VALUE"""),1711.8000000000002)</f>
        <v>1711.8</v>
      </c>
      <c r="K284" s="22">
        <f>IFERROR(__xludf.DUMMYFUNCTION("""COMPUTED_VALUE"""),2.3875547072367347)</f>
        <v>2.387554707</v>
      </c>
      <c r="L284" s="22">
        <f>IFERROR(__xludf.DUMMYFUNCTION("""COMPUTED_VALUE"""),3.339065480267846)</f>
        <v>3.33906548</v>
      </c>
      <c r="M284" s="22">
        <f>IFERROR(__xludf.DUMMYFUNCTION("""COMPUTED_VALUE"""),52.10487037557816)</f>
        <v>52.10487038</v>
      </c>
      <c r="N284" s="22">
        <f>IFERROR(__xludf.DUMMYFUNCTION("""COMPUTED_VALUE"""),79.19815457626062)</f>
        <v>79.19815458</v>
      </c>
      <c r="O284" s="22">
        <f t="shared" si="1"/>
        <v>0.951510773</v>
      </c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 t="str">
        <f>IFERROR(__xludf.DUMMYFUNCTION("""COMPUTED_VALUE"""),"Colombia")</f>
        <v>Colombia</v>
      </c>
      <c r="B285" s="18">
        <f>IFERROR(__xludf.DUMMYFUNCTION("""COMPUTED_VALUE"""),44109.0)</f>
        <v>44109</v>
      </c>
      <c r="C285" s="19">
        <f>IFERROR(__xludf.DUMMYFUNCTION("""COMPUTED_VALUE"""),44115.0)</f>
        <v>44115</v>
      </c>
      <c r="D285" s="17">
        <f>IFERROR(__xludf.DUMMYFUNCTION("""COMPUTED_VALUE"""),41.0)</f>
        <v>41</v>
      </c>
      <c r="E285" s="17">
        <f>IFERROR(__xludf.DUMMYFUNCTION("""COMPUTED_VALUE"""),6173.0)</f>
        <v>6173</v>
      </c>
      <c r="F285" s="17">
        <f>IFERROR(__xludf.DUMMYFUNCTION("""COMPUTED_VALUE"""),1122.0)</f>
        <v>1122</v>
      </c>
      <c r="G285" s="20">
        <f>IFERROR(__xludf.DUMMYFUNCTION("""COMPUTED_VALUE"""),30.0)</f>
        <v>30</v>
      </c>
      <c r="H285" s="32">
        <f>IFERROR(__xludf.DUMMYFUNCTION("""COMPUTED_VALUE"""),7702.0)</f>
        <v>7702</v>
      </c>
      <c r="I285" s="20">
        <f>IFERROR(__xludf.DUMMYFUNCTION("""COMPUTED_VALUE"""),4322.2)</f>
        <v>4322.2</v>
      </c>
      <c r="J285" s="21">
        <f>IFERROR(__xludf.DUMMYFUNCTION("""COMPUTED_VALUE"""),1838.0)</f>
        <v>1838</v>
      </c>
      <c r="K285" s="22">
        <f>IFERROR(__xludf.DUMMYFUNCTION("""COMPUTED_VALUE"""),2.188591814967007)</f>
        <v>2.188591815</v>
      </c>
      <c r="L285" s="22">
        <f>IFERROR(__xludf.DUMMYFUNCTION("""COMPUTED_VALUE"""),3.5852332940368616)</f>
        <v>3.585233294</v>
      </c>
      <c r="M285" s="22">
        <f>IFERROR(__xludf.DUMMYFUNCTION("""COMPUTED_VALUE"""),54.29346219054516)</f>
        <v>54.29346219</v>
      </c>
      <c r="N285" s="22">
        <f>IFERROR(__xludf.DUMMYFUNCTION("""COMPUTED_VALUE"""),82.78338787029749)</f>
        <v>82.78338787</v>
      </c>
      <c r="O285" s="22">
        <f t="shared" si="1"/>
        <v>1.396641479</v>
      </c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 t="str">
        <f>IFERROR(__xludf.DUMMYFUNCTION("""COMPUTED_VALUE"""),"Colombia")</f>
        <v>Colombia</v>
      </c>
      <c r="B286" s="18">
        <f>IFERROR(__xludf.DUMMYFUNCTION("""COMPUTED_VALUE"""),44116.0)</f>
        <v>44116</v>
      </c>
      <c r="C286" s="19">
        <f>IFERROR(__xludf.DUMMYFUNCTION("""COMPUTED_VALUE"""),44122.0)</f>
        <v>44122</v>
      </c>
      <c r="D286" s="17">
        <f>IFERROR(__xludf.DUMMYFUNCTION("""COMPUTED_VALUE"""),42.0)</f>
        <v>42</v>
      </c>
      <c r="E286" s="17">
        <f>IFERROR(__xludf.DUMMYFUNCTION("""COMPUTED_VALUE"""),6190.0)</f>
        <v>6190</v>
      </c>
      <c r="F286" s="17">
        <f>IFERROR(__xludf.DUMMYFUNCTION("""COMPUTED_VALUE"""),1136.0)</f>
        <v>1136</v>
      </c>
      <c r="G286" s="20">
        <f>IFERROR(__xludf.DUMMYFUNCTION("""COMPUTED_VALUE"""),31.0)</f>
        <v>31</v>
      </c>
      <c r="H286" s="32">
        <f>IFERROR(__xludf.DUMMYFUNCTION("""COMPUTED_VALUE"""),8070.0)</f>
        <v>8070</v>
      </c>
      <c r="I286" s="20">
        <f>IFERROR(__xludf.DUMMYFUNCTION("""COMPUTED_VALUE"""),4363.8)</f>
        <v>4363.8</v>
      </c>
      <c r="J286" s="21">
        <f>IFERROR(__xludf.DUMMYFUNCTION("""COMPUTED_VALUE"""),1868.6000000000004)</f>
        <v>1868.6</v>
      </c>
      <c r="K286" s="22">
        <f>IFERROR(__xludf.DUMMYFUNCTION("""COMPUTED_VALUE"""),2.2159004472393224)</f>
        <v>2.215900447</v>
      </c>
      <c r="L286" s="22">
        <f>IFERROR(__xludf.DUMMYFUNCTION("""COMPUTED_VALUE"""),3.6449221617177803)</f>
        <v>3.644922162</v>
      </c>
      <c r="M286" s="22">
        <f>IFERROR(__xludf.DUMMYFUNCTION("""COMPUTED_VALUE"""),56.509362637784484)</f>
        <v>56.50936264</v>
      </c>
      <c r="N286" s="22">
        <f>IFERROR(__xludf.DUMMYFUNCTION("""COMPUTED_VALUE"""),86.42831003201528)</f>
        <v>86.42831003</v>
      </c>
      <c r="O286" s="22">
        <f t="shared" si="1"/>
        <v>1.429021714</v>
      </c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 t="str">
        <f>IFERROR(__xludf.DUMMYFUNCTION("""COMPUTED_VALUE"""),"Colombia")</f>
        <v>Colombia</v>
      </c>
      <c r="B287" s="18">
        <f>IFERROR(__xludf.DUMMYFUNCTION("""COMPUTED_VALUE"""),44123.0)</f>
        <v>44123</v>
      </c>
      <c r="C287" s="19">
        <f>IFERROR(__xludf.DUMMYFUNCTION("""COMPUTED_VALUE"""),44129.0)</f>
        <v>44129</v>
      </c>
      <c r="D287" s="17">
        <f>IFERROR(__xludf.DUMMYFUNCTION("""COMPUTED_VALUE"""),43.0)</f>
        <v>43</v>
      </c>
      <c r="E287" s="17">
        <f>IFERROR(__xludf.DUMMYFUNCTION("""COMPUTED_VALUE"""),6303.0)</f>
        <v>6303</v>
      </c>
      <c r="F287" s="17">
        <f>IFERROR(__xludf.DUMMYFUNCTION("""COMPUTED_VALUE"""),1184.0)</f>
        <v>1184</v>
      </c>
      <c r="G287" s="20">
        <f>IFERROR(__xludf.DUMMYFUNCTION("""COMPUTED_VALUE"""),32.0)</f>
        <v>32</v>
      </c>
      <c r="H287" s="32">
        <f>IFERROR(__xludf.DUMMYFUNCTION("""COMPUTED_VALUE"""),7888.0)</f>
        <v>7888</v>
      </c>
      <c r="I287" s="20">
        <f>IFERROR(__xludf.DUMMYFUNCTION("""COMPUTED_VALUE"""),4442.8)</f>
        <v>4442.8</v>
      </c>
      <c r="J287" s="21">
        <f>IFERROR(__xludf.DUMMYFUNCTION("""COMPUTED_VALUE"""),2063.6000000000004)</f>
        <v>2063.6</v>
      </c>
      <c r="K287" s="22">
        <f>IFERROR(__xludf.DUMMYFUNCTION("""COMPUTED_VALUE"""),2.3095300436015473)</f>
        <v>2.309530044</v>
      </c>
      <c r="L287" s="22">
        <f>IFERROR(__xludf.DUMMYFUNCTION("""COMPUTED_VALUE"""),4.02529239693932)</f>
        <v>4.025292397</v>
      </c>
      <c r="M287" s="22">
        <f>IFERROR(__xludf.DUMMYFUNCTION("""COMPUTED_VALUE"""),58.81889268138603)</f>
        <v>58.81889268</v>
      </c>
      <c r="N287" s="22">
        <f>IFERROR(__xludf.DUMMYFUNCTION("""COMPUTED_VALUE"""),90.4536024289546)</f>
        <v>90.45360243</v>
      </c>
      <c r="O287" s="22">
        <f t="shared" si="1"/>
        <v>1.715762353</v>
      </c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 t="str">
        <f>IFERROR(__xludf.DUMMYFUNCTION("""COMPUTED_VALUE"""),"Colombia")</f>
        <v>Colombia</v>
      </c>
      <c r="B288" s="18">
        <f>IFERROR(__xludf.DUMMYFUNCTION("""COMPUTED_VALUE"""),44130.0)</f>
        <v>44130</v>
      </c>
      <c r="C288" s="19">
        <f>IFERROR(__xludf.DUMMYFUNCTION("""COMPUTED_VALUE"""),44136.0)</f>
        <v>44136</v>
      </c>
      <c r="D288" s="17">
        <f>IFERROR(__xludf.DUMMYFUNCTION("""COMPUTED_VALUE"""),44.0)</f>
        <v>44</v>
      </c>
      <c r="E288" s="17">
        <f>IFERROR(__xludf.DUMMYFUNCTION("""COMPUTED_VALUE"""),6080.0)</f>
        <v>6080</v>
      </c>
      <c r="F288" s="17">
        <f>IFERROR(__xludf.DUMMYFUNCTION("""COMPUTED_VALUE"""),1361.0)</f>
        <v>1361</v>
      </c>
      <c r="G288" s="20">
        <f>IFERROR(__xludf.DUMMYFUNCTION("""COMPUTED_VALUE"""),33.0)</f>
        <v>33</v>
      </c>
      <c r="H288" s="32">
        <f>IFERROR(__xludf.DUMMYFUNCTION("""COMPUTED_VALUE"""),7648.0)</f>
        <v>7648</v>
      </c>
      <c r="I288" s="20">
        <f>IFERROR(__xludf.DUMMYFUNCTION("""COMPUTED_VALUE"""),4399.2)</f>
        <v>4399.2</v>
      </c>
      <c r="J288" s="21">
        <f>IFERROR(__xludf.DUMMYFUNCTION("""COMPUTED_VALUE"""),1722.8000000000002)</f>
        <v>1722.8</v>
      </c>
      <c r="K288" s="22">
        <f>IFERROR(__xludf.DUMMYFUNCTION("""COMPUTED_VALUE"""),2.654789180187252)</f>
        <v>2.65478918</v>
      </c>
      <c r="L288" s="22">
        <f>IFERROR(__xludf.DUMMYFUNCTION("""COMPUTED_VALUE"""),3.360522262767522)</f>
        <v>3.360522263</v>
      </c>
      <c r="M288" s="22">
        <f>IFERROR(__xludf.DUMMYFUNCTION("""COMPUTED_VALUE"""),61.47368186157328)</f>
        <v>61.47368186</v>
      </c>
      <c r="N288" s="22">
        <f>IFERROR(__xludf.DUMMYFUNCTION("""COMPUTED_VALUE"""),93.81412469172211)</f>
        <v>93.81412469</v>
      </c>
      <c r="O288" s="22">
        <f t="shared" si="1"/>
        <v>0.7057330826</v>
      </c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 t="str">
        <f>IFERROR(__xludf.DUMMYFUNCTION("""COMPUTED_VALUE"""),"Colombia")</f>
        <v>Colombia</v>
      </c>
      <c r="B289" s="18">
        <f>IFERROR(__xludf.DUMMYFUNCTION("""COMPUTED_VALUE"""),44137.0)</f>
        <v>44137</v>
      </c>
      <c r="C289" s="19">
        <f>IFERROR(__xludf.DUMMYFUNCTION("""COMPUTED_VALUE"""),44143.0)</f>
        <v>44143</v>
      </c>
      <c r="D289" s="17">
        <f>IFERROR(__xludf.DUMMYFUNCTION("""COMPUTED_VALUE"""),45.0)</f>
        <v>45</v>
      </c>
      <c r="E289" s="17">
        <f>IFERROR(__xludf.DUMMYFUNCTION("""COMPUTED_VALUE"""),6252.0)</f>
        <v>6252</v>
      </c>
      <c r="F289" s="17">
        <f>IFERROR(__xludf.DUMMYFUNCTION("""COMPUTED_VALUE"""),1276.0)</f>
        <v>1276</v>
      </c>
      <c r="G289" s="20">
        <f>IFERROR(__xludf.DUMMYFUNCTION("""COMPUTED_VALUE"""),34.0)</f>
        <v>34</v>
      </c>
      <c r="H289" s="32">
        <f>IFERROR(__xludf.DUMMYFUNCTION("""COMPUTED_VALUE"""),7152.0)</f>
        <v>7152</v>
      </c>
      <c r="I289" s="20">
        <f>IFERROR(__xludf.DUMMYFUNCTION("""COMPUTED_VALUE"""),4336.0)</f>
        <v>4336</v>
      </c>
      <c r="J289" s="21">
        <f>IFERROR(__xludf.DUMMYFUNCTION("""COMPUTED_VALUE"""),1872.1999999999998)</f>
        <v>1872.2</v>
      </c>
      <c r="K289" s="22">
        <f>IFERROR(__xludf.DUMMYFUNCTION("""COMPUTED_VALUE"""),2.488986769962479)</f>
        <v>2.48898677</v>
      </c>
      <c r="L289" s="22">
        <f>IFERROR(__xludf.DUMMYFUNCTION("""COMPUTED_VALUE"""),3.6519443814449466)</f>
        <v>3.651944381</v>
      </c>
      <c r="M289" s="22">
        <f>IFERROR(__xludf.DUMMYFUNCTION("""COMPUTED_VALUE"""),63.96266863153576)</f>
        <v>63.96266863</v>
      </c>
      <c r="N289" s="22">
        <f>IFERROR(__xludf.DUMMYFUNCTION("""COMPUTED_VALUE"""),97.46606907316706)</f>
        <v>97.46606907</v>
      </c>
      <c r="O289" s="22">
        <f t="shared" si="1"/>
        <v>1.162957611</v>
      </c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 t="str">
        <f>IFERROR(__xludf.DUMMYFUNCTION("""COMPUTED_VALUE"""),"Colombia")</f>
        <v>Colombia</v>
      </c>
      <c r="B290" s="18">
        <f>IFERROR(__xludf.DUMMYFUNCTION("""COMPUTED_VALUE"""),44144.0)</f>
        <v>44144</v>
      </c>
      <c r="C290" s="19">
        <f>IFERROR(__xludf.DUMMYFUNCTION("""COMPUTED_VALUE"""),44150.0)</f>
        <v>44150</v>
      </c>
      <c r="D290" s="17">
        <f>IFERROR(__xludf.DUMMYFUNCTION("""COMPUTED_VALUE"""),46.0)</f>
        <v>46</v>
      </c>
      <c r="E290" s="17">
        <f>IFERROR(__xludf.DUMMYFUNCTION("""COMPUTED_VALUE"""),6119.0)</f>
        <v>6119</v>
      </c>
      <c r="F290" s="17">
        <f>IFERROR(__xludf.DUMMYFUNCTION("""COMPUTED_VALUE"""),1240.0)</f>
        <v>1240</v>
      </c>
      <c r="G290" s="20">
        <f>IFERROR(__xludf.DUMMYFUNCTION("""COMPUTED_VALUE"""),35.0)</f>
        <v>35</v>
      </c>
      <c r="H290" s="32">
        <f>IFERROR(__xludf.DUMMYFUNCTION("""COMPUTED_VALUE"""),6798.0)</f>
        <v>6798</v>
      </c>
      <c r="I290" s="20">
        <f>IFERROR(__xludf.DUMMYFUNCTION("""COMPUTED_VALUE"""),4352.6)</f>
        <v>4352.6</v>
      </c>
      <c r="J290" s="21">
        <f>IFERROR(__xludf.DUMMYFUNCTION("""COMPUTED_VALUE"""),1727.6000000000004)</f>
        <v>1727.6</v>
      </c>
      <c r="K290" s="22">
        <f>IFERROR(__xludf.DUMMYFUNCTION("""COMPUTED_VALUE"""),2.41876457269081)</f>
        <v>2.418764573</v>
      </c>
      <c r="L290" s="22">
        <f>IFERROR(__xludf.DUMMYFUNCTION("""COMPUTED_VALUE"""),3.3698852224037448)</f>
        <v>3.369885222</v>
      </c>
      <c r="M290" s="22">
        <f>IFERROR(__xludf.DUMMYFUNCTION("""COMPUTED_VALUE"""),66.38143320422657)</f>
        <v>66.3814332</v>
      </c>
      <c r="N290" s="22">
        <f>IFERROR(__xludf.DUMMYFUNCTION("""COMPUTED_VALUE"""),100.8359542955708)</f>
        <v>100.8359543</v>
      </c>
      <c r="O290" s="22">
        <f t="shared" si="1"/>
        <v>0.9511206497</v>
      </c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 t="str">
        <f>IFERROR(__xludf.DUMMYFUNCTION("""COMPUTED_VALUE"""),"Colombia")</f>
        <v>Colombia</v>
      </c>
      <c r="B291" s="18">
        <f>IFERROR(__xludf.DUMMYFUNCTION("""COMPUTED_VALUE"""),44151.0)</f>
        <v>44151</v>
      </c>
      <c r="C291" s="19">
        <f>IFERROR(__xludf.DUMMYFUNCTION("""COMPUTED_VALUE"""),44157.0)</f>
        <v>44157</v>
      </c>
      <c r="D291" s="17">
        <f>IFERROR(__xludf.DUMMYFUNCTION("""COMPUTED_VALUE"""),47.0)</f>
        <v>47</v>
      </c>
      <c r="E291" s="17">
        <f>IFERROR(__xludf.DUMMYFUNCTION("""COMPUTED_VALUE"""),6242.0)</f>
        <v>6242</v>
      </c>
      <c r="F291" s="17">
        <f>IFERROR(__xludf.DUMMYFUNCTION("""COMPUTED_VALUE"""),1256.0)</f>
        <v>1256</v>
      </c>
      <c r="G291" s="20">
        <f>IFERROR(__xludf.DUMMYFUNCTION("""COMPUTED_VALUE"""),36.0)</f>
        <v>36</v>
      </c>
      <c r="H291" s="32">
        <f>IFERROR(__xludf.DUMMYFUNCTION("""COMPUTED_VALUE"""),6570.0)</f>
        <v>6570</v>
      </c>
      <c r="I291" s="20">
        <f>IFERROR(__xludf.DUMMYFUNCTION("""COMPUTED_VALUE"""),4348.4)</f>
        <v>4348.4</v>
      </c>
      <c r="J291" s="21">
        <f>IFERROR(__xludf.DUMMYFUNCTION("""COMPUTED_VALUE"""),1820.0)</f>
        <v>1820</v>
      </c>
      <c r="K291" s="22">
        <f>IFERROR(__xludf.DUMMYFUNCTION("""COMPUTED_VALUE"""),2.449974438144885)</f>
        <v>2.449974438</v>
      </c>
      <c r="L291" s="22">
        <f>IFERROR(__xludf.DUMMYFUNCTION("""COMPUTED_VALUE"""),3.550122195401028)</f>
        <v>3.550122195</v>
      </c>
      <c r="M291" s="22">
        <f>IFERROR(__xludf.DUMMYFUNCTION("""COMPUTED_VALUE"""),68.83140764237146)</f>
        <v>68.83140764</v>
      </c>
      <c r="N291" s="22">
        <f>IFERROR(__xludf.DUMMYFUNCTION("""COMPUTED_VALUE"""),104.38607649097183)</f>
        <v>104.3860765</v>
      </c>
      <c r="O291" s="22">
        <f t="shared" si="1"/>
        <v>1.100147757</v>
      </c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 t="str">
        <f>IFERROR(__xludf.DUMMYFUNCTION("""COMPUTED_VALUE"""),"Colombia")</f>
        <v>Colombia</v>
      </c>
      <c r="B292" s="18">
        <f>IFERROR(__xludf.DUMMYFUNCTION("""COMPUTED_VALUE"""),44158.0)</f>
        <v>44158</v>
      </c>
      <c r="C292" s="19">
        <f>IFERROR(__xludf.DUMMYFUNCTION("""COMPUTED_VALUE"""),44164.0)</f>
        <v>44164</v>
      </c>
      <c r="D292" s="17">
        <f>IFERROR(__xludf.DUMMYFUNCTION("""COMPUTED_VALUE"""),48.0)</f>
        <v>48</v>
      </c>
      <c r="E292" s="17">
        <f>IFERROR(__xludf.DUMMYFUNCTION("""COMPUTED_VALUE"""),6266.0)</f>
        <v>6266</v>
      </c>
      <c r="F292" s="17">
        <f>IFERROR(__xludf.DUMMYFUNCTION("""COMPUTED_VALUE"""),1297.0)</f>
        <v>1297</v>
      </c>
      <c r="G292" s="20">
        <f>IFERROR(__xludf.DUMMYFUNCTION("""COMPUTED_VALUE"""),37.0)</f>
        <v>37</v>
      </c>
      <c r="H292" s="32">
        <f>IFERROR(__xludf.DUMMYFUNCTION("""COMPUTED_VALUE"""),6383.0)</f>
        <v>6383</v>
      </c>
      <c r="I292" s="20">
        <f>IFERROR(__xludf.DUMMYFUNCTION("""COMPUTED_VALUE"""),4310.6)</f>
        <v>4310.6</v>
      </c>
      <c r="J292" s="21">
        <f>IFERROR(__xludf.DUMMYFUNCTION("""COMPUTED_VALUE"""),1794.3999999999996)</f>
        <v>1794.4</v>
      </c>
      <c r="K292" s="22">
        <f>IFERROR(__xludf.DUMMYFUNCTION("""COMPUTED_VALUE"""),2.529949718370952)</f>
        <v>2.529949718</v>
      </c>
      <c r="L292" s="22">
        <f>IFERROR(__xludf.DUMMYFUNCTION("""COMPUTED_VALUE"""),3.5001864106745066)</f>
        <v>3.500186411</v>
      </c>
      <c r="M292" s="22">
        <f>IFERROR(__xludf.DUMMYFUNCTION("""COMPUTED_VALUE"""),71.36135736074242)</f>
        <v>71.36135736</v>
      </c>
      <c r="N292" s="22">
        <f>IFERROR(__xludf.DUMMYFUNCTION("""COMPUTED_VALUE"""),107.88626290164633)</f>
        <v>107.8862629</v>
      </c>
      <c r="O292" s="22">
        <f t="shared" si="1"/>
        <v>0.9702366923</v>
      </c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 t="str">
        <f>IFERROR(__xludf.DUMMYFUNCTION("""COMPUTED_VALUE"""),"Colombia")</f>
        <v>Colombia</v>
      </c>
      <c r="B293" s="18">
        <f>IFERROR(__xludf.DUMMYFUNCTION("""COMPUTED_VALUE"""),44165.0)</f>
        <v>44165</v>
      </c>
      <c r="C293" s="19">
        <f>IFERROR(__xludf.DUMMYFUNCTION("""COMPUTED_VALUE"""),44171.0)</f>
        <v>44171</v>
      </c>
      <c r="D293" s="17">
        <f>IFERROR(__xludf.DUMMYFUNCTION("""COMPUTED_VALUE"""),49.0)</f>
        <v>49</v>
      </c>
      <c r="E293" s="17">
        <f>IFERROR(__xludf.DUMMYFUNCTION("""COMPUTED_VALUE"""),6206.0)</f>
        <v>6206</v>
      </c>
      <c r="F293" s="17">
        <f>IFERROR(__xludf.DUMMYFUNCTION("""COMPUTED_VALUE"""),1224.0)</f>
        <v>1224</v>
      </c>
      <c r="G293" s="20">
        <f>IFERROR(__xludf.DUMMYFUNCTION("""COMPUTED_VALUE"""),38.0)</f>
        <v>38</v>
      </c>
      <c r="H293" s="32">
        <f>IFERROR(__xludf.DUMMYFUNCTION("""COMPUTED_VALUE"""),6240.0)</f>
        <v>6240</v>
      </c>
      <c r="I293" s="20">
        <f>IFERROR(__xludf.DUMMYFUNCTION("""COMPUTED_VALUE"""),4372.2)</f>
        <v>4372.2</v>
      </c>
      <c r="J293" s="21">
        <f>IFERROR(__xludf.DUMMYFUNCTION("""COMPUTED_VALUE"""),1614.6000000000004)</f>
        <v>1614.6</v>
      </c>
      <c r="K293" s="22">
        <f>IFERROR(__xludf.DUMMYFUNCTION("""COMPUTED_VALUE"""),2.3875547072367347)</f>
        <v>2.387554707</v>
      </c>
      <c r="L293" s="22">
        <f>IFERROR(__xludf.DUMMYFUNCTION("""COMPUTED_VALUE"""),3.149465547634341)</f>
        <v>3.149465548</v>
      </c>
      <c r="M293" s="22">
        <f>IFERROR(__xludf.DUMMYFUNCTION("""COMPUTED_VALUE"""),73.74891206797915)</f>
        <v>73.74891207</v>
      </c>
      <c r="N293" s="22">
        <f>IFERROR(__xludf.DUMMYFUNCTION("""COMPUTED_VALUE"""),111.03572844928067)</f>
        <v>111.0357284</v>
      </c>
      <c r="O293" s="22">
        <f t="shared" si="1"/>
        <v>0.7619108404</v>
      </c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 t="str">
        <f>IFERROR(__xludf.DUMMYFUNCTION("""COMPUTED_VALUE"""),"Colombia")</f>
        <v>Colombia</v>
      </c>
      <c r="B294" s="18">
        <f>IFERROR(__xludf.DUMMYFUNCTION("""COMPUTED_VALUE"""),44172.0)</f>
        <v>44172</v>
      </c>
      <c r="C294" s="19">
        <f>IFERROR(__xludf.DUMMYFUNCTION("""COMPUTED_VALUE"""),44178.0)</f>
        <v>44178</v>
      </c>
      <c r="D294" s="17">
        <f>IFERROR(__xludf.DUMMYFUNCTION("""COMPUTED_VALUE"""),50.0)</f>
        <v>50</v>
      </c>
      <c r="E294" s="17">
        <f>IFERROR(__xludf.DUMMYFUNCTION("""COMPUTED_VALUE"""),6640.0)</f>
        <v>6640</v>
      </c>
      <c r="F294" s="17">
        <f>IFERROR(__xludf.DUMMYFUNCTION("""COMPUTED_VALUE"""),1245.0)</f>
        <v>1245</v>
      </c>
      <c r="G294" s="20">
        <f>IFERROR(__xludf.DUMMYFUNCTION("""COMPUTED_VALUE"""),39.0)</f>
        <v>39</v>
      </c>
      <c r="H294" s="32">
        <f>IFERROR(__xludf.DUMMYFUNCTION("""COMPUTED_VALUE"""),6161.0)</f>
        <v>6161</v>
      </c>
      <c r="I294" s="20">
        <f>IFERROR(__xludf.DUMMYFUNCTION("""COMPUTED_VALUE"""),4257.6)</f>
        <v>4257.6</v>
      </c>
      <c r="J294" s="21">
        <f>IFERROR(__xludf.DUMMYFUNCTION("""COMPUTED_VALUE"""),2042.8000000000002)</f>
        <v>2042.8</v>
      </c>
      <c r="K294" s="22">
        <f>IFERROR(__xludf.DUMMYFUNCTION("""COMPUTED_VALUE"""),2.4285176556452086)</f>
        <v>2.428517656</v>
      </c>
      <c r="L294" s="22">
        <f>IFERROR(__xludf.DUMMYFUNCTION("""COMPUTED_VALUE"""),3.9847195718490216)</f>
        <v>3.984719572</v>
      </c>
      <c r="M294" s="22">
        <f>IFERROR(__xludf.DUMMYFUNCTION("""COMPUTED_VALUE"""),76.17742972362436)</f>
        <v>76.17742972</v>
      </c>
      <c r="N294" s="22">
        <f>IFERROR(__xludf.DUMMYFUNCTION("""COMPUTED_VALUE"""),115.0204480211297)</f>
        <v>115.020448</v>
      </c>
      <c r="O294" s="22">
        <f t="shared" si="1"/>
        <v>1.556201916</v>
      </c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 t="str">
        <f>IFERROR(__xludf.DUMMYFUNCTION("""COMPUTED_VALUE"""),"Colombia")</f>
        <v>Colombia</v>
      </c>
      <c r="B295" s="18">
        <f>IFERROR(__xludf.DUMMYFUNCTION("""COMPUTED_VALUE"""),44179.0)</f>
        <v>44179</v>
      </c>
      <c r="C295" s="19">
        <f>IFERROR(__xludf.DUMMYFUNCTION("""COMPUTED_VALUE"""),44185.0)</f>
        <v>44185</v>
      </c>
      <c r="D295" s="17">
        <f>IFERROR(__xludf.DUMMYFUNCTION("""COMPUTED_VALUE"""),51.0)</f>
        <v>51</v>
      </c>
      <c r="E295" s="17">
        <f>IFERROR(__xludf.DUMMYFUNCTION("""COMPUTED_VALUE"""),6687.0)</f>
        <v>6687</v>
      </c>
      <c r="F295" s="17">
        <f>IFERROR(__xludf.DUMMYFUNCTION("""COMPUTED_VALUE"""),1422.0)</f>
        <v>1422</v>
      </c>
      <c r="G295" s="20">
        <f>IFERROR(__xludf.DUMMYFUNCTION("""COMPUTED_VALUE"""),40.0)</f>
        <v>40</v>
      </c>
      <c r="H295" s="32">
        <f>IFERROR(__xludf.DUMMYFUNCTION("""COMPUTED_VALUE"""),6019.0)</f>
        <v>6019</v>
      </c>
      <c r="I295" s="20">
        <f>IFERROR(__xludf.DUMMYFUNCTION("""COMPUTED_VALUE"""),4307.2)</f>
        <v>4307.2</v>
      </c>
      <c r="J295" s="21">
        <f>IFERROR(__xludf.DUMMYFUNCTION("""COMPUTED_VALUE"""),2067.3999999999996)</f>
        <v>2067.4</v>
      </c>
      <c r="K295" s="22">
        <f>IFERROR(__xludf.DUMMYFUNCTION("""COMPUTED_VALUE"""),2.7737767922309127)</f>
        <v>2.773776792</v>
      </c>
      <c r="L295" s="22">
        <f>IFERROR(__xludf.DUMMYFUNCTION("""COMPUTED_VALUE"""),4.032704739984661)</f>
        <v>4.03270474</v>
      </c>
      <c r="M295" s="22">
        <f>IFERROR(__xludf.DUMMYFUNCTION("""COMPUTED_VALUE"""),78.95120651585528)</f>
        <v>78.95120652</v>
      </c>
      <c r="N295" s="22">
        <f>IFERROR(__xludf.DUMMYFUNCTION("""COMPUTED_VALUE"""),119.05315276111436)</f>
        <v>119.0531528</v>
      </c>
      <c r="O295" s="22">
        <f t="shared" si="1"/>
        <v>1.258927948</v>
      </c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 t="str">
        <f>IFERROR(__xludf.DUMMYFUNCTION("""COMPUTED_VALUE"""),"Colombia")</f>
        <v>Colombia</v>
      </c>
      <c r="B296" s="18">
        <f>IFERROR(__xludf.DUMMYFUNCTION("""COMPUTED_VALUE"""),44186.0)</f>
        <v>44186</v>
      </c>
      <c r="C296" s="19">
        <f>IFERROR(__xludf.DUMMYFUNCTION("""COMPUTED_VALUE"""),44192.0)</f>
        <v>44192</v>
      </c>
      <c r="D296" s="17">
        <f>IFERROR(__xludf.DUMMYFUNCTION("""COMPUTED_VALUE"""),52.0)</f>
        <v>52</v>
      </c>
      <c r="E296" s="17">
        <f>IFERROR(__xludf.DUMMYFUNCTION("""COMPUTED_VALUE"""),7203.0)</f>
        <v>7203</v>
      </c>
      <c r="F296" s="17">
        <f>IFERROR(__xludf.DUMMYFUNCTION("""COMPUTED_VALUE"""),1696.0)</f>
        <v>1696</v>
      </c>
      <c r="G296" s="20">
        <f>IFERROR(__xludf.DUMMYFUNCTION("""COMPUTED_VALUE"""),41.0)</f>
        <v>41</v>
      </c>
      <c r="H296" s="32">
        <f>IFERROR(__xludf.DUMMYFUNCTION("""COMPUTED_VALUE"""),6173.0)</f>
        <v>6173</v>
      </c>
      <c r="I296" s="20">
        <f>IFERROR(__xludf.DUMMYFUNCTION("""COMPUTED_VALUE"""),4335.0)</f>
        <v>4335</v>
      </c>
      <c r="J296" s="21">
        <f>IFERROR(__xludf.DUMMYFUNCTION("""COMPUTED_VALUE"""),2408.8)</f>
        <v>2408.8</v>
      </c>
      <c r="K296" s="22">
        <f>IFERROR(__xludf.DUMMYFUNCTION("""COMPUTED_VALUE"""),3.3082457381319466)</f>
        <v>3.308245738</v>
      </c>
      <c r="L296" s="22">
        <f>IFERROR(__xludf.DUMMYFUNCTION("""COMPUTED_VALUE"""),4.6986452441109865)</f>
        <v>4.698645244</v>
      </c>
      <c r="M296" s="22">
        <f>IFERROR(__xludf.DUMMYFUNCTION("""COMPUTED_VALUE"""),82.25945225398722)</f>
        <v>82.25945225</v>
      </c>
      <c r="N296" s="22">
        <f>IFERROR(__xludf.DUMMYFUNCTION("""COMPUTED_VALUE"""),123.75179800522535)</f>
        <v>123.751798</v>
      </c>
      <c r="O296" s="22">
        <f t="shared" si="1"/>
        <v>1.390399506</v>
      </c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 t="str">
        <f>IFERROR(__xludf.DUMMYFUNCTION("""COMPUTED_VALUE"""),"Colombia")</f>
        <v>Colombia</v>
      </c>
      <c r="B297" s="18">
        <f>IFERROR(__xludf.DUMMYFUNCTION("""COMPUTED_VALUE"""),44193.0)</f>
        <v>44193</v>
      </c>
      <c r="C297" s="19">
        <f>IFERROR(__xludf.DUMMYFUNCTION("""COMPUTED_VALUE"""),44199.0)</f>
        <v>44199</v>
      </c>
      <c r="D297" s="17">
        <f>IFERROR(__xludf.DUMMYFUNCTION("""COMPUTED_VALUE"""),53.0)</f>
        <v>53</v>
      </c>
      <c r="E297" s="17">
        <f>IFERROR(__xludf.DUMMYFUNCTION("""COMPUTED_VALUE"""),7814.0)</f>
        <v>7814</v>
      </c>
      <c r="F297" s="17">
        <f>IFERROR(__xludf.DUMMYFUNCTION("""COMPUTED_VALUE"""),1794.0)</f>
        <v>1794</v>
      </c>
      <c r="G297" s="20">
        <f>IFERROR(__xludf.DUMMYFUNCTION("""COMPUTED_VALUE"""),42.0)</f>
        <v>42</v>
      </c>
      <c r="H297" s="32">
        <f>IFERROR(__xludf.DUMMYFUNCTION("""COMPUTED_VALUE"""),6190.0)</f>
        <v>6190</v>
      </c>
      <c r="I297" s="20">
        <f>IFERROR(__xludf.DUMMYFUNCTION("""COMPUTED_VALUE"""),4321.4)</f>
        <v>4321.4</v>
      </c>
      <c r="J297" s="21">
        <f>IFERROR(__xludf.DUMMYFUNCTION("""COMPUTED_VALUE"""),3205.0)</f>
        <v>3205</v>
      </c>
      <c r="K297" s="22">
        <f>IFERROR(__xludf.DUMMYFUNCTION("""COMPUTED_VALUE"""),3.499406164038156)</f>
        <v>3.499406164</v>
      </c>
      <c r="L297" s="22">
        <f>IFERROR(__xludf.DUMMYFUNCTION("""COMPUTED_VALUE"""),6.251726173769392)</f>
        <v>6.251726174</v>
      </c>
      <c r="M297" s="22">
        <f>IFERROR(__xludf.DUMMYFUNCTION("""COMPUTED_VALUE"""),85.75885841802537)</f>
        <v>85.75885842</v>
      </c>
      <c r="N297" s="22">
        <f>IFERROR(__xludf.DUMMYFUNCTION("""COMPUTED_VALUE"""),130.00352417899475)</f>
        <v>130.0035242</v>
      </c>
      <c r="O297" s="22">
        <f t="shared" si="1"/>
        <v>2.75232001</v>
      </c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 t="str">
        <f>IFERROR(__xludf.DUMMYFUNCTION("""COMPUTED_VALUE"""),"Colombia")</f>
        <v>Colombia</v>
      </c>
      <c r="B298" s="18">
        <f>IFERROR(__xludf.DUMMYFUNCTION("""COMPUTED_VALUE"""),44200.0)</f>
        <v>44200</v>
      </c>
      <c r="C298" s="19">
        <f>IFERROR(__xludf.DUMMYFUNCTION("""COMPUTED_VALUE"""),44206.0)</f>
        <v>44206</v>
      </c>
      <c r="D298" s="17">
        <f>IFERROR(__xludf.DUMMYFUNCTION("""COMPUTED_VALUE"""),1.0)</f>
        <v>1</v>
      </c>
      <c r="E298" s="17">
        <f>IFERROR(__xludf.DUMMYFUNCTION("""COMPUTED_VALUE"""),7964.0)</f>
        <v>7964</v>
      </c>
      <c r="F298" s="17">
        <f>IFERROR(__xludf.DUMMYFUNCTION("""COMPUTED_VALUE"""),2149.0)</f>
        <v>2149</v>
      </c>
      <c r="G298" s="20">
        <f>IFERROR(__xludf.DUMMYFUNCTION("""COMPUTED_VALUE"""),43.0)</f>
        <v>43</v>
      </c>
      <c r="H298" s="32">
        <f>IFERROR(__xludf.DUMMYFUNCTION("""COMPUTED_VALUE"""),6303.0)</f>
        <v>6303</v>
      </c>
      <c r="I298" s="20">
        <f>IFERROR(__xludf.DUMMYFUNCTION("""COMPUTED_VALUE"""),4239.4)</f>
        <v>4239.4</v>
      </c>
      <c r="J298" s="21">
        <f>IFERROR(__xludf.DUMMYFUNCTION("""COMPUTED_VALUE"""),3110.666666666667)</f>
        <v>3110.666667</v>
      </c>
      <c r="K298" s="22">
        <f>IFERROR(__xludf.DUMMYFUNCTION("""COMPUTED_VALUE"""),4.191875053800444)</f>
        <v>4.191875054</v>
      </c>
      <c r="L298" s="22">
        <f>IFERROR(__xludf.DUMMYFUNCTION("""COMPUTED_VALUE"""),6.067718008696409)</f>
        <v>6.067718009</v>
      </c>
      <c r="M298" s="22">
        <f>IFERROR(__xludf.DUMMYFUNCTION("""COMPUTED_VALUE"""),89.95073347182581)</f>
        <v>89.95073347</v>
      </c>
      <c r="N298" s="22">
        <f>IFERROR(__xludf.DUMMYFUNCTION("""COMPUTED_VALUE"""),136.07124218769115)</f>
        <v>136.0712422</v>
      </c>
      <c r="O298" s="22">
        <f t="shared" si="1"/>
        <v>1.875842955</v>
      </c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 t="str">
        <f>IFERROR(__xludf.DUMMYFUNCTION("""COMPUTED_VALUE"""),"Colombia")</f>
        <v>Colombia</v>
      </c>
      <c r="B299" s="18">
        <f>IFERROR(__xludf.DUMMYFUNCTION("""COMPUTED_VALUE"""),44207.0)</f>
        <v>44207</v>
      </c>
      <c r="C299" s="19">
        <f>IFERROR(__xludf.DUMMYFUNCTION("""COMPUTED_VALUE"""),44213.0)</f>
        <v>44213</v>
      </c>
      <c r="D299" s="17">
        <f>IFERROR(__xludf.DUMMYFUNCTION("""COMPUTED_VALUE"""),2.0)</f>
        <v>2</v>
      </c>
      <c r="E299" s="17">
        <f>IFERROR(__xludf.DUMMYFUNCTION("""COMPUTED_VALUE"""),8440.0)</f>
        <v>8440</v>
      </c>
      <c r="F299" s="17">
        <f>IFERROR(__xludf.DUMMYFUNCTION("""COMPUTED_VALUE"""),2517.0)</f>
        <v>2517</v>
      </c>
      <c r="G299" s="20">
        <f>IFERROR(__xludf.DUMMYFUNCTION("""COMPUTED_VALUE"""),44.0)</f>
        <v>44</v>
      </c>
      <c r="H299" s="32">
        <f>IFERROR(__xludf.DUMMYFUNCTION("""COMPUTED_VALUE"""),6080.0)</f>
        <v>6080</v>
      </c>
      <c r="I299" s="20">
        <f>IFERROR(__xludf.DUMMYFUNCTION("""COMPUTED_VALUE"""),4357.2)</f>
        <v>4357.2</v>
      </c>
      <c r="J299" s="21">
        <f>IFERROR(__xludf.DUMMYFUNCTION("""COMPUTED_VALUE"""),3779.333333333333)</f>
        <v>3779.333333</v>
      </c>
      <c r="K299" s="22">
        <f>IFERROR(__xludf.DUMMYFUNCTION("""COMPUTED_VALUE"""),4.909701959244169)</f>
        <v>4.909701959</v>
      </c>
      <c r="L299" s="22">
        <f>IFERROR(__xludf.DUMMYFUNCTION("""COMPUTED_VALUE"""),7.372030302464624)</f>
        <v>7.372030302</v>
      </c>
      <c r="M299" s="22">
        <f>IFERROR(__xludf.DUMMYFUNCTION("""COMPUTED_VALUE"""),94.86043543106999)</f>
        <v>94.86043543</v>
      </c>
      <c r="N299" s="22">
        <f>IFERROR(__xludf.DUMMYFUNCTION("""COMPUTED_VALUE"""),143.44327249015578)</f>
        <v>143.4432725</v>
      </c>
      <c r="O299" s="22">
        <f t="shared" si="1"/>
        <v>2.462328343</v>
      </c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 t="str">
        <f>IFERROR(__xludf.DUMMYFUNCTION("""COMPUTED_VALUE"""),"Colombia")</f>
        <v>Colombia</v>
      </c>
      <c r="B300" s="18">
        <f>IFERROR(__xludf.DUMMYFUNCTION("""COMPUTED_VALUE"""),44214.0)</f>
        <v>44214</v>
      </c>
      <c r="C300" s="19">
        <f>IFERROR(__xludf.DUMMYFUNCTION("""COMPUTED_VALUE"""),44220.0)</f>
        <v>44220</v>
      </c>
      <c r="D300" s="17">
        <f>IFERROR(__xludf.DUMMYFUNCTION("""COMPUTED_VALUE"""),3.0)</f>
        <v>3</v>
      </c>
      <c r="E300" s="17">
        <f>IFERROR(__xludf.DUMMYFUNCTION("""COMPUTED_VALUE"""),8479.0)</f>
        <v>8479</v>
      </c>
      <c r="F300" s="17">
        <f>IFERROR(__xludf.DUMMYFUNCTION("""COMPUTED_VALUE"""),2743.0)</f>
        <v>2743</v>
      </c>
      <c r="G300" s="20">
        <f>IFERROR(__xludf.DUMMYFUNCTION("""COMPUTED_VALUE"""),45.0)</f>
        <v>45</v>
      </c>
      <c r="H300" s="32">
        <f>IFERROR(__xludf.DUMMYFUNCTION("""COMPUTED_VALUE"""),6252.0)</f>
        <v>6252</v>
      </c>
      <c r="I300" s="20">
        <f>IFERROR(__xludf.DUMMYFUNCTION("""COMPUTED_VALUE"""),4379.8)</f>
        <v>4379.8</v>
      </c>
      <c r="J300" s="21">
        <f>IFERROR(__xludf.DUMMYFUNCTION("""COMPUTED_VALUE"""),3825.833333333333)</f>
        <v>3825.833333</v>
      </c>
      <c r="K300" s="22">
        <f>IFERROR(__xludf.DUMMYFUNCTION("""COMPUTED_VALUE"""),5.350541308782977)</f>
        <v>5.350541309</v>
      </c>
      <c r="L300" s="22">
        <f>IFERROR(__xludf.DUMMYFUNCTION("""COMPUTED_VALUE"""),7.462733973940528)</f>
        <v>7.462733974</v>
      </c>
      <c r="M300" s="22">
        <f>IFERROR(__xludf.DUMMYFUNCTION("""COMPUTED_VALUE"""),100.21097673985297)</f>
        <v>100.2109767</v>
      </c>
      <c r="N300" s="22">
        <f>IFERROR(__xludf.DUMMYFUNCTION("""COMPUTED_VALUE"""),150.9060064640963)</f>
        <v>150.9060065</v>
      </c>
      <c r="O300" s="22">
        <f t="shared" si="1"/>
        <v>2.112192665</v>
      </c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 t="str">
        <f>IFERROR(__xludf.DUMMYFUNCTION("""COMPUTED_VALUE"""),"Colombia")</f>
        <v>Colombia</v>
      </c>
      <c r="B301" s="18">
        <f>IFERROR(__xludf.DUMMYFUNCTION("""COMPUTED_VALUE"""),44221.0)</f>
        <v>44221</v>
      </c>
      <c r="C301" s="19">
        <f>IFERROR(__xludf.DUMMYFUNCTION("""COMPUTED_VALUE"""),44227.0)</f>
        <v>44227</v>
      </c>
      <c r="D301" s="17">
        <f>IFERROR(__xludf.DUMMYFUNCTION("""COMPUTED_VALUE"""),4.0)</f>
        <v>4</v>
      </c>
      <c r="E301" s="17">
        <f>IFERROR(__xludf.DUMMYFUNCTION("""COMPUTED_VALUE"""),7676.0)</f>
        <v>7676</v>
      </c>
      <c r="F301" s="17">
        <f>IFERROR(__xludf.DUMMYFUNCTION("""COMPUTED_VALUE"""),2609.0)</f>
        <v>2609</v>
      </c>
      <c r="G301" s="20">
        <f>IFERROR(__xludf.DUMMYFUNCTION("""COMPUTED_VALUE"""),46.0)</f>
        <v>46</v>
      </c>
      <c r="H301" s="32">
        <f>IFERROR(__xludf.DUMMYFUNCTION("""COMPUTED_VALUE"""),6119.0)</f>
        <v>6119</v>
      </c>
      <c r="I301" s="20">
        <f>IFERROR(__xludf.DUMMYFUNCTION("""COMPUTED_VALUE"""),4391.4)</f>
        <v>4391.4</v>
      </c>
      <c r="J301" s="21">
        <f>IFERROR(__xludf.DUMMYFUNCTION("""COMPUTED_VALUE"""),3156.5)</f>
        <v>3156.5</v>
      </c>
      <c r="K301" s="22">
        <f>IFERROR(__xludf.DUMMYFUNCTION("""COMPUTED_VALUE"""),5.089158685605099)</f>
        <v>5.089158686</v>
      </c>
      <c r="L301" s="22">
        <f>IFERROR(__xludf.DUMMYFUNCTION("""COMPUTED_VALUE"""),6.157121269111727)</f>
        <v>6.157121269</v>
      </c>
      <c r="M301" s="22">
        <f>IFERROR(__xludf.DUMMYFUNCTION("""COMPUTED_VALUE"""),105.30013542545807)</f>
        <v>105.3001354</v>
      </c>
      <c r="N301" s="22">
        <f>IFERROR(__xludf.DUMMYFUNCTION("""COMPUTED_VALUE"""),157.06312773320803)</f>
        <v>157.0631277</v>
      </c>
      <c r="O301" s="22">
        <f t="shared" si="1"/>
        <v>1.067962584</v>
      </c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 t="str">
        <f>IFERROR(__xludf.DUMMYFUNCTION("""COMPUTED_VALUE"""),"Colombia")</f>
        <v>Colombia</v>
      </c>
      <c r="B302" s="18">
        <f>IFERROR(__xludf.DUMMYFUNCTION("""COMPUTED_VALUE"""),44228.0)</f>
        <v>44228</v>
      </c>
      <c r="C302" s="19">
        <f>IFERROR(__xludf.DUMMYFUNCTION("""COMPUTED_VALUE"""),44234.0)</f>
        <v>44234</v>
      </c>
      <c r="D302" s="17">
        <f>IFERROR(__xludf.DUMMYFUNCTION("""COMPUTED_VALUE"""),5.0)</f>
        <v>5</v>
      </c>
      <c r="E302" s="17">
        <f>IFERROR(__xludf.DUMMYFUNCTION("""COMPUTED_VALUE"""),7029.0)</f>
        <v>7029</v>
      </c>
      <c r="F302" s="17">
        <f>IFERROR(__xludf.DUMMYFUNCTION("""COMPUTED_VALUE"""),2010.0)</f>
        <v>2010</v>
      </c>
      <c r="G302" s="20">
        <f>IFERROR(__xludf.DUMMYFUNCTION("""COMPUTED_VALUE"""),47.0)</f>
        <v>47</v>
      </c>
      <c r="H302" s="32">
        <f>IFERROR(__xludf.DUMMYFUNCTION("""COMPUTED_VALUE"""),6242.0)</f>
        <v>6242</v>
      </c>
      <c r="I302" s="20">
        <f>IFERROR(__xludf.DUMMYFUNCTION("""COMPUTED_VALUE"""),4422.0)</f>
        <v>4422</v>
      </c>
      <c r="J302" s="21">
        <f>IFERROR(__xludf.DUMMYFUNCTION("""COMPUTED_VALUE"""),2622.666666666667)</f>
        <v>2622.666667</v>
      </c>
      <c r="K302" s="22">
        <f>IFERROR(__xludf.DUMMYFUNCTION("""COMPUTED_VALUE"""),3.920739347668168)</f>
        <v>3.920739348</v>
      </c>
      <c r="L302" s="22">
        <f>IFERROR(__xludf.DUMMYFUNCTION("""COMPUTED_VALUE"""),5.1158171123471226)</f>
        <v>5.115817112</v>
      </c>
      <c r="M302" s="22">
        <f>IFERROR(__xludf.DUMMYFUNCTION("""COMPUTED_VALUE"""),109.22087477312624)</f>
        <v>109.2208748</v>
      </c>
      <c r="N302" s="22">
        <f>IFERROR(__xludf.DUMMYFUNCTION("""COMPUTED_VALUE"""),162.17894484555515)</f>
        <v>162.1789448</v>
      </c>
      <c r="O302" s="22">
        <f t="shared" si="1"/>
        <v>1.195077765</v>
      </c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 t="str">
        <f>IFERROR(__xludf.DUMMYFUNCTION("""COMPUTED_VALUE"""),"Colombia")</f>
        <v>Colombia</v>
      </c>
      <c r="B303" s="18">
        <f>IFERROR(__xludf.DUMMYFUNCTION("""COMPUTED_VALUE"""),44235.0)</f>
        <v>44235</v>
      </c>
      <c r="C303" s="19">
        <f>IFERROR(__xludf.DUMMYFUNCTION("""COMPUTED_VALUE"""),44241.0)</f>
        <v>44241</v>
      </c>
      <c r="D303" s="17">
        <f>IFERROR(__xludf.DUMMYFUNCTION("""COMPUTED_VALUE"""),6.0)</f>
        <v>6</v>
      </c>
      <c r="E303" s="17">
        <f>IFERROR(__xludf.DUMMYFUNCTION("""COMPUTED_VALUE"""),6341.0)</f>
        <v>6341</v>
      </c>
      <c r="F303" s="17">
        <f>IFERROR(__xludf.DUMMYFUNCTION("""COMPUTED_VALUE"""),1612.0)</f>
        <v>1612</v>
      </c>
      <c r="G303" s="20">
        <f>IFERROR(__xludf.DUMMYFUNCTION("""COMPUTED_VALUE"""),48.0)</f>
        <v>48</v>
      </c>
      <c r="H303" s="32">
        <f>IFERROR(__xludf.DUMMYFUNCTION("""COMPUTED_VALUE"""),6266.0)</f>
        <v>6266</v>
      </c>
      <c r="I303" s="20">
        <f>IFERROR(__xludf.DUMMYFUNCTION("""COMPUTED_VALUE"""),4471.6)</f>
        <v>4471.6</v>
      </c>
      <c r="J303" s="21">
        <f>IFERROR(__xludf.DUMMYFUNCTION("""COMPUTED_VALUE"""),1965.833333333333)</f>
        <v>1965.833333</v>
      </c>
      <c r="K303" s="22">
        <f>IFERROR(__xludf.DUMMYFUNCTION("""COMPUTED_VALUE"""),3.144393944498053)</f>
        <v>3.144393944</v>
      </c>
      <c r="L303" s="22">
        <f>IFERROR(__xludf.DUMMYFUNCTION("""COMPUTED_VALUE"""),3.834587114904314)</f>
        <v>3.834587115</v>
      </c>
      <c r="M303" s="22">
        <f>IFERROR(__xludf.DUMMYFUNCTION("""COMPUTED_VALUE"""),112.36526871762429)</f>
        <v>112.3652687</v>
      </c>
      <c r="N303" s="22">
        <f>IFERROR(__xludf.DUMMYFUNCTION("""COMPUTED_VALUE"""),166.01353196045946)</f>
        <v>166.013532</v>
      </c>
      <c r="O303" s="22">
        <f t="shared" si="1"/>
        <v>0.6901931704</v>
      </c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 t="str">
        <f>IFERROR(__xludf.DUMMYFUNCTION("""COMPUTED_VALUE"""),"Colombia")</f>
        <v>Colombia</v>
      </c>
      <c r="B304" s="18">
        <f>IFERROR(__xludf.DUMMYFUNCTION("""COMPUTED_VALUE"""),44242.0)</f>
        <v>44242</v>
      </c>
      <c r="C304" s="19">
        <f>IFERROR(__xludf.DUMMYFUNCTION("""COMPUTED_VALUE"""),44248.0)</f>
        <v>44248</v>
      </c>
      <c r="D304" s="17">
        <f>IFERROR(__xludf.DUMMYFUNCTION("""COMPUTED_VALUE"""),7.0)</f>
        <v>7</v>
      </c>
      <c r="E304" s="17">
        <f>IFERROR(__xludf.DUMMYFUNCTION("""COMPUTED_VALUE"""),5915.0)</f>
        <v>5915</v>
      </c>
      <c r="F304" s="17">
        <f>IFERROR(__xludf.DUMMYFUNCTION("""COMPUTED_VALUE"""),1229.0)</f>
        <v>1229</v>
      </c>
      <c r="G304" s="20">
        <f>IFERROR(__xludf.DUMMYFUNCTION("""COMPUTED_VALUE"""),49.0)</f>
        <v>49</v>
      </c>
      <c r="H304" s="32">
        <f>IFERROR(__xludf.DUMMYFUNCTION("""COMPUTED_VALUE"""),6206.0)</f>
        <v>6206</v>
      </c>
      <c r="I304" s="20">
        <f>IFERROR(__xludf.DUMMYFUNCTION("""COMPUTED_VALUE"""),4591.4)</f>
        <v>4591.4</v>
      </c>
      <c r="J304" s="21">
        <f>IFERROR(__xludf.DUMMYFUNCTION("""COMPUTED_VALUE"""),1590.5)</f>
        <v>1590.5</v>
      </c>
      <c r="K304" s="22">
        <f>IFERROR(__xludf.DUMMYFUNCTION("""COMPUTED_VALUE"""),2.3973077901911335)</f>
        <v>2.39730779</v>
      </c>
      <c r="L304" s="22">
        <f>IFERROR(__xludf.DUMMYFUNCTION("""COMPUTED_VALUE"""),3.10245568779414)</f>
        <v>3.102455688</v>
      </c>
      <c r="M304" s="22">
        <f>IFERROR(__xludf.DUMMYFUNCTION("""COMPUTED_VALUE"""),114.76257650781542)</f>
        <v>114.7625765</v>
      </c>
      <c r="N304" s="22">
        <f>IFERROR(__xludf.DUMMYFUNCTION("""COMPUTED_VALUE"""),169.1159876482536)</f>
        <v>169.1159876</v>
      </c>
      <c r="O304" s="22">
        <f t="shared" si="1"/>
        <v>0.7051478976</v>
      </c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 t="str">
        <f>IFERROR(__xludf.DUMMYFUNCTION("""COMPUTED_VALUE"""),"Colombia")</f>
        <v>Colombia</v>
      </c>
      <c r="B305" s="18">
        <f>IFERROR(__xludf.DUMMYFUNCTION("""COMPUTED_VALUE"""),44249.0)</f>
        <v>44249</v>
      </c>
      <c r="C305" s="19">
        <f>IFERROR(__xludf.DUMMYFUNCTION("""COMPUTED_VALUE"""),44255.0)</f>
        <v>44255</v>
      </c>
      <c r="D305" s="17">
        <f>IFERROR(__xludf.DUMMYFUNCTION("""COMPUTED_VALUE"""),8.0)</f>
        <v>8</v>
      </c>
      <c r="E305" s="17">
        <f>IFERROR(__xludf.DUMMYFUNCTION("""COMPUTED_VALUE"""),5564.0)</f>
        <v>5564</v>
      </c>
      <c r="F305" s="17">
        <f>IFERROR(__xludf.DUMMYFUNCTION("""COMPUTED_VALUE"""),932.0)</f>
        <v>932</v>
      </c>
      <c r="G305" s="20">
        <f>IFERROR(__xludf.DUMMYFUNCTION("""COMPUTED_VALUE"""),50.0)</f>
        <v>50</v>
      </c>
      <c r="H305" s="32">
        <f>IFERROR(__xludf.DUMMYFUNCTION("""COMPUTED_VALUE"""),6640.0)</f>
        <v>6640</v>
      </c>
      <c r="I305" s="20">
        <f>IFERROR(__xludf.DUMMYFUNCTION("""COMPUTED_VALUE"""),4597.2)</f>
        <v>4597.2</v>
      </c>
      <c r="J305" s="21">
        <f>IFERROR(__xludf.DUMMYFUNCTION("""COMPUTED_VALUE"""),1256.666666666667)</f>
        <v>1256.666667</v>
      </c>
      <c r="K305" s="22">
        <f>IFERROR(__xludf.DUMMYFUNCTION("""COMPUTED_VALUE"""),1.8179746626998667)</f>
        <v>1.817974663</v>
      </c>
      <c r="L305" s="22">
        <f>IFERROR(__xludf.DUMMYFUNCTION("""COMPUTED_VALUE"""),2.451274849205472)</f>
        <v>2.451274849</v>
      </c>
      <c r="M305" s="22">
        <f>IFERROR(__xludf.DUMMYFUNCTION("""COMPUTED_VALUE"""),116.58055117051529)</f>
        <v>116.5805512</v>
      </c>
      <c r="N305" s="22">
        <f>IFERROR(__xludf.DUMMYFUNCTION("""COMPUTED_VALUE"""),171.56726249745907)</f>
        <v>171.5672625</v>
      </c>
      <c r="O305" s="22">
        <f t="shared" si="1"/>
        <v>0.6333001865</v>
      </c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 t="str">
        <f>IFERROR(__xludf.DUMMYFUNCTION("""COMPUTED_VALUE"""),"Colombia")</f>
        <v>Colombia</v>
      </c>
      <c r="B306" s="18">
        <f>IFERROR(__xludf.DUMMYFUNCTION("""COMPUTED_VALUE"""),44256.0)</f>
        <v>44256</v>
      </c>
      <c r="C306" s="19">
        <f>IFERROR(__xludf.DUMMYFUNCTION("""COMPUTED_VALUE"""),44262.0)</f>
        <v>44262</v>
      </c>
      <c r="D306" s="17">
        <f>IFERROR(__xludf.DUMMYFUNCTION("""COMPUTED_VALUE"""),9.0)</f>
        <v>9</v>
      </c>
      <c r="E306" s="17">
        <f>IFERROR(__xludf.DUMMYFUNCTION("""COMPUTED_VALUE"""),5562.0)</f>
        <v>5562</v>
      </c>
      <c r="F306" s="17">
        <f>IFERROR(__xludf.DUMMYFUNCTION("""COMPUTED_VALUE"""),737.0)</f>
        <v>737</v>
      </c>
      <c r="G306" s="20">
        <f>IFERROR(__xludf.DUMMYFUNCTION("""COMPUTED_VALUE"""),51.0)</f>
        <v>51</v>
      </c>
      <c r="H306" s="32">
        <f>IFERROR(__xludf.DUMMYFUNCTION("""COMPUTED_VALUE"""),6687.0)</f>
        <v>6687</v>
      </c>
      <c r="I306" s="20">
        <f>IFERROR(__xludf.DUMMYFUNCTION("""COMPUTED_VALUE"""),4619.6)</f>
        <v>4619.6</v>
      </c>
      <c r="J306" s="21">
        <f>IFERROR(__xludf.DUMMYFUNCTION("""COMPUTED_VALUE"""),1250.0)</f>
        <v>1250</v>
      </c>
      <c r="K306" s="22">
        <f>IFERROR(__xludf.DUMMYFUNCTION("""COMPUTED_VALUE"""),1.4376044274783282)</f>
        <v>1.437604427</v>
      </c>
      <c r="L306" s="22">
        <f>IFERROR(__xludf.DUMMYFUNCTION("""COMPUTED_VALUE"""),2.4382707385996065)</f>
        <v>2.438270739</v>
      </c>
      <c r="M306" s="22">
        <f>IFERROR(__xludf.DUMMYFUNCTION("""COMPUTED_VALUE"""),118.01815559799363)</f>
        <v>118.0181556</v>
      </c>
      <c r="N306" s="22">
        <f>IFERROR(__xludf.DUMMYFUNCTION("""COMPUTED_VALUE"""),174.00553323605868)</f>
        <v>174.0055332</v>
      </c>
      <c r="O306" s="22">
        <f t="shared" si="1"/>
        <v>1.000666311</v>
      </c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 t="str">
        <f>IFERROR(__xludf.DUMMYFUNCTION("""COMPUTED_VALUE"""),"Colombia")</f>
        <v>Colombia</v>
      </c>
      <c r="B307" s="18">
        <f>IFERROR(__xludf.DUMMYFUNCTION("""COMPUTED_VALUE"""),44263.0)</f>
        <v>44263</v>
      </c>
      <c r="C307" s="19">
        <f>IFERROR(__xludf.DUMMYFUNCTION("""COMPUTED_VALUE"""),44269.0)</f>
        <v>44269</v>
      </c>
      <c r="D307" s="17">
        <f>IFERROR(__xludf.DUMMYFUNCTION("""COMPUTED_VALUE"""),10.0)</f>
        <v>10</v>
      </c>
      <c r="E307" s="17">
        <f>IFERROR(__xludf.DUMMYFUNCTION("""COMPUTED_VALUE"""),5315.0)</f>
        <v>5315</v>
      </c>
      <c r="F307" s="17">
        <f>IFERROR(__xludf.DUMMYFUNCTION("""COMPUTED_VALUE"""),640.0)</f>
        <v>640</v>
      </c>
      <c r="G307" s="20">
        <f>IFERROR(__xludf.DUMMYFUNCTION("""COMPUTED_VALUE"""),52.0)</f>
        <v>52</v>
      </c>
      <c r="H307" s="32">
        <f>IFERROR(__xludf.DUMMYFUNCTION("""COMPUTED_VALUE"""),7203.0)</f>
        <v>7203</v>
      </c>
      <c r="I307" s="20">
        <f>IFERROR(__xludf.DUMMYFUNCTION("""COMPUTED_VALUE"""),4794.2)</f>
        <v>4794.2</v>
      </c>
      <c r="J307" s="21">
        <f>IFERROR(__xludf.DUMMYFUNCTION("""COMPUTED_VALUE"""),973.333333333333)</f>
        <v>973.3333333</v>
      </c>
      <c r="K307" s="22">
        <f>IFERROR(__xludf.DUMMYFUNCTION("""COMPUTED_VALUE"""),1.2483946181629986)</f>
        <v>1.248394618</v>
      </c>
      <c r="L307" s="22">
        <f>IFERROR(__xludf.DUMMYFUNCTION("""COMPUTED_VALUE"""),1.8986001484562263)</f>
        <v>1.898600148</v>
      </c>
      <c r="M307" s="22">
        <f>IFERROR(__xludf.DUMMYFUNCTION("""COMPUTED_VALUE"""),119.26655021615663)</f>
        <v>119.2665502</v>
      </c>
      <c r="N307" s="22">
        <f>IFERROR(__xludf.DUMMYFUNCTION("""COMPUTED_VALUE"""),175.90413338451492)</f>
        <v>175.9041334</v>
      </c>
      <c r="O307" s="22">
        <f t="shared" si="1"/>
        <v>0.6502055303</v>
      </c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 t="str">
        <f>IFERROR(__xludf.DUMMYFUNCTION("""COMPUTED_VALUE"""),"Colombia")</f>
        <v>Colombia</v>
      </c>
      <c r="B308" s="18">
        <f>IFERROR(__xludf.DUMMYFUNCTION("""COMPUTED_VALUE"""),44270.0)</f>
        <v>44270</v>
      </c>
      <c r="C308" s="19">
        <f>IFERROR(__xludf.DUMMYFUNCTION("""COMPUTED_VALUE"""),44276.0)</f>
        <v>44276</v>
      </c>
      <c r="D308" s="17">
        <f>IFERROR(__xludf.DUMMYFUNCTION("""COMPUTED_VALUE"""),11.0)</f>
        <v>11</v>
      </c>
      <c r="E308" s="17">
        <f>IFERROR(__xludf.DUMMYFUNCTION("""COMPUTED_VALUE"""),5569.0)</f>
        <v>5569</v>
      </c>
      <c r="F308" s="17">
        <f>IFERROR(__xludf.DUMMYFUNCTION("""COMPUTED_VALUE"""),885.0)</f>
        <v>885</v>
      </c>
      <c r="G308" s="20">
        <f>IFERROR(__xludf.DUMMYFUNCTION("""COMPUTED_VALUE"""),53.0)</f>
        <v>53</v>
      </c>
      <c r="H308" s="32">
        <f>IFERROR(__xludf.DUMMYFUNCTION("""COMPUTED_VALUE"""),7814.0)</f>
        <v>7814</v>
      </c>
      <c r="I308" s="20">
        <f>IFERROR(__xludf.DUMMYFUNCTION("""COMPUTED_VALUE"""),4609.0)</f>
        <v>4609</v>
      </c>
      <c r="J308" s="21">
        <f>IFERROR(__xludf.DUMMYFUNCTION("""COMPUTED_VALUE"""),1203.0)</f>
        <v>1203</v>
      </c>
      <c r="K308" s="22">
        <f>IFERROR(__xludf.DUMMYFUNCTION("""COMPUTED_VALUE"""),1.7262956829285214)</f>
        <v>1.726295683</v>
      </c>
      <c r="L308" s="22">
        <f>IFERROR(__xludf.DUMMYFUNCTION("""COMPUTED_VALUE"""),2.3465917588282617)</f>
        <v>2.346591759</v>
      </c>
      <c r="M308" s="22">
        <f>IFERROR(__xludf.DUMMYFUNCTION("""COMPUTED_VALUE"""),120.99284589908515)</f>
        <v>120.9928459</v>
      </c>
      <c r="N308" s="22">
        <f>IFERROR(__xludf.DUMMYFUNCTION("""COMPUTED_VALUE"""),178.25072514334317)</f>
        <v>178.2507251</v>
      </c>
      <c r="O308" s="22">
        <f t="shared" si="1"/>
        <v>0.6202960759</v>
      </c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 t="str">
        <f>IFERROR(__xludf.DUMMYFUNCTION("""COMPUTED_VALUE"""),"Colombia")</f>
        <v>Colombia</v>
      </c>
      <c r="B309" s="18">
        <f>IFERROR(__xludf.DUMMYFUNCTION("""COMPUTED_VALUE"""),44277.0)</f>
        <v>44277</v>
      </c>
      <c r="C309" s="19">
        <f>IFERROR(__xludf.DUMMYFUNCTION("""COMPUTED_VALUE"""),44283.0)</f>
        <v>44283</v>
      </c>
      <c r="D309" s="17">
        <f>IFERROR(__xludf.DUMMYFUNCTION("""COMPUTED_VALUE"""),12.0)</f>
        <v>12</v>
      </c>
      <c r="E309" s="17">
        <f>IFERROR(__xludf.DUMMYFUNCTION("""COMPUTED_VALUE"""),5958.0)</f>
        <v>5958</v>
      </c>
      <c r="F309" s="17">
        <f>IFERROR(__xludf.DUMMYFUNCTION("""COMPUTED_VALUE"""),927.0)</f>
        <v>927</v>
      </c>
      <c r="G309" s="20"/>
      <c r="H309" s="32"/>
      <c r="I309" s="20"/>
      <c r="J309" s="21">
        <f>IFERROR(__xludf.DUMMYFUNCTION("""COMPUTED_VALUE"""),1661.1999999999998)</f>
        <v>1661.2</v>
      </c>
      <c r="K309" s="22">
        <f>IFERROR(__xludf.DUMMYFUNCTION("""COMPUTED_VALUE"""),1.8082215797454684)</f>
        <v>1.80822158</v>
      </c>
      <c r="L309" s="22">
        <f>IFERROR(__xludf.DUMMYFUNCTION("""COMPUTED_VALUE"""),3.240364280769333)</f>
        <v>3.240364281</v>
      </c>
      <c r="M309" s="22">
        <f>IFERROR(__xludf.DUMMYFUNCTION("""COMPUTED_VALUE"""),122.80106747883062)</f>
        <v>122.8010675</v>
      </c>
      <c r="N309" s="22">
        <f>IFERROR(__xludf.DUMMYFUNCTION("""COMPUTED_VALUE"""),181.49108942411252)</f>
        <v>181.4910894</v>
      </c>
      <c r="O309" s="22">
        <f t="shared" si="1"/>
        <v>1.432142701</v>
      </c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 t="str">
        <f>IFERROR(__xludf.DUMMYFUNCTION("""COMPUTED_VALUE"""),"Colombia")</f>
        <v>Colombia</v>
      </c>
      <c r="B310" s="18">
        <f>IFERROR(__xludf.DUMMYFUNCTION("""COMPUTED_VALUE"""),44284.0)</f>
        <v>44284</v>
      </c>
      <c r="C310" s="19">
        <f>IFERROR(__xludf.DUMMYFUNCTION("""COMPUTED_VALUE"""),44290.0)</f>
        <v>44290</v>
      </c>
      <c r="D310" s="17">
        <f>IFERROR(__xludf.DUMMYFUNCTION("""COMPUTED_VALUE"""),13.0)</f>
        <v>13</v>
      </c>
      <c r="E310" s="17">
        <f>IFERROR(__xludf.DUMMYFUNCTION("""COMPUTED_VALUE"""),6473.0)</f>
        <v>6473</v>
      </c>
      <c r="F310" s="17">
        <f>IFERROR(__xludf.DUMMYFUNCTION("""COMPUTED_VALUE"""),1139.0)</f>
        <v>1139</v>
      </c>
      <c r="G310" s="20"/>
      <c r="H310" s="32"/>
      <c r="I310" s="20"/>
      <c r="J310" s="21">
        <f>IFERROR(__xludf.DUMMYFUNCTION("""COMPUTED_VALUE"""),2156.6000000000004)</f>
        <v>2156.6</v>
      </c>
      <c r="K310" s="22">
        <f>IFERROR(__xludf.DUMMYFUNCTION("""COMPUTED_VALUE"""),2.2217522970119616)</f>
        <v>2.221752297</v>
      </c>
      <c r="L310" s="22">
        <f>IFERROR(__xludf.DUMMYFUNCTION("""COMPUTED_VALUE"""),4.20669973989113)</f>
        <v>4.20669974</v>
      </c>
      <c r="M310" s="22">
        <f>IFERROR(__xludf.DUMMYFUNCTION("""COMPUTED_VALUE"""),125.02281977584258)</f>
        <v>125.0228198</v>
      </c>
      <c r="N310" s="22">
        <f>IFERROR(__xludf.DUMMYFUNCTION("""COMPUTED_VALUE"""),185.69778916400364)</f>
        <v>185.6977892</v>
      </c>
      <c r="O310" s="22">
        <f t="shared" si="1"/>
        <v>1.984947443</v>
      </c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 t="str">
        <f>IFERROR(__xludf.DUMMYFUNCTION("""COMPUTED_VALUE"""),"Colombia")</f>
        <v>Colombia</v>
      </c>
      <c r="B311" s="18">
        <f>IFERROR(__xludf.DUMMYFUNCTION("""COMPUTED_VALUE"""),44291.0)</f>
        <v>44291</v>
      </c>
      <c r="C311" s="19">
        <f>IFERROR(__xludf.DUMMYFUNCTION("""COMPUTED_VALUE"""),44297.0)</f>
        <v>44297</v>
      </c>
      <c r="D311" s="17">
        <f>IFERROR(__xludf.DUMMYFUNCTION("""COMPUTED_VALUE"""),14.0)</f>
        <v>14</v>
      </c>
      <c r="E311" s="17">
        <f>IFERROR(__xludf.DUMMYFUNCTION("""COMPUTED_VALUE"""),7210.0)</f>
        <v>7210</v>
      </c>
      <c r="F311" s="17">
        <f>IFERROR(__xludf.DUMMYFUNCTION("""COMPUTED_VALUE"""),1795.0)</f>
        <v>1795</v>
      </c>
      <c r="G311" s="20"/>
      <c r="H311" s="32"/>
      <c r="I311" s="20"/>
      <c r="J311" s="21">
        <f>IFERROR(__xludf.DUMMYFUNCTION("""COMPUTED_VALUE"""),2932.0)</f>
        <v>2932</v>
      </c>
      <c r="K311" s="22">
        <f>IFERROR(__xludf.DUMMYFUNCTION("""COMPUTED_VALUE"""),3.5013567806290355)</f>
        <v>3.501356781</v>
      </c>
      <c r="L311" s="22">
        <f>IFERROR(__xludf.DUMMYFUNCTION("""COMPUTED_VALUE"""),5.719207844459238)</f>
        <v>5.719207844</v>
      </c>
      <c r="M311" s="22">
        <f>IFERROR(__xludf.DUMMYFUNCTION("""COMPUTED_VALUE"""),128.52417655647162)</f>
        <v>128.5241766</v>
      </c>
      <c r="N311" s="22">
        <f>IFERROR(__xludf.DUMMYFUNCTION("""COMPUTED_VALUE"""),191.41699700846289)</f>
        <v>191.416997</v>
      </c>
      <c r="O311" s="22">
        <f t="shared" si="1"/>
        <v>2.217851064</v>
      </c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 t="str">
        <f>IFERROR(__xludf.DUMMYFUNCTION("""COMPUTED_VALUE"""),"Colombia")</f>
        <v>Colombia</v>
      </c>
      <c r="B312" s="18">
        <f>IFERROR(__xludf.DUMMYFUNCTION("""COMPUTED_VALUE"""),44298.0)</f>
        <v>44298</v>
      </c>
      <c r="C312" s="19">
        <f>IFERROR(__xludf.DUMMYFUNCTION("""COMPUTED_VALUE"""),44304.0)</f>
        <v>44304</v>
      </c>
      <c r="D312" s="17">
        <f>IFERROR(__xludf.DUMMYFUNCTION("""COMPUTED_VALUE"""),15.0)</f>
        <v>15</v>
      </c>
      <c r="E312" s="17">
        <f>IFERROR(__xludf.DUMMYFUNCTION("""COMPUTED_VALUE"""),8440.0)</f>
        <v>8440</v>
      </c>
      <c r="F312" s="17">
        <f>IFERROR(__xludf.DUMMYFUNCTION("""COMPUTED_VALUE"""),2439.0)</f>
        <v>2439</v>
      </c>
      <c r="G312" s="20"/>
      <c r="H312" s="32"/>
      <c r="I312" s="20"/>
      <c r="J312" s="21">
        <f>IFERROR(__xludf.DUMMYFUNCTION("""COMPUTED_VALUE"""),4185.0)</f>
        <v>4185</v>
      </c>
      <c r="K312" s="22">
        <f>IFERROR(__xludf.DUMMYFUNCTION("""COMPUTED_VALUE"""),4.757553865155552)</f>
        <v>4.757553865</v>
      </c>
      <c r="L312" s="22">
        <f>IFERROR(__xludf.DUMMYFUNCTION("""COMPUTED_VALUE"""),8.163330432831483)</f>
        <v>8.163330433</v>
      </c>
      <c r="M312" s="22">
        <f>IFERROR(__xludf.DUMMYFUNCTION("""COMPUTED_VALUE"""),133.28173042162717)</f>
        <v>133.2817304</v>
      </c>
      <c r="N312" s="22">
        <f>IFERROR(__xludf.DUMMYFUNCTION("""COMPUTED_VALUE"""),199.58032744129437)</f>
        <v>199.5803274</v>
      </c>
      <c r="O312" s="22">
        <f t="shared" si="1"/>
        <v>3.405776568</v>
      </c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 t="str">
        <f>IFERROR(__xludf.DUMMYFUNCTION("""COMPUTED_VALUE"""),"Colombia")</f>
        <v>Colombia</v>
      </c>
      <c r="B313" s="18">
        <f>IFERROR(__xludf.DUMMYFUNCTION("""COMPUTED_VALUE"""),44305.0)</f>
        <v>44305</v>
      </c>
      <c r="C313" s="19">
        <f>IFERROR(__xludf.DUMMYFUNCTION("""COMPUTED_VALUE"""),44311.0)</f>
        <v>44311</v>
      </c>
      <c r="D313" s="17">
        <f>IFERROR(__xludf.DUMMYFUNCTION("""COMPUTED_VALUE"""),16.0)</f>
        <v>16</v>
      </c>
      <c r="E313" s="17">
        <f>IFERROR(__xludf.DUMMYFUNCTION("""COMPUTED_VALUE"""),8775.0)</f>
        <v>8775</v>
      </c>
      <c r="F313" s="17">
        <f>IFERROR(__xludf.DUMMYFUNCTION("""COMPUTED_VALUE"""),3023.0)</f>
        <v>3023</v>
      </c>
      <c r="G313" s="20"/>
      <c r="H313" s="32"/>
      <c r="I313" s="20"/>
      <c r="J313" s="21">
        <f>IFERROR(__xludf.DUMMYFUNCTION("""COMPUTED_VALUE"""),4512.2)</f>
        <v>4512.2</v>
      </c>
      <c r="K313" s="22">
        <f>IFERROR(__xludf.DUMMYFUNCTION("""COMPUTED_VALUE"""),5.896713954229289)</f>
        <v>5.896713954</v>
      </c>
      <c r="L313" s="22">
        <f>IFERROR(__xludf.DUMMYFUNCTION("""COMPUTED_VALUE"""),8.801572181367316)</f>
        <v>8.801572181</v>
      </c>
      <c r="M313" s="22">
        <f>IFERROR(__xludf.DUMMYFUNCTION("""COMPUTED_VALUE"""),139.17844437585646)</f>
        <v>139.1784444</v>
      </c>
      <c r="N313" s="22">
        <f>IFERROR(__xludf.DUMMYFUNCTION("""COMPUTED_VALUE"""),208.38189962266168)</f>
        <v>208.3818996</v>
      </c>
      <c r="O313" s="22">
        <f t="shared" si="1"/>
        <v>2.904858227</v>
      </c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 t="str">
        <f>IFERROR(__xludf.DUMMYFUNCTION("""COMPUTED_VALUE"""),"Colombia")</f>
        <v>Colombia</v>
      </c>
      <c r="B314" s="18">
        <f>IFERROR(__xludf.DUMMYFUNCTION("""COMPUTED_VALUE"""),44312.0)</f>
        <v>44312</v>
      </c>
      <c r="C314" s="19">
        <f>IFERROR(__xludf.DUMMYFUNCTION("""COMPUTED_VALUE"""),44318.0)</f>
        <v>44318</v>
      </c>
      <c r="D314" s="17">
        <f>IFERROR(__xludf.DUMMYFUNCTION("""COMPUTED_VALUE"""),17.0)</f>
        <v>17</v>
      </c>
      <c r="E314" s="17">
        <f>IFERROR(__xludf.DUMMYFUNCTION("""COMPUTED_VALUE"""),8789.0)</f>
        <v>8789</v>
      </c>
      <c r="F314" s="17">
        <f>IFERROR(__xludf.DUMMYFUNCTION("""COMPUTED_VALUE"""),3126.0)</f>
        <v>3126</v>
      </c>
      <c r="G314" s="20"/>
      <c r="H314" s="32"/>
      <c r="I314" s="20"/>
      <c r="J314" s="21">
        <f>IFERROR(__xludf.DUMMYFUNCTION("""COMPUTED_VALUE"""),4526.0)</f>
        <v>4526</v>
      </c>
      <c r="K314" s="22">
        <f>IFERROR(__xludf.DUMMYFUNCTION("""COMPUTED_VALUE"""),6.097627463089896)</f>
        <v>6.097627463</v>
      </c>
      <c r="L314" s="22">
        <f>IFERROR(__xludf.DUMMYFUNCTION("""COMPUTED_VALUE"""),8.828490690321457)</f>
        <v>8.82849069</v>
      </c>
      <c r="M314" s="22">
        <f>IFERROR(__xludf.DUMMYFUNCTION("""COMPUTED_VALUE"""),145.27607183894636)</f>
        <v>145.2760718</v>
      </c>
      <c r="N314" s="22">
        <f>IFERROR(__xludf.DUMMYFUNCTION("""COMPUTED_VALUE"""),217.21039031298312)</f>
        <v>217.2103903</v>
      </c>
      <c r="O314" s="22">
        <f t="shared" si="1"/>
        <v>2.730863227</v>
      </c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 t="str">
        <f>IFERROR(__xludf.DUMMYFUNCTION("""COMPUTED_VALUE"""),"Colombia")</f>
        <v>Colombia</v>
      </c>
      <c r="B315" s="18">
        <f>IFERROR(__xludf.DUMMYFUNCTION("""COMPUTED_VALUE"""),44319.0)</f>
        <v>44319</v>
      </c>
      <c r="C315" s="19">
        <f>IFERROR(__xludf.DUMMYFUNCTION("""COMPUTED_VALUE"""),44325.0)</f>
        <v>44325</v>
      </c>
      <c r="D315" s="17">
        <f>IFERROR(__xludf.DUMMYFUNCTION("""COMPUTED_VALUE"""),18.0)</f>
        <v>18</v>
      </c>
      <c r="E315" s="17">
        <f>IFERROR(__xludf.DUMMYFUNCTION("""COMPUTED_VALUE"""),8882.0)</f>
        <v>8882</v>
      </c>
      <c r="F315" s="17">
        <f>IFERROR(__xludf.DUMMYFUNCTION("""COMPUTED_VALUE"""),3377.0)</f>
        <v>3377</v>
      </c>
      <c r="G315" s="20"/>
      <c r="H315" s="32"/>
      <c r="I315" s="20"/>
      <c r="J315" s="21">
        <f>IFERROR(__xludf.DUMMYFUNCTION("""COMPUTED_VALUE"""),4550.8)</f>
        <v>4550.8</v>
      </c>
      <c r="K315" s="22">
        <f>IFERROR(__xludf.DUMMYFUNCTION("""COMPUTED_VALUE"""),6.587232227400697)</f>
        <v>6.587232227</v>
      </c>
      <c r="L315" s="22">
        <f>IFERROR(__xludf.DUMMYFUNCTION("""COMPUTED_VALUE"""),8.876865981775273)</f>
        <v>8.876865982</v>
      </c>
      <c r="M315" s="22">
        <f>IFERROR(__xludf.DUMMYFUNCTION("""COMPUTED_VALUE"""),151.86330406634707)</f>
        <v>151.8633041</v>
      </c>
      <c r="N315" s="22">
        <f>IFERROR(__xludf.DUMMYFUNCTION("""COMPUTED_VALUE"""),226.0872562947584)</f>
        <v>226.0872563</v>
      </c>
      <c r="O315" s="22">
        <f t="shared" si="1"/>
        <v>2.289633754</v>
      </c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 t="str">
        <f>IFERROR(__xludf.DUMMYFUNCTION("""COMPUTED_VALUE"""),"Colombia")</f>
        <v>Colombia</v>
      </c>
      <c r="B316" s="18">
        <f>IFERROR(__xludf.DUMMYFUNCTION("""COMPUTED_VALUE"""),44326.0)</f>
        <v>44326</v>
      </c>
      <c r="C316" s="19">
        <f>IFERROR(__xludf.DUMMYFUNCTION("""COMPUTED_VALUE"""),44332.0)</f>
        <v>44332</v>
      </c>
      <c r="D316" s="17">
        <f>IFERROR(__xludf.DUMMYFUNCTION("""COMPUTED_VALUE"""),19.0)</f>
        <v>19</v>
      </c>
      <c r="E316" s="17">
        <f>IFERROR(__xludf.DUMMYFUNCTION("""COMPUTED_VALUE"""),8988.0)</f>
        <v>8988</v>
      </c>
      <c r="F316" s="17">
        <f>IFERROR(__xludf.DUMMYFUNCTION("""COMPUTED_VALUE"""),3446.0)</f>
        <v>3446</v>
      </c>
      <c r="G316" s="20"/>
      <c r="H316" s="32"/>
      <c r="I316" s="20"/>
      <c r="J316" s="21">
        <f>IFERROR(__xludf.DUMMYFUNCTION("""COMPUTED_VALUE"""),4619.8)</f>
        <v>4619.8</v>
      </c>
      <c r="K316" s="22">
        <f>IFERROR(__xludf.DUMMYFUNCTION("""COMPUTED_VALUE"""),6.721824772171396)</f>
        <v>6.721824772</v>
      </c>
      <c r="L316" s="22">
        <f>IFERROR(__xludf.DUMMYFUNCTION("""COMPUTED_VALUE"""),9.01145852654597)</f>
        <v>9.011458527</v>
      </c>
      <c r="M316" s="22">
        <f>IFERROR(__xludf.DUMMYFUNCTION("""COMPUTED_VALUE"""),158.58512883851847)</f>
        <v>158.5851288</v>
      </c>
      <c r="N316" s="22">
        <f>IFERROR(__xludf.DUMMYFUNCTION("""COMPUTED_VALUE"""),235.09871482130436)</f>
        <v>235.0987148</v>
      </c>
      <c r="O316" s="22">
        <f t="shared" si="1"/>
        <v>2.289633754</v>
      </c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 t="str">
        <f>IFERROR(__xludf.DUMMYFUNCTION("""COMPUTED_VALUE"""),"Colombia")</f>
        <v>Colombia</v>
      </c>
      <c r="B317" s="18">
        <f>IFERROR(__xludf.DUMMYFUNCTION("""COMPUTED_VALUE"""),44333.0)</f>
        <v>44333</v>
      </c>
      <c r="C317" s="19">
        <f>IFERROR(__xludf.DUMMYFUNCTION("""COMPUTED_VALUE"""),44339.0)</f>
        <v>44339</v>
      </c>
      <c r="D317" s="17">
        <f>IFERROR(__xludf.DUMMYFUNCTION("""COMPUTED_VALUE"""),20.0)</f>
        <v>20</v>
      </c>
      <c r="E317" s="17">
        <f>IFERROR(__xludf.DUMMYFUNCTION("""COMPUTED_VALUE"""),9058.0)</f>
        <v>9058</v>
      </c>
      <c r="F317" s="17">
        <f>IFERROR(__xludf.DUMMYFUNCTION("""COMPUTED_VALUE"""),3424.0)</f>
        <v>3424</v>
      </c>
      <c r="G317" s="20"/>
      <c r="H317" s="32"/>
      <c r="I317" s="20"/>
      <c r="J317" s="21">
        <f>IFERROR(__xludf.DUMMYFUNCTION("""COMPUTED_VALUE"""),4539.2)</f>
        <v>4539.2</v>
      </c>
      <c r="K317" s="22">
        <f>IFERROR(__xludf.DUMMYFUNCTION("""COMPUTED_VALUE"""),6.6789112071720425)</f>
        <v>6.678911207</v>
      </c>
      <c r="L317" s="22">
        <f>IFERROR(__xludf.DUMMYFUNCTION("""COMPUTED_VALUE"""),8.854238829321067)</f>
        <v>8.854238829</v>
      </c>
      <c r="M317" s="22">
        <f>IFERROR(__xludf.DUMMYFUNCTION("""COMPUTED_VALUE"""),165.2640400456905)</f>
        <v>165.26404</v>
      </c>
      <c r="N317" s="22">
        <f>IFERROR(__xludf.DUMMYFUNCTION("""COMPUTED_VALUE"""),243.95295365062543)</f>
        <v>243.9529537</v>
      </c>
      <c r="O317" s="22">
        <f t="shared" si="1"/>
        <v>2.175327622</v>
      </c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 t="str">
        <f>IFERROR(__xludf.DUMMYFUNCTION("""COMPUTED_VALUE"""),"Colombia")</f>
        <v>Colombia</v>
      </c>
      <c r="B318" s="18">
        <f>IFERROR(__xludf.DUMMYFUNCTION("""COMPUTED_VALUE"""),44340.0)</f>
        <v>44340</v>
      </c>
      <c r="C318" s="19">
        <f>IFERROR(__xludf.DUMMYFUNCTION("""COMPUTED_VALUE"""),44346.0)</f>
        <v>44346</v>
      </c>
      <c r="D318" s="17">
        <f>IFERROR(__xludf.DUMMYFUNCTION("""COMPUTED_VALUE"""),21.0)</f>
        <v>21</v>
      </c>
      <c r="E318" s="17">
        <f>IFERROR(__xludf.DUMMYFUNCTION("""COMPUTED_VALUE"""),9296.0)</f>
        <v>9296</v>
      </c>
      <c r="F318" s="17">
        <f>IFERROR(__xludf.DUMMYFUNCTION("""COMPUTED_VALUE"""),3558.0)</f>
        <v>3558</v>
      </c>
      <c r="G318" s="20"/>
      <c r="H318" s="32"/>
      <c r="I318" s="20"/>
      <c r="J318" s="21">
        <f>IFERROR(__xludf.DUMMYFUNCTION("""COMPUTED_VALUE"""),4817.8)</f>
        <v>4817.8</v>
      </c>
      <c r="K318" s="22">
        <f>IFERROR(__xludf.DUMMYFUNCTION("""COMPUTED_VALUE"""),6.94029383034992)</f>
        <v>6.94029383</v>
      </c>
      <c r="L318" s="22">
        <f>IFERROR(__xludf.DUMMYFUNCTION("""COMPUTED_VALUE"""),9.39768061154015)</f>
        <v>9.397680612</v>
      </c>
      <c r="M318" s="22">
        <f>IFERROR(__xludf.DUMMYFUNCTION("""COMPUTED_VALUE"""),172.20433387604044)</f>
        <v>172.2043339</v>
      </c>
      <c r="N318" s="22">
        <f>IFERROR(__xludf.DUMMYFUNCTION("""COMPUTED_VALUE"""),253.35063426216558)</f>
        <v>253.3506343</v>
      </c>
      <c r="O318" s="22">
        <f t="shared" si="1"/>
        <v>2.457386781</v>
      </c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 t="str">
        <f>IFERROR(__xludf.DUMMYFUNCTION("""COMPUTED_VALUE"""),"Colombia")</f>
        <v>Colombia</v>
      </c>
      <c r="B319" s="18">
        <f>IFERROR(__xludf.DUMMYFUNCTION("""COMPUTED_VALUE"""),44347.0)</f>
        <v>44347</v>
      </c>
      <c r="C319" s="19">
        <f>IFERROR(__xludf.DUMMYFUNCTION("""COMPUTED_VALUE"""),44353.0)</f>
        <v>44353</v>
      </c>
      <c r="D319" s="17">
        <f>IFERROR(__xludf.DUMMYFUNCTION("""COMPUTED_VALUE"""),22.0)</f>
        <v>22</v>
      </c>
      <c r="E319" s="17">
        <f>IFERROR(__xludf.DUMMYFUNCTION("""COMPUTED_VALUE"""),9767.0)</f>
        <v>9767</v>
      </c>
      <c r="F319" s="17">
        <f>IFERROR(__xludf.DUMMYFUNCTION("""COMPUTED_VALUE"""),3679.0)</f>
        <v>3679</v>
      </c>
      <c r="G319" s="20"/>
      <c r="H319" s="32"/>
      <c r="I319" s="20"/>
      <c r="J319" s="21">
        <f>IFERROR(__xludf.DUMMYFUNCTION("""COMPUTED_VALUE"""),5282.0)</f>
        <v>5282</v>
      </c>
      <c r="K319" s="22">
        <f>IFERROR(__xludf.DUMMYFUNCTION("""COMPUTED_VALUE"""),7.176318437846363)</f>
        <v>7.176318438</v>
      </c>
      <c r="L319" s="22">
        <f>IFERROR(__xludf.DUMMYFUNCTION("""COMPUTED_VALUE"""),10.303156833026499)</f>
        <v>10.30315683</v>
      </c>
      <c r="M319" s="22">
        <f>IFERROR(__xludf.DUMMYFUNCTION("""COMPUTED_VALUE"""),179.3806523138868)</f>
        <v>179.3806523</v>
      </c>
      <c r="N319" s="22">
        <f>IFERROR(__xludf.DUMMYFUNCTION("""COMPUTED_VALUE"""),263.6537910951921)</f>
        <v>263.6537911</v>
      </c>
      <c r="O319" s="22">
        <f t="shared" si="1"/>
        <v>3.126838395</v>
      </c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 t="str">
        <f>IFERROR(__xludf.DUMMYFUNCTION("""COMPUTED_VALUE"""),"Colombia")</f>
        <v>Colombia</v>
      </c>
      <c r="B320" s="18">
        <f>IFERROR(__xludf.DUMMYFUNCTION("""COMPUTED_VALUE"""),44354.0)</f>
        <v>44354</v>
      </c>
      <c r="C320" s="19">
        <f>IFERROR(__xludf.DUMMYFUNCTION("""COMPUTED_VALUE"""),44360.0)</f>
        <v>44360</v>
      </c>
      <c r="D320" s="17">
        <f>IFERROR(__xludf.DUMMYFUNCTION("""COMPUTED_VALUE"""),23.0)</f>
        <v>23</v>
      </c>
      <c r="E320" s="17">
        <f>IFERROR(__xludf.DUMMYFUNCTION("""COMPUTED_VALUE"""),10081.0)</f>
        <v>10081</v>
      </c>
      <c r="F320" s="17">
        <f>IFERROR(__xludf.DUMMYFUNCTION("""COMPUTED_VALUE"""),3817.0)</f>
        <v>3817</v>
      </c>
      <c r="G320" s="20"/>
      <c r="H320" s="32"/>
      <c r="I320" s="20"/>
      <c r="J320" s="21">
        <f>IFERROR(__xludf.DUMMYFUNCTION("""COMPUTED_VALUE"""),5538.4)</f>
        <v>5538.4</v>
      </c>
      <c r="K320" s="22">
        <f>IFERROR(__xludf.DUMMYFUNCTION("""COMPUTED_VALUE"""),7.445503527387759)</f>
        <v>7.445503527</v>
      </c>
      <c r="L320" s="22">
        <f>IFERROR(__xludf.DUMMYFUNCTION("""COMPUTED_VALUE"""),10.803294926928048)</f>
        <v>10.80329493</v>
      </c>
      <c r="M320" s="22">
        <f>IFERROR(__xludf.DUMMYFUNCTION("""COMPUTED_VALUE"""),186.82615584127456)</f>
        <v>186.8261558</v>
      </c>
      <c r="N320" s="22">
        <f>IFERROR(__xludf.DUMMYFUNCTION("""COMPUTED_VALUE"""),274.45708602212017)</f>
        <v>274.457086</v>
      </c>
      <c r="O320" s="22">
        <f t="shared" si="1"/>
        <v>3.3577914</v>
      </c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 t="str">
        <f>IFERROR(__xludf.DUMMYFUNCTION("""COMPUTED_VALUE"""),"Colombia")</f>
        <v>Colombia</v>
      </c>
      <c r="B321" s="18">
        <f>IFERROR(__xludf.DUMMYFUNCTION("""COMPUTED_VALUE"""),44361.0)</f>
        <v>44361</v>
      </c>
      <c r="C321" s="19">
        <f>IFERROR(__xludf.DUMMYFUNCTION("""COMPUTED_VALUE"""),44367.0)</f>
        <v>44367</v>
      </c>
      <c r="D321" s="17">
        <f>IFERROR(__xludf.DUMMYFUNCTION("""COMPUTED_VALUE"""),24.0)</f>
        <v>24</v>
      </c>
      <c r="E321" s="17">
        <f>IFERROR(__xludf.DUMMYFUNCTION("""COMPUTED_VALUE"""),10451.0)</f>
        <v>10451</v>
      </c>
      <c r="F321" s="17">
        <f>IFERROR(__xludf.DUMMYFUNCTION("""COMPUTED_VALUE"""),4156.0)</f>
        <v>4156</v>
      </c>
      <c r="G321" s="20"/>
      <c r="H321" s="32"/>
      <c r="I321" s="20"/>
      <c r="J321" s="21">
        <f>IFERROR(__xludf.DUMMYFUNCTION("""COMPUTED_VALUE"""),5936.2)</f>
        <v>5936.2</v>
      </c>
      <c r="K321" s="22">
        <f>IFERROR(__xludf.DUMMYFUNCTION("""COMPUTED_VALUE"""),8.106762551695972)</f>
        <v>8.106762552</v>
      </c>
      <c r="L321" s="22">
        <f>IFERROR(__xludf.DUMMYFUNCTION("""COMPUTED_VALUE"""),11.579250206779989)</f>
        <v>11.57925021</v>
      </c>
      <c r="M321" s="22">
        <f>IFERROR(__xludf.DUMMYFUNCTION("""COMPUTED_VALUE"""),194.93291839297052)</f>
        <v>194.9329184</v>
      </c>
      <c r="N321" s="22">
        <f>IFERROR(__xludf.DUMMYFUNCTION("""COMPUTED_VALUE"""),286.03633622890015)</f>
        <v>286.0363362</v>
      </c>
      <c r="O321" s="22">
        <f t="shared" si="1"/>
        <v>3.472487655</v>
      </c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 t="str">
        <f>IFERROR(__xludf.DUMMYFUNCTION("""COMPUTED_VALUE"""),"Colombia")</f>
        <v>Colombia</v>
      </c>
      <c r="B322" s="18">
        <f>IFERROR(__xludf.DUMMYFUNCTION("""COMPUTED_VALUE"""),44368.0)</f>
        <v>44368</v>
      </c>
      <c r="C322" s="19">
        <f>IFERROR(__xludf.DUMMYFUNCTION("""COMPUTED_VALUE"""),44374.0)</f>
        <v>44374</v>
      </c>
      <c r="D322" s="17">
        <f>IFERROR(__xludf.DUMMYFUNCTION("""COMPUTED_VALUE"""),25.0)</f>
        <v>25</v>
      </c>
      <c r="E322" s="17">
        <f>IFERROR(__xludf.DUMMYFUNCTION("""COMPUTED_VALUE"""),10456.0)</f>
        <v>10456</v>
      </c>
      <c r="F322" s="17">
        <f>IFERROR(__xludf.DUMMYFUNCTION("""COMPUTED_VALUE"""),4744.0)</f>
        <v>4744</v>
      </c>
      <c r="G322" s="20"/>
      <c r="H322" s="32"/>
      <c r="I322" s="20"/>
      <c r="J322" s="21">
        <f>IFERROR(__xludf.DUMMYFUNCTION("""COMPUTED_VALUE"""),5901.4)</f>
        <v>5901.4</v>
      </c>
      <c r="K322" s="22">
        <f>IFERROR(__xludf.DUMMYFUNCTION("""COMPUTED_VALUE"""),9.253725107133228)</f>
        <v>9.253725107</v>
      </c>
      <c r="L322" s="22">
        <f>IFERROR(__xludf.DUMMYFUNCTION("""COMPUTED_VALUE"""),11.511368749417374)</f>
        <v>11.51136875</v>
      </c>
      <c r="M322" s="22">
        <f>IFERROR(__xludf.DUMMYFUNCTION("""COMPUTED_VALUE"""),204.18664350010374)</f>
        <v>204.1866435</v>
      </c>
      <c r="N322" s="22">
        <f>IFERROR(__xludf.DUMMYFUNCTION("""COMPUTED_VALUE"""),297.54770497831754)</f>
        <v>297.547705</v>
      </c>
      <c r="O322" s="22">
        <f t="shared" si="1"/>
        <v>2.257643642</v>
      </c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 t="str">
        <f>IFERROR(__xludf.DUMMYFUNCTION("""COMPUTED_VALUE"""),"Colombia")</f>
        <v>Colombia</v>
      </c>
      <c r="B323" s="18">
        <f>IFERROR(__xludf.DUMMYFUNCTION("""COMPUTED_VALUE"""),44375.0)</f>
        <v>44375</v>
      </c>
      <c r="C323" s="19">
        <f>IFERROR(__xludf.DUMMYFUNCTION("""COMPUTED_VALUE"""),44381.0)</f>
        <v>44381</v>
      </c>
      <c r="D323" s="17">
        <f>IFERROR(__xludf.DUMMYFUNCTION("""COMPUTED_VALUE"""),26.0)</f>
        <v>26</v>
      </c>
      <c r="E323" s="17">
        <f>IFERROR(__xludf.DUMMYFUNCTION("""COMPUTED_VALUE"""),10240.0)</f>
        <v>10240</v>
      </c>
      <c r="F323" s="17">
        <f>IFERROR(__xludf.DUMMYFUNCTION("""COMPUTED_VALUE"""),4218.0)</f>
        <v>4218</v>
      </c>
      <c r="G323" s="20"/>
      <c r="H323" s="32"/>
      <c r="I323" s="20"/>
      <c r="J323" s="21">
        <f>IFERROR(__xludf.DUMMYFUNCTION("""COMPUTED_VALUE"""),5648.0)</f>
        <v>5648</v>
      </c>
      <c r="K323" s="22">
        <f>IFERROR(__xludf.DUMMYFUNCTION("""COMPUTED_VALUE"""),8.227700780330514)</f>
        <v>8.22770078</v>
      </c>
      <c r="L323" s="22">
        <f>IFERROR(__xludf.DUMMYFUNCTION("""COMPUTED_VALUE"""),11.017082505288462)</f>
        <v>11.01708251</v>
      </c>
      <c r="M323" s="22">
        <f>IFERROR(__xludf.DUMMYFUNCTION("""COMPUTED_VALUE"""),212.41434428043425)</f>
        <v>212.4143443</v>
      </c>
      <c r="N323" s="22">
        <f>IFERROR(__xludf.DUMMYFUNCTION("""COMPUTED_VALUE"""),308.564787483606)</f>
        <v>308.5647875</v>
      </c>
      <c r="O323" s="22">
        <f t="shared" si="1"/>
        <v>2.789381725</v>
      </c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3" t="str">
        <f>IFERROR(__xludf.DUMMYFUNCTION("""COMPUTED_VALUE"""),"Colombia")</f>
        <v>Colombia</v>
      </c>
      <c r="B324" s="24">
        <f>IFERROR(__xludf.DUMMYFUNCTION("""COMPUTED_VALUE"""),44382.0)</f>
        <v>44382</v>
      </c>
      <c r="C324" s="25">
        <f>IFERROR(__xludf.DUMMYFUNCTION("""COMPUTED_VALUE"""),44388.0)</f>
        <v>44388</v>
      </c>
      <c r="D324" s="23">
        <f>IFERROR(__xludf.DUMMYFUNCTION("""COMPUTED_VALUE"""),27.0)</f>
        <v>27</v>
      </c>
      <c r="E324" s="23">
        <f>IFERROR(__xludf.DUMMYFUNCTION("""COMPUTED_VALUE"""),9485.0)</f>
        <v>9485</v>
      </c>
      <c r="F324" s="23">
        <f>IFERROR(__xludf.DUMMYFUNCTION("""COMPUTED_VALUE"""),3930.0)</f>
        <v>3930</v>
      </c>
      <c r="G324" s="26"/>
      <c r="H324" s="33"/>
      <c r="I324" s="26"/>
      <c r="J324" s="27">
        <f>IFERROR(__xludf.DUMMYFUNCTION("""COMPUTED_VALUE"""),4918.0)</f>
        <v>4918</v>
      </c>
      <c r="K324" s="28">
        <f>IFERROR(__xludf.DUMMYFUNCTION("""COMPUTED_VALUE"""),7.665923202157163)</f>
        <v>7.665923202</v>
      </c>
      <c r="L324" s="28">
        <f>IFERROR(__xludf.DUMMYFUNCTION("""COMPUTED_VALUE"""),9.593132393946293)</f>
        <v>9.593132394</v>
      </c>
      <c r="M324" s="28">
        <f>IFERROR(__xludf.DUMMYFUNCTION("""COMPUTED_VALUE"""),220.0802674825914)</f>
        <v>220.0802675</v>
      </c>
      <c r="N324" s="28">
        <f>IFERROR(__xludf.DUMMYFUNCTION("""COMPUTED_VALUE"""),318.1579198775523)</f>
        <v>318.1579199</v>
      </c>
      <c r="O324" s="22">
        <f t="shared" si="1"/>
        <v>1.927209192</v>
      </c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2" max="2" width="19.89"/>
    <col customWidth="1" min="3" max="4" width="22.0"/>
    <col customWidth="1" min="5" max="5" width="19.22"/>
  </cols>
  <sheetData>
    <row r="1" ht="42.0" customHeight="1"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ht="21.0" customHeight="1"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ht="21.0" customHeight="1"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21.0" customHeight="1"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ht="21.0" customHeight="1"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ht="27.75" customHeight="1"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41"/>
      <c r="B7" s="42"/>
      <c r="C7" s="42"/>
      <c r="D7" s="42"/>
      <c r="E7" s="41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41"/>
      <c r="B8" s="42"/>
      <c r="C8" s="42"/>
      <c r="D8" s="42"/>
      <c r="E8" s="41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36"/>
      <c r="B9" s="43"/>
      <c r="C9" s="43"/>
      <c r="D9" s="43"/>
      <c r="E9" s="41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36"/>
      <c r="B10" s="43"/>
      <c r="C10" s="43"/>
      <c r="D10" s="43"/>
      <c r="E10" s="41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36"/>
      <c r="B11" s="43"/>
      <c r="C11" s="43"/>
      <c r="D11" s="43"/>
      <c r="E11" s="41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36"/>
      <c r="B12" s="43"/>
      <c r="C12" s="43"/>
      <c r="D12" s="43"/>
      <c r="E12" s="41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36"/>
      <c r="B13" s="43"/>
      <c r="C13" s="43"/>
      <c r="D13" s="43"/>
      <c r="E13" s="41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36"/>
      <c r="B14" s="43"/>
      <c r="C14" s="43"/>
      <c r="D14" s="43"/>
      <c r="E14" s="41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36"/>
      <c r="B15" s="43"/>
      <c r="C15" s="43"/>
      <c r="D15" s="43"/>
      <c r="E15" s="41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36"/>
      <c r="B16" s="43"/>
      <c r="C16" s="43"/>
      <c r="D16" s="43"/>
      <c r="E16" s="41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36"/>
      <c r="B17" s="43"/>
      <c r="C17" s="43"/>
      <c r="D17" s="43"/>
      <c r="E17" s="41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36"/>
      <c r="B18" s="43"/>
      <c r="C18" s="43"/>
      <c r="D18" s="43"/>
      <c r="E18" s="41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36"/>
      <c r="B19" s="43"/>
      <c r="C19" s="43"/>
      <c r="D19" s="43"/>
      <c r="E19" s="41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36"/>
      <c r="B20" s="43"/>
      <c r="C20" s="43"/>
      <c r="D20" s="43"/>
      <c r="E20" s="41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36"/>
      <c r="B21" s="43"/>
      <c r="C21" s="43"/>
      <c r="D21" s="43"/>
      <c r="E21" s="41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36"/>
      <c r="B22" s="43"/>
      <c r="C22" s="43"/>
      <c r="D22" s="43"/>
      <c r="E22" s="41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36"/>
      <c r="B23" s="43"/>
      <c r="C23" s="43"/>
      <c r="D23" s="43"/>
      <c r="E23" s="41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36"/>
      <c r="B24" s="43"/>
      <c r="C24" s="43"/>
      <c r="D24" s="43"/>
      <c r="E24" s="41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36"/>
      <c r="B25" s="43"/>
      <c r="C25" s="43"/>
      <c r="D25" s="43"/>
      <c r="E25" s="41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36"/>
      <c r="B26" s="43"/>
      <c r="C26" s="43"/>
      <c r="D26" s="43"/>
      <c r="E26" s="41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36"/>
      <c r="B27" s="43"/>
      <c r="C27" s="43"/>
      <c r="D27" s="43"/>
      <c r="E27" s="41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36"/>
      <c r="B28" s="43"/>
      <c r="C28" s="43"/>
      <c r="D28" s="43"/>
      <c r="E28" s="41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36"/>
      <c r="B29" s="43"/>
      <c r="C29" s="43"/>
      <c r="D29" s="43"/>
      <c r="E29" s="41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36"/>
      <c r="B30" s="43"/>
      <c r="C30" s="43"/>
      <c r="D30" s="43"/>
      <c r="E30" s="41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36"/>
      <c r="B31" s="43"/>
      <c r="C31" s="43"/>
      <c r="D31" s="43"/>
      <c r="E31" s="41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36"/>
      <c r="B32" s="43"/>
      <c r="C32" s="43"/>
      <c r="D32" s="43"/>
      <c r="E32" s="41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36"/>
      <c r="B33" s="43"/>
      <c r="C33" s="43"/>
      <c r="D33" s="43"/>
      <c r="E33" s="41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36"/>
      <c r="B34" s="43"/>
      <c r="C34" s="43"/>
      <c r="D34" s="43"/>
      <c r="E34" s="41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36"/>
      <c r="B35" s="43"/>
      <c r="C35" s="43"/>
      <c r="D35" s="43"/>
      <c r="E35" s="41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36"/>
      <c r="B36" s="43"/>
      <c r="C36" s="43"/>
      <c r="D36" s="43"/>
      <c r="E36" s="41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36"/>
      <c r="B37" s="43"/>
      <c r="C37" s="43"/>
      <c r="D37" s="43"/>
      <c r="E37" s="41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36"/>
      <c r="B38" s="43"/>
      <c r="C38" s="43"/>
      <c r="D38" s="43"/>
      <c r="E38" s="41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36"/>
      <c r="B39" s="43"/>
      <c r="C39" s="43"/>
      <c r="D39" s="43"/>
      <c r="E39" s="41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36"/>
      <c r="B40" s="43"/>
      <c r="C40" s="43"/>
      <c r="D40" s="43"/>
      <c r="E40" s="41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36"/>
      <c r="B41" s="43"/>
      <c r="C41" s="43"/>
      <c r="D41" s="43"/>
      <c r="E41" s="41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36"/>
      <c r="B42" s="43"/>
      <c r="C42" s="43"/>
      <c r="D42" s="43"/>
      <c r="E42" s="41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36"/>
      <c r="B43" s="43"/>
      <c r="C43" s="43"/>
      <c r="D43" s="43"/>
      <c r="E43" s="41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36"/>
      <c r="B44" s="43"/>
      <c r="C44" s="43"/>
      <c r="D44" s="43"/>
      <c r="E44" s="41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36"/>
      <c r="B45" s="43"/>
      <c r="C45" s="43"/>
      <c r="D45" s="43"/>
      <c r="E45" s="41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36"/>
      <c r="B46" s="43"/>
      <c r="C46" s="43"/>
      <c r="D46" s="43"/>
      <c r="E46" s="41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36"/>
      <c r="B47" s="43"/>
      <c r="C47" s="43"/>
      <c r="D47" s="43"/>
      <c r="E47" s="41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36"/>
      <c r="B48" s="43"/>
      <c r="C48" s="43"/>
      <c r="D48" s="43"/>
      <c r="E48" s="41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36"/>
      <c r="B49" s="43"/>
      <c r="C49" s="43"/>
      <c r="D49" s="43"/>
      <c r="E49" s="41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36"/>
      <c r="B50" s="43"/>
      <c r="C50" s="43"/>
      <c r="D50" s="43"/>
      <c r="E50" s="41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36"/>
      <c r="B51" s="43"/>
      <c r="C51" s="43"/>
      <c r="D51" s="43"/>
      <c r="E51" s="41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36"/>
      <c r="B52" s="43"/>
      <c r="C52" s="43"/>
      <c r="D52" s="43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36"/>
      <c r="B53" s="43"/>
      <c r="C53" s="43"/>
      <c r="D53" s="43"/>
      <c r="E53" s="41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36"/>
      <c r="B54" s="43"/>
      <c r="C54" s="43"/>
      <c r="D54" s="43"/>
      <c r="E54" s="41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36"/>
      <c r="B55" s="43"/>
      <c r="C55" s="43"/>
      <c r="D55" s="43"/>
      <c r="E55" s="41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36"/>
      <c r="B56" s="43"/>
      <c r="C56" s="43"/>
      <c r="D56" s="43"/>
      <c r="E56" s="41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36"/>
      <c r="B57" s="43"/>
      <c r="C57" s="43"/>
      <c r="D57" s="43"/>
      <c r="E57" s="41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36"/>
      <c r="B58" s="43"/>
      <c r="C58" s="43"/>
      <c r="D58" s="43"/>
      <c r="E58" s="41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36"/>
      <c r="B59" s="43"/>
      <c r="C59" s="43"/>
      <c r="D59" s="43"/>
      <c r="E59" s="41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36"/>
      <c r="B60" s="43"/>
      <c r="C60" s="43"/>
      <c r="D60" s="43"/>
      <c r="E60" s="41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36"/>
      <c r="B61" s="43"/>
      <c r="C61" s="43"/>
      <c r="D61" s="43"/>
      <c r="E61" s="41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36"/>
      <c r="B62" s="43"/>
      <c r="C62" s="43"/>
      <c r="D62" s="43"/>
      <c r="E62" s="41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36"/>
      <c r="B63" s="43"/>
      <c r="C63" s="43"/>
      <c r="D63" s="43"/>
      <c r="E63" s="41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36"/>
      <c r="B64" s="43"/>
      <c r="C64" s="43"/>
      <c r="D64" s="43"/>
      <c r="E64" s="41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36"/>
      <c r="B65" s="43"/>
      <c r="C65" s="43"/>
      <c r="D65" s="43"/>
      <c r="E65" s="41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36"/>
      <c r="B66" s="43"/>
      <c r="C66" s="43"/>
      <c r="D66" s="43"/>
      <c r="E66" s="41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36"/>
      <c r="B67" s="43"/>
      <c r="C67" s="43"/>
      <c r="D67" s="43"/>
      <c r="E67" s="41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36"/>
      <c r="B68" s="43"/>
      <c r="C68" s="43"/>
      <c r="D68" s="43"/>
      <c r="E68" s="41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36"/>
      <c r="B69" s="43"/>
      <c r="C69" s="43"/>
      <c r="D69" s="43"/>
      <c r="E69" s="41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36"/>
      <c r="B70" s="43"/>
      <c r="C70" s="43"/>
      <c r="D70" s="43"/>
      <c r="E70" s="41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36"/>
      <c r="B71" s="43"/>
      <c r="C71" s="43"/>
      <c r="D71" s="43"/>
      <c r="E71" s="41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36"/>
      <c r="B72" s="43"/>
      <c r="C72" s="43"/>
      <c r="D72" s="43"/>
      <c r="E72" s="41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36"/>
      <c r="B73" s="43"/>
      <c r="C73" s="43"/>
      <c r="D73" s="43"/>
      <c r="E73" s="41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36"/>
      <c r="B74" s="43"/>
      <c r="C74" s="43"/>
      <c r="D74" s="43"/>
      <c r="E74" s="41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36"/>
      <c r="B75" s="43"/>
      <c r="C75" s="43"/>
      <c r="D75" s="43"/>
      <c r="E75" s="41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36"/>
      <c r="B76" s="43"/>
      <c r="C76" s="43"/>
      <c r="D76" s="43"/>
      <c r="E76" s="41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36"/>
      <c r="B77" s="43"/>
      <c r="C77" s="43"/>
      <c r="D77" s="43"/>
      <c r="E77" s="41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36"/>
      <c r="B78" s="43"/>
      <c r="C78" s="43"/>
      <c r="D78" s="43"/>
      <c r="E78" s="41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36"/>
      <c r="B79" s="43"/>
      <c r="C79" s="43"/>
      <c r="D79" s="43"/>
      <c r="E79" s="41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36"/>
      <c r="B80" s="43"/>
      <c r="C80" s="43"/>
      <c r="D80" s="43"/>
      <c r="E80" s="41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36"/>
      <c r="B81" s="43"/>
      <c r="C81" s="43"/>
      <c r="D81" s="43"/>
      <c r="E81" s="41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36"/>
      <c r="B82" s="43"/>
      <c r="C82" s="43"/>
      <c r="D82" s="43"/>
      <c r="E82" s="41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36"/>
      <c r="B83" s="43"/>
      <c r="C83" s="43"/>
      <c r="D83" s="43"/>
      <c r="E83" s="41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36"/>
      <c r="B84" s="43"/>
      <c r="C84" s="43"/>
      <c r="D84" s="43"/>
      <c r="E84" s="41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36"/>
      <c r="B85" s="43"/>
      <c r="C85" s="43"/>
      <c r="D85" s="43"/>
      <c r="E85" s="41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36"/>
      <c r="B86" s="43"/>
      <c r="C86" s="43"/>
      <c r="D86" s="43"/>
      <c r="E86" s="41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36"/>
      <c r="B87" s="43"/>
      <c r="C87" s="43"/>
      <c r="D87" s="43"/>
      <c r="E87" s="41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36"/>
      <c r="B88" s="43"/>
      <c r="C88" s="43"/>
      <c r="D88" s="43"/>
      <c r="E88" s="41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36"/>
      <c r="B89" s="43"/>
      <c r="C89" s="43"/>
      <c r="D89" s="43"/>
      <c r="E89" s="41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36"/>
      <c r="B90" s="43"/>
      <c r="C90" s="43"/>
      <c r="D90" s="43"/>
      <c r="E90" s="41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36"/>
      <c r="B91" s="43"/>
      <c r="C91" s="43"/>
      <c r="D91" s="43"/>
      <c r="E91" s="41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36"/>
      <c r="B92" s="43"/>
      <c r="C92" s="43"/>
      <c r="D92" s="43"/>
      <c r="E92" s="41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36"/>
      <c r="B93" s="43"/>
      <c r="C93" s="43"/>
      <c r="D93" s="43"/>
      <c r="E93" s="41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36"/>
      <c r="B94" s="43"/>
      <c r="C94" s="43"/>
      <c r="D94" s="43"/>
      <c r="E94" s="41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36"/>
      <c r="B95" s="43"/>
      <c r="C95" s="43"/>
      <c r="D95" s="43"/>
      <c r="E95" s="41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36"/>
      <c r="B96" s="43"/>
      <c r="C96" s="43"/>
      <c r="D96" s="43"/>
      <c r="E96" s="41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36"/>
      <c r="B97" s="43"/>
      <c r="C97" s="43"/>
      <c r="D97" s="43"/>
      <c r="E97" s="41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36"/>
      <c r="B98" s="43"/>
      <c r="C98" s="43"/>
      <c r="D98" s="43"/>
      <c r="E98" s="41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36"/>
      <c r="B99" s="43"/>
      <c r="C99" s="43"/>
      <c r="D99" s="43"/>
      <c r="E99" s="41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36"/>
      <c r="B100" s="43"/>
      <c r="C100" s="43"/>
      <c r="D100" s="43"/>
      <c r="E100" s="41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36"/>
      <c r="B101" s="43"/>
      <c r="C101" s="43"/>
      <c r="D101" s="43"/>
      <c r="E101" s="41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36"/>
      <c r="B102" s="43"/>
      <c r="C102" s="43"/>
      <c r="D102" s="43"/>
      <c r="E102" s="41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36"/>
      <c r="B103" s="43"/>
      <c r="C103" s="43"/>
      <c r="D103" s="43"/>
      <c r="E103" s="41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36"/>
      <c r="B104" s="43"/>
      <c r="C104" s="43"/>
      <c r="D104" s="43"/>
      <c r="E104" s="41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36"/>
      <c r="B105" s="43"/>
      <c r="C105" s="43"/>
      <c r="D105" s="43"/>
      <c r="E105" s="41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36"/>
      <c r="B106" s="43"/>
      <c r="C106" s="43"/>
      <c r="D106" s="43"/>
      <c r="E106" s="41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36"/>
      <c r="B107" s="43"/>
      <c r="C107" s="43"/>
      <c r="D107" s="43"/>
      <c r="E107" s="41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36"/>
      <c r="B108" s="43"/>
      <c r="C108" s="43"/>
      <c r="D108" s="43"/>
      <c r="E108" s="41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36"/>
      <c r="B109" s="43"/>
      <c r="C109" s="43"/>
      <c r="D109" s="43"/>
      <c r="E109" s="41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36"/>
      <c r="B110" s="43"/>
      <c r="C110" s="43"/>
      <c r="D110" s="43"/>
      <c r="E110" s="41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36"/>
      <c r="B111" s="43"/>
      <c r="C111" s="43"/>
      <c r="D111" s="43"/>
      <c r="E111" s="41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36"/>
      <c r="B112" s="43"/>
      <c r="C112" s="43"/>
      <c r="D112" s="43"/>
      <c r="E112" s="41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36"/>
      <c r="B113" s="43"/>
      <c r="C113" s="43"/>
      <c r="D113" s="43"/>
      <c r="E113" s="41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36"/>
      <c r="B114" s="43"/>
      <c r="C114" s="43"/>
      <c r="D114" s="43"/>
      <c r="E114" s="41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36"/>
      <c r="B115" s="43"/>
      <c r="C115" s="43"/>
      <c r="D115" s="43"/>
      <c r="E115" s="41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36"/>
      <c r="B116" s="43"/>
      <c r="C116" s="43"/>
      <c r="D116" s="43"/>
      <c r="E116" s="41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36"/>
      <c r="B117" s="43"/>
      <c r="C117" s="43"/>
      <c r="D117" s="43"/>
      <c r="E117" s="41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36"/>
      <c r="B118" s="43"/>
      <c r="C118" s="43"/>
      <c r="D118" s="43"/>
      <c r="E118" s="41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36"/>
      <c r="B119" s="43"/>
      <c r="C119" s="43"/>
      <c r="D119" s="43"/>
      <c r="E119" s="41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36"/>
      <c r="B120" s="43"/>
      <c r="C120" s="43"/>
      <c r="D120" s="43"/>
      <c r="E120" s="41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36"/>
      <c r="B121" s="43"/>
      <c r="C121" s="43"/>
      <c r="D121" s="43"/>
      <c r="E121" s="41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36"/>
      <c r="B122" s="43"/>
      <c r="C122" s="43"/>
      <c r="D122" s="43"/>
      <c r="E122" s="41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36"/>
      <c r="B123" s="43"/>
      <c r="C123" s="43"/>
      <c r="D123" s="43"/>
      <c r="E123" s="41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36"/>
      <c r="B124" s="43"/>
      <c r="C124" s="43"/>
      <c r="D124" s="43"/>
      <c r="E124" s="41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36"/>
      <c r="B125" s="43"/>
      <c r="C125" s="43"/>
      <c r="D125" s="43"/>
      <c r="E125" s="41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36"/>
      <c r="B126" s="43"/>
      <c r="C126" s="43"/>
      <c r="D126" s="43"/>
      <c r="E126" s="41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36"/>
      <c r="B127" s="43"/>
      <c r="C127" s="43"/>
      <c r="D127" s="43"/>
      <c r="E127" s="41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36"/>
      <c r="B128" s="43"/>
      <c r="C128" s="43"/>
      <c r="D128" s="43"/>
      <c r="E128" s="41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36"/>
      <c r="B129" s="43"/>
      <c r="C129" s="43"/>
      <c r="D129" s="43"/>
      <c r="E129" s="41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36"/>
      <c r="B130" s="43"/>
      <c r="C130" s="43"/>
      <c r="D130" s="43"/>
      <c r="E130" s="41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36"/>
      <c r="B131" s="43"/>
      <c r="C131" s="43"/>
      <c r="D131" s="43"/>
      <c r="E131" s="41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36"/>
      <c r="B132" s="43"/>
      <c r="C132" s="43"/>
      <c r="D132" s="43"/>
      <c r="E132" s="41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36"/>
      <c r="B133" s="43"/>
      <c r="C133" s="43"/>
      <c r="D133" s="43"/>
      <c r="E133" s="41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36"/>
      <c r="B134" s="43"/>
      <c r="C134" s="43"/>
      <c r="D134" s="43"/>
      <c r="E134" s="41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36"/>
      <c r="B135" s="43"/>
      <c r="C135" s="43"/>
      <c r="D135" s="43"/>
      <c r="E135" s="41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36"/>
      <c r="B136" s="43"/>
      <c r="C136" s="43"/>
      <c r="D136" s="43"/>
      <c r="E136" s="41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36"/>
      <c r="B137" s="43"/>
      <c r="C137" s="43"/>
      <c r="D137" s="43"/>
      <c r="E137" s="41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36"/>
      <c r="B138" s="43"/>
      <c r="C138" s="43"/>
      <c r="D138" s="43"/>
      <c r="E138" s="41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36"/>
      <c r="B139" s="43"/>
      <c r="C139" s="43"/>
      <c r="D139" s="43"/>
      <c r="E139" s="41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36"/>
      <c r="B140" s="43"/>
      <c r="C140" s="43"/>
      <c r="D140" s="43"/>
      <c r="E140" s="41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36"/>
      <c r="B141" s="43"/>
      <c r="C141" s="43"/>
      <c r="D141" s="43"/>
      <c r="E141" s="41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36"/>
      <c r="B142" s="43"/>
      <c r="C142" s="43"/>
      <c r="D142" s="43"/>
      <c r="E142" s="41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36"/>
      <c r="B143" s="43"/>
      <c r="C143" s="43"/>
      <c r="D143" s="43"/>
      <c r="E143" s="41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36"/>
      <c r="B144" s="43"/>
      <c r="C144" s="43"/>
      <c r="D144" s="43"/>
      <c r="E144" s="41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36"/>
      <c r="B145" s="43"/>
      <c r="C145" s="43"/>
      <c r="D145" s="43"/>
      <c r="E145" s="41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36"/>
      <c r="B146" s="43"/>
      <c r="C146" s="43"/>
      <c r="D146" s="43"/>
      <c r="E146" s="41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36"/>
      <c r="B147" s="43"/>
      <c r="C147" s="43"/>
      <c r="D147" s="43"/>
      <c r="E147" s="41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36"/>
      <c r="B148" s="43"/>
      <c r="C148" s="43"/>
      <c r="D148" s="43"/>
      <c r="E148" s="41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36"/>
      <c r="B149" s="43"/>
      <c r="C149" s="43"/>
      <c r="D149" s="43"/>
      <c r="E149" s="41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36"/>
      <c r="B150" s="43"/>
      <c r="C150" s="43"/>
      <c r="D150" s="43"/>
      <c r="E150" s="41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36"/>
      <c r="B151" s="43"/>
      <c r="C151" s="43"/>
      <c r="D151" s="43"/>
      <c r="E151" s="41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36"/>
      <c r="B152" s="43"/>
      <c r="C152" s="43"/>
      <c r="D152" s="43"/>
      <c r="E152" s="41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36"/>
      <c r="B153" s="43"/>
      <c r="C153" s="43"/>
      <c r="D153" s="43"/>
      <c r="E153" s="41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36"/>
      <c r="B154" s="43"/>
      <c r="C154" s="43"/>
      <c r="D154" s="43"/>
      <c r="E154" s="41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36"/>
      <c r="B155" s="43"/>
      <c r="C155" s="43"/>
      <c r="D155" s="43"/>
      <c r="E155" s="41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36"/>
      <c r="B156" s="43"/>
      <c r="C156" s="43"/>
      <c r="D156" s="43"/>
      <c r="E156" s="41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36"/>
      <c r="B157" s="43"/>
      <c r="C157" s="43"/>
      <c r="D157" s="43"/>
      <c r="E157" s="41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36"/>
      <c r="B158" s="43"/>
      <c r="C158" s="43"/>
      <c r="D158" s="43"/>
      <c r="E158" s="41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36"/>
      <c r="B159" s="43"/>
      <c r="C159" s="43"/>
      <c r="D159" s="43"/>
      <c r="E159" s="41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36"/>
      <c r="B160" s="43"/>
      <c r="C160" s="43"/>
      <c r="D160" s="43"/>
      <c r="E160" s="41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36"/>
      <c r="B161" s="43"/>
      <c r="C161" s="43"/>
      <c r="D161" s="43"/>
      <c r="E161" s="41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36"/>
      <c r="B162" s="43"/>
      <c r="C162" s="43"/>
      <c r="D162" s="43"/>
      <c r="E162" s="41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36"/>
      <c r="B163" s="43"/>
      <c r="C163" s="43"/>
      <c r="D163" s="43"/>
      <c r="E163" s="41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36"/>
      <c r="B164" s="43"/>
      <c r="C164" s="43"/>
      <c r="D164" s="43"/>
      <c r="E164" s="41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36"/>
      <c r="B165" s="43"/>
      <c r="C165" s="43"/>
      <c r="D165" s="43"/>
      <c r="E165" s="41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36"/>
      <c r="B166" s="43"/>
      <c r="C166" s="43"/>
      <c r="D166" s="43"/>
      <c r="E166" s="41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36"/>
      <c r="B167" s="43"/>
      <c r="C167" s="43"/>
      <c r="D167" s="43"/>
      <c r="E167" s="41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36"/>
      <c r="B168" s="43"/>
      <c r="C168" s="43"/>
      <c r="D168" s="43"/>
      <c r="E168" s="41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36"/>
      <c r="B169" s="43"/>
      <c r="C169" s="43"/>
      <c r="D169" s="43"/>
      <c r="E169" s="41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36"/>
      <c r="B170" s="43"/>
      <c r="C170" s="43"/>
      <c r="D170" s="43"/>
      <c r="E170" s="41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36"/>
      <c r="B171" s="43"/>
      <c r="C171" s="43"/>
      <c r="D171" s="43"/>
      <c r="E171" s="41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36"/>
      <c r="B172" s="43"/>
      <c r="C172" s="43"/>
      <c r="D172" s="43"/>
      <c r="E172" s="41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36"/>
      <c r="B173" s="43"/>
      <c r="C173" s="43"/>
      <c r="D173" s="43"/>
      <c r="E173" s="41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36"/>
      <c r="B174" s="43"/>
      <c r="C174" s="43"/>
      <c r="D174" s="43"/>
      <c r="E174" s="41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36"/>
      <c r="B175" s="43"/>
      <c r="C175" s="43"/>
      <c r="D175" s="43"/>
      <c r="E175" s="41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36"/>
      <c r="B176" s="43"/>
      <c r="C176" s="43"/>
      <c r="D176" s="43"/>
      <c r="E176" s="41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>
      <c r="A177" s="36"/>
      <c r="B177" s="43"/>
      <c r="C177" s="43"/>
      <c r="D177" s="43"/>
      <c r="E177" s="41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>
      <c r="A178" s="36"/>
      <c r="B178" s="43"/>
      <c r="C178" s="43"/>
      <c r="D178" s="43"/>
      <c r="E178" s="41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>
      <c r="A179" s="36"/>
      <c r="B179" s="43"/>
      <c r="C179" s="43"/>
      <c r="D179" s="43"/>
      <c r="E179" s="41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>
      <c r="A180" s="36"/>
      <c r="B180" s="43"/>
      <c r="C180" s="43"/>
      <c r="D180" s="43"/>
      <c r="E180" s="41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>
      <c r="A181" s="36"/>
      <c r="B181" s="43"/>
      <c r="C181" s="43"/>
      <c r="D181" s="43"/>
      <c r="E181" s="41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>
      <c r="A182" s="36"/>
      <c r="B182" s="43"/>
      <c r="C182" s="43"/>
      <c r="D182" s="43"/>
      <c r="E182" s="41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>
      <c r="A183" s="36"/>
      <c r="B183" s="43"/>
      <c r="C183" s="43"/>
      <c r="D183" s="43"/>
      <c r="E183" s="41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>
      <c r="A184" s="36"/>
      <c r="B184" s="43"/>
      <c r="C184" s="43"/>
      <c r="D184" s="43"/>
      <c r="E184" s="41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>
      <c r="A185" s="36"/>
      <c r="B185" s="43"/>
      <c r="C185" s="43"/>
      <c r="D185" s="43"/>
      <c r="E185" s="41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>
      <c r="A186" s="36"/>
      <c r="B186" s="43"/>
      <c r="C186" s="43"/>
      <c r="D186" s="43"/>
      <c r="E186" s="41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>
      <c r="A187" s="36"/>
      <c r="B187" s="43"/>
      <c r="C187" s="43"/>
      <c r="D187" s="43"/>
      <c r="E187" s="41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>
      <c r="A188" s="36"/>
      <c r="B188" s="43"/>
      <c r="C188" s="43"/>
      <c r="D188" s="43"/>
      <c r="E188" s="41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>
      <c r="A189" s="36"/>
      <c r="B189" s="43"/>
      <c r="C189" s="43"/>
      <c r="D189" s="43"/>
      <c r="E189" s="41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>
      <c r="A190" s="36"/>
      <c r="B190" s="43"/>
      <c r="C190" s="43"/>
      <c r="D190" s="43"/>
      <c r="E190" s="41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>
      <c r="A191" s="36"/>
      <c r="B191" s="43"/>
      <c r="C191" s="43"/>
      <c r="D191" s="43"/>
      <c r="E191" s="41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>
      <c r="A192" s="36"/>
      <c r="B192" s="43"/>
      <c r="C192" s="43"/>
      <c r="D192" s="43"/>
      <c r="E192" s="41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>
      <c r="A193" s="36"/>
      <c r="B193" s="43"/>
      <c r="C193" s="43"/>
      <c r="D193" s="43"/>
      <c r="E193" s="41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>
      <c r="A194" s="36"/>
      <c r="B194" s="43"/>
      <c r="C194" s="43"/>
      <c r="D194" s="43"/>
      <c r="E194" s="41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>
      <c r="A195" s="36"/>
      <c r="B195" s="43"/>
      <c r="C195" s="43"/>
      <c r="D195" s="43"/>
      <c r="E195" s="41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>
      <c r="A196" s="36"/>
      <c r="B196" s="43"/>
      <c r="C196" s="43"/>
      <c r="D196" s="43"/>
      <c r="E196" s="41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>
      <c r="A197" s="36"/>
      <c r="B197" s="43"/>
      <c r="C197" s="43"/>
      <c r="D197" s="43"/>
      <c r="E197" s="41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>
      <c r="A198" s="36"/>
      <c r="B198" s="43"/>
      <c r="C198" s="43"/>
      <c r="D198" s="43"/>
      <c r="E198" s="41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>
      <c r="A199" s="36"/>
      <c r="B199" s="43"/>
      <c r="C199" s="43"/>
      <c r="D199" s="43"/>
      <c r="E199" s="41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>
      <c r="A200" s="36"/>
      <c r="B200" s="43"/>
      <c r="C200" s="43"/>
      <c r="D200" s="43"/>
      <c r="E200" s="41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>
      <c r="A201" s="36"/>
      <c r="B201" s="43"/>
      <c r="C201" s="43"/>
      <c r="D201" s="43"/>
      <c r="E201" s="41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>
      <c r="A202" s="36"/>
      <c r="B202" s="43"/>
      <c r="C202" s="43"/>
      <c r="D202" s="43"/>
      <c r="E202" s="41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>
      <c r="A203" s="36"/>
      <c r="B203" s="43"/>
      <c r="C203" s="43"/>
      <c r="D203" s="43"/>
      <c r="E203" s="41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>
      <c r="A204" s="36"/>
      <c r="B204" s="43"/>
      <c r="C204" s="43"/>
      <c r="D204" s="43"/>
      <c r="E204" s="41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>
      <c r="A205" s="36"/>
      <c r="B205" s="43"/>
      <c r="C205" s="43"/>
      <c r="D205" s="43"/>
      <c r="E205" s="41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>
      <c r="A206" s="36"/>
      <c r="B206" s="43"/>
      <c r="C206" s="43"/>
      <c r="D206" s="43"/>
      <c r="E206" s="41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>
      <c r="A207" s="36"/>
      <c r="B207" s="43"/>
      <c r="C207" s="43"/>
      <c r="D207" s="43"/>
      <c r="E207" s="41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>
      <c r="A208" s="36"/>
      <c r="B208" s="43"/>
      <c r="C208" s="43"/>
      <c r="D208" s="43"/>
      <c r="E208" s="41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>
      <c r="A209" s="36"/>
      <c r="B209" s="43"/>
      <c r="C209" s="43"/>
      <c r="D209" s="43"/>
      <c r="E209" s="41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>
      <c r="A210" s="36"/>
      <c r="B210" s="43"/>
      <c r="C210" s="43"/>
      <c r="D210" s="43"/>
      <c r="E210" s="41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>
      <c r="A211" s="36"/>
      <c r="B211" s="43"/>
      <c r="C211" s="43"/>
      <c r="D211" s="43"/>
      <c r="E211" s="41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>
      <c r="A212" s="36"/>
      <c r="B212" s="43"/>
      <c r="C212" s="43"/>
      <c r="D212" s="43"/>
      <c r="E212" s="41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>
      <c r="A213" s="36"/>
      <c r="B213" s="43"/>
      <c r="C213" s="43"/>
      <c r="D213" s="43"/>
      <c r="E213" s="41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>
      <c r="A214" s="36"/>
      <c r="B214" s="43"/>
      <c r="C214" s="43"/>
      <c r="D214" s="43"/>
      <c r="E214" s="41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>
      <c r="A215" s="36"/>
      <c r="B215" s="43"/>
      <c r="C215" s="43"/>
      <c r="D215" s="43"/>
      <c r="E215" s="41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>
      <c r="A216" s="36"/>
      <c r="B216" s="43"/>
      <c r="C216" s="43"/>
      <c r="D216" s="43"/>
      <c r="E216" s="41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>
      <c r="A217" s="36"/>
      <c r="B217" s="43"/>
      <c r="C217" s="43"/>
      <c r="D217" s="43"/>
      <c r="E217" s="41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>
      <c r="A218" s="36"/>
      <c r="B218" s="43"/>
      <c r="C218" s="43"/>
      <c r="D218" s="43"/>
      <c r="E218" s="41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>
      <c r="A219" s="36"/>
      <c r="B219" s="43"/>
      <c r="C219" s="43"/>
      <c r="D219" s="43"/>
      <c r="E219" s="41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>
      <c r="A220" s="36"/>
      <c r="B220" s="43"/>
      <c r="C220" s="43"/>
      <c r="D220" s="43"/>
      <c r="E220" s="41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>
      <c r="A221" s="36"/>
      <c r="B221" s="43"/>
      <c r="C221" s="43"/>
      <c r="D221" s="43"/>
      <c r="E221" s="41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>
      <c r="A222" s="36"/>
      <c r="B222" s="43"/>
      <c r="C222" s="43"/>
      <c r="D222" s="43"/>
      <c r="E222" s="41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>
      <c r="A223" s="36"/>
      <c r="B223" s="43"/>
      <c r="C223" s="43"/>
      <c r="D223" s="43"/>
      <c r="E223" s="41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>
      <c r="A224" s="36"/>
      <c r="B224" s="43"/>
      <c r="C224" s="43"/>
      <c r="D224" s="43"/>
      <c r="E224" s="41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>
      <c r="A225" s="36"/>
      <c r="B225" s="43"/>
      <c r="C225" s="43"/>
      <c r="D225" s="43"/>
      <c r="E225" s="41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>
      <c r="A226" s="36"/>
      <c r="B226" s="43"/>
      <c r="C226" s="43"/>
      <c r="D226" s="43"/>
      <c r="E226" s="41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>
      <c r="A227" s="36"/>
      <c r="B227" s="43"/>
      <c r="C227" s="43"/>
      <c r="D227" s="43"/>
      <c r="E227" s="41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>
      <c r="A228" s="36"/>
      <c r="B228" s="43"/>
      <c r="C228" s="43"/>
      <c r="D228" s="43"/>
      <c r="E228" s="41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>
      <c r="A229" s="36"/>
      <c r="B229" s="43"/>
      <c r="C229" s="43"/>
      <c r="D229" s="43"/>
      <c r="E229" s="41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>
      <c r="A230" s="36"/>
      <c r="B230" s="43"/>
      <c r="C230" s="43"/>
      <c r="D230" s="43"/>
      <c r="E230" s="41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>
      <c r="A231" s="36"/>
      <c r="B231" s="43"/>
      <c r="C231" s="43"/>
      <c r="D231" s="43"/>
      <c r="E231" s="41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>
      <c r="A232" s="36"/>
      <c r="B232" s="43"/>
      <c r="C232" s="43"/>
      <c r="D232" s="43"/>
      <c r="E232" s="41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>
      <c r="A233" s="36"/>
      <c r="B233" s="43"/>
      <c r="C233" s="43"/>
      <c r="D233" s="43"/>
      <c r="E233" s="41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>
      <c r="A234" s="36"/>
      <c r="B234" s="43"/>
      <c r="C234" s="43"/>
      <c r="D234" s="43"/>
      <c r="E234" s="41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>
      <c r="A235" s="36"/>
      <c r="B235" s="43"/>
      <c r="C235" s="43"/>
      <c r="D235" s="43"/>
      <c r="E235" s="41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>
      <c r="A236" s="36"/>
      <c r="B236" s="43"/>
      <c r="C236" s="43"/>
      <c r="D236" s="43"/>
      <c r="E236" s="41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>
      <c r="A237" s="36"/>
      <c r="B237" s="43"/>
      <c r="C237" s="43"/>
      <c r="D237" s="43"/>
      <c r="E237" s="41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>
      <c r="A238" s="36"/>
      <c r="B238" s="43"/>
      <c r="C238" s="43"/>
      <c r="D238" s="43"/>
      <c r="E238" s="41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>
      <c r="A239" s="36"/>
      <c r="B239" s="43"/>
      <c r="C239" s="43"/>
      <c r="D239" s="43"/>
      <c r="E239" s="41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>
      <c r="A240" s="36"/>
      <c r="B240" s="43"/>
      <c r="C240" s="43"/>
      <c r="D240" s="43"/>
      <c r="E240" s="41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>
      <c r="A241" s="36"/>
      <c r="B241" s="43"/>
      <c r="C241" s="43"/>
      <c r="D241" s="43"/>
      <c r="E241" s="41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>
      <c r="A242" s="36"/>
      <c r="B242" s="43"/>
      <c r="C242" s="43"/>
      <c r="D242" s="43"/>
      <c r="E242" s="41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>
      <c r="A243" s="36"/>
      <c r="B243" s="43"/>
      <c r="C243" s="43"/>
      <c r="D243" s="43"/>
      <c r="E243" s="41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>
      <c r="A244" s="36"/>
      <c r="B244" s="43"/>
      <c r="C244" s="43"/>
      <c r="D244" s="43"/>
      <c r="E244" s="41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>
      <c r="A245" s="36"/>
      <c r="B245" s="43"/>
      <c r="C245" s="43"/>
      <c r="D245" s="43"/>
      <c r="E245" s="41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>
      <c r="A246" s="36"/>
      <c r="B246" s="43"/>
      <c r="C246" s="43"/>
      <c r="D246" s="43"/>
      <c r="E246" s="41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>
      <c r="A247" s="36"/>
      <c r="B247" s="43"/>
      <c r="C247" s="43"/>
      <c r="D247" s="43"/>
      <c r="E247" s="41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>
      <c r="A248" s="36"/>
      <c r="B248" s="43"/>
      <c r="C248" s="43"/>
      <c r="D248" s="43"/>
      <c r="E248" s="41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>
      <c r="A249" s="36"/>
      <c r="B249" s="43"/>
      <c r="C249" s="43"/>
      <c r="D249" s="43"/>
      <c r="E249" s="41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>
      <c r="A250" s="36"/>
      <c r="B250" s="43"/>
      <c r="C250" s="43"/>
      <c r="D250" s="43"/>
      <c r="E250" s="41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>
      <c r="A251" s="36"/>
      <c r="B251" s="43"/>
      <c r="C251" s="43"/>
      <c r="D251" s="43"/>
      <c r="E251" s="41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>
      <c r="A252" s="36"/>
      <c r="B252" s="43"/>
      <c r="C252" s="43"/>
      <c r="D252" s="43"/>
      <c r="E252" s="41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>
      <c r="A253" s="36"/>
      <c r="B253" s="43"/>
      <c r="C253" s="43"/>
      <c r="D253" s="43"/>
      <c r="E253" s="41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>
      <c r="A254" s="36"/>
      <c r="B254" s="43"/>
      <c r="C254" s="43"/>
      <c r="D254" s="43"/>
      <c r="E254" s="41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>
      <c r="A255" s="36"/>
      <c r="B255" s="43"/>
      <c r="C255" s="43"/>
      <c r="D255" s="43"/>
      <c r="E255" s="41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>
      <c r="A256" s="36"/>
      <c r="B256" s="43"/>
      <c r="C256" s="43"/>
      <c r="D256" s="43"/>
      <c r="E256" s="41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>
      <c r="A257" s="36"/>
      <c r="B257" s="43"/>
      <c r="C257" s="43"/>
      <c r="D257" s="43"/>
      <c r="E257" s="41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>
      <c r="A258" s="36"/>
      <c r="B258" s="43"/>
      <c r="C258" s="43"/>
      <c r="D258" s="43"/>
      <c r="E258" s="41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>
      <c r="A259" s="36"/>
      <c r="B259" s="43"/>
      <c r="C259" s="43"/>
      <c r="D259" s="43"/>
      <c r="E259" s="41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>
      <c r="A260" s="36"/>
      <c r="B260" s="43"/>
      <c r="C260" s="43"/>
      <c r="D260" s="43"/>
      <c r="E260" s="41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>
      <c r="A261" s="36"/>
      <c r="B261" s="43"/>
      <c r="C261" s="43"/>
      <c r="D261" s="43"/>
      <c r="E261" s="41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>
      <c r="A262" s="36"/>
      <c r="B262" s="43"/>
      <c r="C262" s="43"/>
      <c r="D262" s="43"/>
      <c r="E262" s="41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>
      <c r="A263" s="36"/>
      <c r="B263" s="43"/>
      <c r="C263" s="43"/>
      <c r="D263" s="43"/>
      <c r="E263" s="41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>
      <c r="A264" s="36"/>
      <c r="B264" s="43"/>
      <c r="C264" s="43"/>
      <c r="D264" s="43"/>
      <c r="E264" s="41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>
      <c r="A265" s="36"/>
      <c r="B265" s="43"/>
      <c r="C265" s="43"/>
      <c r="D265" s="43"/>
      <c r="E265" s="41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>
      <c r="A266" s="36"/>
      <c r="B266" s="43"/>
      <c r="C266" s="43"/>
      <c r="D266" s="43"/>
      <c r="E266" s="41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>
      <c r="A267" s="36"/>
      <c r="B267" s="43"/>
      <c r="C267" s="43"/>
      <c r="D267" s="43"/>
      <c r="E267" s="41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>
      <c r="A268" s="36"/>
      <c r="B268" s="43"/>
      <c r="C268" s="43"/>
      <c r="D268" s="43"/>
      <c r="E268" s="41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>
      <c r="A269" s="36"/>
      <c r="B269" s="43"/>
      <c r="C269" s="43"/>
      <c r="D269" s="43"/>
      <c r="E269" s="41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>
      <c r="A270" s="36"/>
      <c r="B270" s="43"/>
      <c r="C270" s="43"/>
      <c r="D270" s="43"/>
      <c r="E270" s="41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>
      <c r="A271" s="36"/>
      <c r="B271" s="43"/>
      <c r="C271" s="43"/>
      <c r="D271" s="43"/>
      <c r="E271" s="41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>
      <c r="A272" s="36"/>
      <c r="B272" s="43"/>
      <c r="C272" s="43"/>
      <c r="D272" s="43"/>
      <c r="E272" s="41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>
      <c r="A273" s="36"/>
      <c r="B273" s="43"/>
      <c r="C273" s="43"/>
      <c r="D273" s="43"/>
      <c r="E273" s="41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>
      <c r="A274" s="36"/>
      <c r="B274" s="43"/>
      <c r="C274" s="43"/>
      <c r="D274" s="43"/>
      <c r="E274" s="41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>
      <c r="A275" s="36"/>
      <c r="B275" s="43"/>
      <c r="C275" s="43"/>
      <c r="D275" s="43"/>
      <c r="E275" s="41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>
      <c r="A276" s="36"/>
      <c r="B276" s="43"/>
      <c r="C276" s="43"/>
      <c r="D276" s="43"/>
      <c r="E276" s="41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>
      <c r="A277" s="36"/>
      <c r="B277" s="43"/>
      <c r="C277" s="43"/>
      <c r="D277" s="43"/>
      <c r="E277" s="41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>
      <c r="A278" s="36"/>
      <c r="B278" s="43"/>
      <c r="C278" s="43"/>
      <c r="D278" s="43"/>
      <c r="E278" s="41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>
      <c r="A279" s="36"/>
      <c r="B279" s="43"/>
      <c r="C279" s="43"/>
      <c r="D279" s="43"/>
      <c r="E279" s="41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>
      <c r="A280" s="36"/>
      <c r="B280" s="43"/>
      <c r="C280" s="43"/>
      <c r="D280" s="43"/>
      <c r="E280" s="41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>
      <c r="A281" s="36"/>
      <c r="B281" s="43"/>
      <c r="C281" s="43"/>
      <c r="D281" s="43"/>
      <c r="E281" s="41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>
      <c r="A282" s="36"/>
      <c r="B282" s="43"/>
      <c r="C282" s="43"/>
      <c r="D282" s="43"/>
      <c r="E282" s="41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>
      <c r="A283" s="36"/>
      <c r="B283" s="43"/>
      <c r="C283" s="43"/>
      <c r="D283" s="43"/>
      <c r="E283" s="41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>
      <c r="A284" s="36"/>
      <c r="B284" s="43"/>
      <c r="C284" s="43"/>
      <c r="D284" s="43"/>
      <c r="E284" s="41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>
      <c r="A285" s="36"/>
      <c r="B285" s="43"/>
      <c r="C285" s="43"/>
      <c r="D285" s="43"/>
      <c r="E285" s="41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>
      <c r="A286" s="36"/>
      <c r="B286" s="43"/>
      <c r="C286" s="43"/>
      <c r="D286" s="43"/>
      <c r="E286" s="41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>
      <c r="A287" s="36"/>
      <c r="B287" s="43"/>
      <c r="C287" s="43"/>
      <c r="D287" s="43"/>
      <c r="E287" s="41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>
      <c r="A288" s="36"/>
      <c r="B288" s="43"/>
      <c r="C288" s="43"/>
      <c r="D288" s="43"/>
      <c r="E288" s="41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>
      <c r="A289" s="36"/>
      <c r="B289" s="43"/>
      <c r="C289" s="43"/>
      <c r="D289" s="43"/>
      <c r="E289" s="41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>
      <c r="A290" s="36"/>
      <c r="B290" s="43"/>
      <c r="C290" s="43"/>
      <c r="D290" s="43"/>
      <c r="E290" s="41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>
      <c r="A291" s="36"/>
      <c r="B291" s="43"/>
      <c r="C291" s="43"/>
      <c r="D291" s="43"/>
      <c r="E291" s="41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>
      <c r="A292" s="36"/>
      <c r="B292" s="43"/>
      <c r="C292" s="43"/>
      <c r="D292" s="43"/>
      <c r="E292" s="41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>
      <c r="A293" s="36"/>
      <c r="B293" s="43"/>
      <c r="C293" s="43"/>
      <c r="D293" s="43"/>
      <c r="E293" s="41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>
      <c r="A294" s="36"/>
      <c r="B294" s="43"/>
      <c r="C294" s="43"/>
      <c r="D294" s="43"/>
      <c r="E294" s="41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>
      <c r="A295" s="36"/>
      <c r="B295" s="43"/>
      <c r="C295" s="43"/>
      <c r="D295" s="43"/>
      <c r="E295" s="41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>
      <c r="A296" s="36"/>
      <c r="B296" s="43"/>
      <c r="C296" s="43"/>
      <c r="D296" s="43"/>
      <c r="E296" s="41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>
      <c r="A297" s="36"/>
      <c r="B297" s="43"/>
      <c r="C297" s="43"/>
      <c r="D297" s="43"/>
      <c r="E297" s="41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>
      <c r="A298" s="36"/>
      <c r="B298" s="43"/>
      <c r="C298" s="43"/>
      <c r="D298" s="43"/>
      <c r="E298" s="41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>
      <c r="A299" s="36"/>
      <c r="B299" s="43"/>
      <c r="C299" s="43"/>
      <c r="D299" s="43"/>
      <c r="E299" s="41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>
      <c r="A300" s="36"/>
      <c r="B300" s="43"/>
      <c r="C300" s="43"/>
      <c r="D300" s="43"/>
      <c r="E300" s="41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>
      <c r="A301" s="36"/>
      <c r="B301" s="43"/>
      <c r="C301" s="43"/>
      <c r="D301" s="43"/>
      <c r="E301" s="41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>
      <c r="A302" s="36"/>
      <c r="B302" s="43"/>
      <c r="C302" s="43"/>
      <c r="D302" s="43"/>
      <c r="E302" s="41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>
      <c r="A303" s="36"/>
      <c r="B303" s="43"/>
      <c r="C303" s="43"/>
      <c r="D303" s="43"/>
      <c r="E303" s="41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>
      <c r="A304" s="36"/>
      <c r="B304" s="43"/>
      <c r="C304" s="43"/>
      <c r="D304" s="43"/>
      <c r="E304" s="41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>
      <c r="A305" s="36"/>
      <c r="B305" s="43"/>
      <c r="C305" s="43"/>
      <c r="D305" s="43"/>
      <c r="E305" s="41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>
      <c r="A306" s="36"/>
      <c r="B306" s="43"/>
      <c r="C306" s="43"/>
      <c r="D306" s="43"/>
      <c r="E306" s="41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>
      <c r="A307" s="36"/>
      <c r="B307" s="43"/>
      <c r="C307" s="43"/>
      <c r="D307" s="43"/>
      <c r="E307" s="41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>
      <c r="A308" s="36"/>
      <c r="B308" s="43"/>
      <c r="C308" s="43"/>
      <c r="D308" s="43"/>
      <c r="E308" s="41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>
      <c r="A309" s="36"/>
      <c r="B309" s="43"/>
      <c r="C309" s="43"/>
      <c r="D309" s="43"/>
      <c r="E309" s="41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>
      <c r="A310" s="36"/>
      <c r="B310" s="43"/>
      <c r="C310" s="43"/>
      <c r="D310" s="43"/>
      <c r="E310" s="41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>
      <c r="A311" s="36"/>
      <c r="B311" s="43"/>
      <c r="C311" s="43"/>
      <c r="D311" s="43"/>
      <c r="E311" s="41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>
      <c r="A312" s="36"/>
      <c r="B312" s="43"/>
      <c r="C312" s="43"/>
      <c r="D312" s="43"/>
      <c r="E312" s="41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>
      <c r="A313" s="36"/>
      <c r="B313" s="43"/>
      <c r="C313" s="43"/>
      <c r="D313" s="43"/>
      <c r="E313" s="41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>
      <c r="A314" s="36"/>
      <c r="B314" s="43"/>
      <c r="C314" s="43"/>
      <c r="D314" s="43"/>
      <c r="E314" s="41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>
      <c r="A315" s="36"/>
      <c r="B315" s="43"/>
      <c r="C315" s="43"/>
      <c r="D315" s="43"/>
      <c r="E315" s="41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>
      <c r="A316" s="36"/>
      <c r="B316" s="43"/>
      <c r="C316" s="43"/>
      <c r="D316" s="43"/>
      <c r="E316" s="41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>
      <c r="A317" s="36"/>
      <c r="B317" s="43"/>
      <c r="C317" s="43"/>
      <c r="D317" s="43"/>
      <c r="E317" s="41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>
      <c r="A318" s="36"/>
      <c r="B318" s="43"/>
      <c r="C318" s="43"/>
      <c r="D318" s="43"/>
      <c r="E318" s="41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>
      <c r="A319" s="36"/>
      <c r="B319" s="43"/>
      <c r="C319" s="43"/>
      <c r="D319" s="43"/>
      <c r="E319" s="41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>
      <c r="A320" s="36"/>
      <c r="B320" s="43"/>
      <c r="C320" s="43"/>
      <c r="D320" s="43"/>
      <c r="E320" s="41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>
      <c r="A321" s="36"/>
      <c r="B321" s="43"/>
      <c r="C321" s="43"/>
      <c r="D321" s="43"/>
      <c r="E321" s="41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>
      <c r="A322" s="36"/>
      <c r="B322" s="43"/>
      <c r="C322" s="43"/>
      <c r="D322" s="43"/>
      <c r="E322" s="41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>
      <c r="A323" s="36"/>
      <c r="B323" s="43"/>
      <c r="C323" s="43"/>
      <c r="D323" s="43"/>
      <c r="E323" s="41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>
      <c r="A324" s="36"/>
      <c r="B324" s="43"/>
      <c r="C324" s="43"/>
      <c r="D324" s="43"/>
      <c r="E324" s="41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>
      <c r="A325" s="36"/>
      <c r="B325" s="43"/>
      <c r="C325" s="43"/>
      <c r="D325" s="43"/>
      <c r="E325" s="41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>
      <c r="A326" s="36"/>
      <c r="B326" s="43"/>
      <c r="C326" s="43"/>
      <c r="D326" s="43"/>
      <c r="E326" s="41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>
      <c r="A327" s="36"/>
      <c r="B327" s="43"/>
      <c r="C327" s="43"/>
      <c r="D327" s="43"/>
      <c r="E327" s="41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>
      <c r="A328" s="36"/>
      <c r="B328" s="43"/>
      <c r="C328" s="43"/>
      <c r="D328" s="43"/>
      <c r="E328" s="41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>
      <c r="A329" s="36"/>
      <c r="B329" s="43"/>
      <c r="C329" s="43"/>
      <c r="D329" s="43"/>
      <c r="E329" s="41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>
      <c r="A330" s="36"/>
      <c r="B330" s="43"/>
      <c r="C330" s="43"/>
      <c r="D330" s="43"/>
      <c r="E330" s="41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>
      <c r="A331" s="36"/>
      <c r="B331" s="43"/>
      <c r="C331" s="43"/>
      <c r="D331" s="43"/>
      <c r="E331" s="41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>
      <c r="A332" s="36"/>
      <c r="B332" s="43"/>
      <c r="C332" s="43"/>
      <c r="D332" s="43"/>
      <c r="E332" s="41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>
      <c r="A333" s="36"/>
      <c r="B333" s="43"/>
      <c r="C333" s="43"/>
      <c r="D333" s="43"/>
      <c r="E333" s="41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>
      <c r="A334" s="36"/>
      <c r="B334" s="43"/>
      <c r="C334" s="43"/>
      <c r="D334" s="43"/>
      <c r="E334" s="41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>
      <c r="A335" s="36"/>
      <c r="B335" s="43"/>
      <c r="C335" s="43"/>
      <c r="D335" s="43"/>
      <c r="E335" s="41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>
      <c r="A336" s="36"/>
      <c r="B336" s="43"/>
      <c r="C336" s="43"/>
      <c r="D336" s="43"/>
      <c r="E336" s="41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>
      <c r="A337" s="36"/>
      <c r="B337" s="43"/>
      <c r="C337" s="43"/>
      <c r="D337" s="43"/>
      <c r="E337" s="41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>
      <c r="A338" s="36"/>
      <c r="B338" s="43"/>
      <c r="C338" s="43"/>
      <c r="D338" s="43"/>
      <c r="E338" s="41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>
      <c r="A339" s="36"/>
      <c r="B339" s="43"/>
      <c r="C339" s="43"/>
      <c r="D339" s="43"/>
      <c r="E339" s="41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>
      <c r="A340" s="36"/>
      <c r="B340" s="43"/>
      <c r="C340" s="43"/>
      <c r="D340" s="43"/>
      <c r="E340" s="41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>
      <c r="A341" s="36"/>
      <c r="B341" s="43"/>
      <c r="C341" s="43"/>
      <c r="D341" s="43"/>
      <c r="E341" s="41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>
      <c r="A342" s="36"/>
      <c r="B342" s="43"/>
      <c r="C342" s="43"/>
      <c r="D342" s="43"/>
      <c r="E342" s="41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>
      <c r="A343" s="36"/>
      <c r="B343" s="43"/>
      <c r="C343" s="43"/>
      <c r="D343" s="43"/>
      <c r="E343" s="41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>
      <c r="A344" s="36"/>
      <c r="B344" s="43"/>
      <c r="C344" s="43"/>
      <c r="D344" s="43"/>
      <c r="E344" s="41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>
      <c r="A345" s="36"/>
      <c r="B345" s="43"/>
      <c r="C345" s="43"/>
      <c r="D345" s="43"/>
      <c r="E345" s="41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>
      <c r="A346" s="36"/>
      <c r="B346" s="43"/>
      <c r="C346" s="43"/>
      <c r="D346" s="43"/>
      <c r="E346" s="41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>
      <c r="A347" s="36"/>
      <c r="B347" s="43"/>
      <c r="C347" s="43"/>
      <c r="D347" s="43"/>
      <c r="E347" s="41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>
      <c r="A348" s="36"/>
      <c r="B348" s="43"/>
      <c r="C348" s="43"/>
      <c r="D348" s="43"/>
      <c r="E348" s="41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>
      <c r="A349" s="36"/>
      <c r="B349" s="43"/>
      <c r="C349" s="43"/>
      <c r="D349" s="43"/>
      <c r="E349" s="41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>
      <c r="A350" s="36"/>
      <c r="B350" s="43"/>
      <c r="C350" s="43"/>
      <c r="D350" s="43"/>
      <c r="E350" s="41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>
      <c r="A351" s="36"/>
      <c r="B351" s="43"/>
      <c r="C351" s="43"/>
      <c r="D351" s="43"/>
      <c r="E351" s="41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>
      <c r="A352" s="36"/>
      <c r="B352" s="43"/>
      <c r="C352" s="43"/>
      <c r="D352" s="43"/>
      <c r="E352" s="41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>
      <c r="A353" s="36"/>
      <c r="B353" s="43"/>
      <c r="C353" s="43"/>
      <c r="D353" s="43"/>
      <c r="E353" s="41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>
      <c r="A354" s="36"/>
      <c r="B354" s="43"/>
      <c r="C354" s="43"/>
      <c r="D354" s="43"/>
      <c r="E354" s="41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>
      <c r="A355" s="36"/>
      <c r="B355" s="43"/>
      <c r="C355" s="43"/>
      <c r="D355" s="43"/>
      <c r="E355" s="41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>
      <c r="A356" s="36"/>
      <c r="B356" s="43"/>
      <c r="C356" s="43"/>
      <c r="D356" s="43"/>
      <c r="E356" s="41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>
      <c r="A357" s="36"/>
      <c r="B357" s="43"/>
      <c r="C357" s="43"/>
      <c r="D357" s="43"/>
      <c r="E357" s="41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>
      <c r="A358" s="36"/>
      <c r="B358" s="43"/>
      <c r="C358" s="43"/>
      <c r="D358" s="43"/>
      <c r="E358" s="41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>
      <c r="A359" s="36"/>
      <c r="B359" s="43"/>
      <c r="C359" s="43"/>
      <c r="D359" s="43"/>
      <c r="E359" s="41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>
      <c r="A360" s="36"/>
      <c r="B360" s="43"/>
      <c r="C360" s="43"/>
      <c r="D360" s="43"/>
      <c r="E360" s="41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>
      <c r="A361" s="36"/>
      <c r="B361" s="43"/>
      <c r="C361" s="43"/>
      <c r="D361" s="43"/>
      <c r="E361" s="41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>
      <c r="A362" s="36"/>
      <c r="B362" s="43"/>
      <c r="C362" s="43"/>
      <c r="D362" s="43"/>
      <c r="E362" s="41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>
      <c r="A363" s="36"/>
      <c r="B363" s="43"/>
      <c r="C363" s="43"/>
      <c r="D363" s="43"/>
      <c r="E363" s="41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>
      <c r="A364" s="36"/>
      <c r="B364" s="43"/>
      <c r="C364" s="43"/>
      <c r="D364" s="43"/>
      <c r="E364" s="41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>
      <c r="A365" s="36"/>
      <c r="B365" s="43"/>
      <c r="C365" s="43"/>
      <c r="D365" s="43"/>
      <c r="E365" s="41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>
      <c r="A366" s="36"/>
      <c r="B366" s="43"/>
      <c r="C366" s="43"/>
      <c r="D366" s="43"/>
      <c r="E366" s="41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>
      <c r="A367" s="36"/>
      <c r="B367" s="43"/>
      <c r="C367" s="43"/>
      <c r="D367" s="43"/>
      <c r="E367" s="41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>
      <c r="A368" s="36"/>
      <c r="B368" s="43"/>
      <c r="C368" s="43"/>
      <c r="D368" s="43"/>
      <c r="E368" s="41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>
      <c r="A369" s="36"/>
      <c r="B369" s="43"/>
      <c r="C369" s="43"/>
      <c r="D369" s="43"/>
      <c r="E369" s="41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>
      <c r="A370" s="36"/>
      <c r="B370" s="43"/>
      <c r="C370" s="43"/>
      <c r="D370" s="43"/>
      <c r="E370" s="41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>
      <c r="A371" s="36"/>
      <c r="B371" s="43"/>
      <c r="C371" s="43"/>
      <c r="D371" s="43"/>
      <c r="E371" s="41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>
      <c r="A372" s="36"/>
      <c r="B372" s="43"/>
      <c r="C372" s="43"/>
      <c r="D372" s="43"/>
      <c r="E372" s="41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>
      <c r="A373" s="36"/>
      <c r="B373" s="43"/>
      <c r="C373" s="43"/>
      <c r="D373" s="43"/>
      <c r="E373" s="41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>
      <c r="A374" s="36"/>
      <c r="B374" s="43"/>
      <c r="C374" s="43"/>
      <c r="D374" s="43"/>
      <c r="E374" s="41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>
      <c r="A375" s="36"/>
      <c r="B375" s="43"/>
      <c r="C375" s="43"/>
      <c r="D375" s="43"/>
      <c r="E375" s="41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>
      <c r="A376" s="36"/>
      <c r="B376" s="43"/>
      <c r="C376" s="43"/>
      <c r="D376" s="43"/>
      <c r="E376" s="41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>
      <c r="A377" s="36"/>
      <c r="B377" s="43"/>
      <c r="C377" s="43"/>
      <c r="D377" s="43"/>
      <c r="E377" s="41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>
      <c r="A378" s="36"/>
      <c r="B378" s="43"/>
      <c r="C378" s="43"/>
      <c r="D378" s="43"/>
      <c r="E378" s="41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>
      <c r="A379" s="36"/>
      <c r="B379" s="43"/>
      <c r="C379" s="43"/>
      <c r="D379" s="43"/>
      <c r="E379" s="41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>
      <c r="A380" s="36"/>
      <c r="B380" s="43"/>
      <c r="C380" s="43"/>
      <c r="D380" s="43"/>
      <c r="E380" s="41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>
      <c r="A381" s="36"/>
      <c r="B381" s="43"/>
      <c r="C381" s="43"/>
      <c r="D381" s="43"/>
      <c r="E381" s="41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>
      <c r="A382" s="36"/>
      <c r="B382" s="43"/>
      <c r="C382" s="43"/>
      <c r="D382" s="43"/>
      <c r="E382" s="41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>
      <c r="A383" s="36"/>
      <c r="B383" s="43"/>
      <c r="C383" s="43"/>
      <c r="D383" s="43"/>
      <c r="E383" s="41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>
      <c r="A384" s="36"/>
      <c r="B384" s="43"/>
      <c r="C384" s="43"/>
      <c r="D384" s="43"/>
      <c r="E384" s="41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>
      <c r="A385" s="36"/>
      <c r="B385" s="43"/>
      <c r="C385" s="43"/>
      <c r="D385" s="43"/>
      <c r="E385" s="41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>
      <c r="A386" s="36"/>
      <c r="B386" s="43"/>
      <c r="C386" s="43"/>
      <c r="D386" s="43"/>
      <c r="E386" s="41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>
      <c r="A387" s="36"/>
      <c r="B387" s="43"/>
      <c r="C387" s="43"/>
      <c r="D387" s="43"/>
      <c r="E387" s="41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>
      <c r="A388" s="36"/>
      <c r="B388" s="43"/>
      <c r="C388" s="43"/>
      <c r="D388" s="43"/>
      <c r="E388" s="41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>
      <c r="A389" s="36"/>
      <c r="B389" s="43"/>
      <c r="C389" s="43"/>
      <c r="D389" s="43"/>
      <c r="E389" s="41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>
      <c r="A390" s="36"/>
      <c r="B390" s="43"/>
      <c r="C390" s="43"/>
      <c r="D390" s="43"/>
      <c r="E390" s="41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>
      <c r="A391" s="36"/>
      <c r="B391" s="43"/>
      <c r="C391" s="43"/>
      <c r="D391" s="43"/>
      <c r="E391" s="41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>
      <c r="A392" s="36"/>
      <c r="B392" s="43"/>
      <c r="C392" s="43"/>
      <c r="D392" s="43"/>
      <c r="E392" s="41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>
      <c r="A393" s="36"/>
      <c r="B393" s="43"/>
      <c r="C393" s="43"/>
      <c r="D393" s="43"/>
      <c r="E393" s="41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>
      <c r="A394" s="36"/>
      <c r="B394" s="43"/>
      <c r="C394" s="43"/>
      <c r="D394" s="43"/>
      <c r="E394" s="41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>
      <c r="A395" s="36"/>
      <c r="B395" s="43"/>
      <c r="C395" s="43"/>
      <c r="D395" s="43"/>
      <c r="E395" s="41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>
      <c r="A396" s="36"/>
      <c r="B396" s="43"/>
      <c r="C396" s="43"/>
      <c r="D396" s="43"/>
      <c r="E396" s="41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>
      <c r="A397" s="36"/>
      <c r="B397" s="43"/>
      <c r="C397" s="43"/>
      <c r="D397" s="43"/>
      <c r="E397" s="41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>
      <c r="A398" s="36"/>
      <c r="B398" s="43"/>
      <c r="C398" s="43"/>
      <c r="D398" s="43"/>
      <c r="E398" s="41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>
      <c r="A399" s="36"/>
      <c r="B399" s="43"/>
      <c r="C399" s="43"/>
      <c r="D399" s="43"/>
      <c r="E399" s="41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>
      <c r="A400" s="36"/>
      <c r="B400" s="43"/>
      <c r="C400" s="43"/>
      <c r="D400" s="43"/>
      <c r="E400" s="41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>
      <c r="A401" s="36"/>
      <c r="B401" s="43"/>
      <c r="C401" s="43"/>
      <c r="D401" s="43"/>
      <c r="E401" s="41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>
      <c r="A402" s="36"/>
      <c r="B402" s="43"/>
      <c r="C402" s="43"/>
      <c r="D402" s="43"/>
      <c r="E402" s="41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>
      <c r="A403" s="36"/>
      <c r="B403" s="43"/>
      <c r="C403" s="43"/>
      <c r="D403" s="43"/>
      <c r="E403" s="41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>
      <c r="A404" s="36"/>
      <c r="B404" s="43"/>
      <c r="C404" s="43"/>
      <c r="D404" s="43"/>
      <c r="E404" s="41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>
      <c r="A405" s="36"/>
      <c r="B405" s="43"/>
      <c r="C405" s="43"/>
      <c r="D405" s="43"/>
      <c r="E405" s="41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>
      <c r="A406" s="36"/>
      <c r="B406" s="43"/>
      <c r="C406" s="43"/>
      <c r="D406" s="43"/>
      <c r="E406" s="41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>
      <c r="A407" s="36"/>
      <c r="B407" s="43"/>
      <c r="C407" s="43"/>
      <c r="D407" s="43"/>
      <c r="E407" s="41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>
      <c r="A408" s="36"/>
      <c r="B408" s="43"/>
      <c r="C408" s="43"/>
      <c r="D408" s="43"/>
      <c r="E408" s="41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>
      <c r="A409" s="36"/>
      <c r="B409" s="43"/>
      <c r="C409" s="43"/>
      <c r="D409" s="43"/>
      <c r="E409" s="41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>
      <c r="A410" s="36"/>
      <c r="B410" s="43"/>
      <c r="C410" s="43"/>
      <c r="D410" s="43"/>
      <c r="E410" s="41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>
      <c r="A411" s="36"/>
      <c r="B411" s="43"/>
      <c r="C411" s="43"/>
      <c r="D411" s="43"/>
      <c r="E411" s="41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>
      <c r="A412" s="36"/>
      <c r="B412" s="43"/>
      <c r="C412" s="43"/>
      <c r="D412" s="43"/>
      <c r="E412" s="41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>
      <c r="A413" s="36"/>
      <c r="B413" s="43"/>
      <c r="C413" s="43"/>
      <c r="D413" s="43"/>
      <c r="E413" s="41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>
      <c r="A414" s="36"/>
      <c r="B414" s="43"/>
      <c r="C414" s="43"/>
      <c r="D414" s="43"/>
      <c r="E414" s="41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>
      <c r="A415" s="36"/>
      <c r="B415" s="43"/>
      <c r="C415" s="43"/>
      <c r="D415" s="43"/>
      <c r="E415" s="41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>
      <c r="A416" s="36"/>
      <c r="B416" s="43"/>
      <c r="C416" s="43"/>
      <c r="D416" s="43"/>
      <c r="E416" s="41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>
      <c r="A417" s="36"/>
      <c r="B417" s="43"/>
      <c r="C417" s="43"/>
      <c r="D417" s="43"/>
      <c r="E417" s="41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>
      <c r="A418" s="36"/>
      <c r="B418" s="43"/>
      <c r="C418" s="43"/>
      <c r="D418" s="43"/>
      <c r="E418" s="41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>
      <c r="A419" s="36"/>
      <c r="B419" s="43"/>
      <c r="C419" s="43"/>
      <c r="D419" s="43"/>
      <c r="E419" s="41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>
      <c r="A420" s="36"/>
      <c r="B420" s="43"/>
      <c r="C420" s="43"/>
      <c r="D420" s="43"/>
      <c r="E420" s="41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>
      <c r="A421" s="36"/>
      <c r="B421" s="43"/>
      <c r="C421" s="43"/>
      <c r="D421" s="43"/>
      <c r="E421" s="41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>
      <c r="A422" s="36"/>
      <c r="B422" s="43"/>
      <c r="C422" s="43"/>
      <c r="D422" s="43"/>
      <c r="E422" s="41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>
      <c r="A423" s="36"/>
      <c r="B423" s="43"/>
      <c r="C423" s="43"/>
      <c r="D423" s="43"/>
      <c r="E423" s="41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>
      <c r="A424" s="36"/>
      <c r="B424" s="43"/>
      <c r="C424" s="43"/>
      <c r="D424" s="43"/>
      <c r="E424" s="41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>
      <c r="A425" s="36"/>
      <c r="B425" s="43"/>
      <c r="C425" s="43"/>
      <c r="D425" s="43"/>
      <c r="E425" s="41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>
      <c r="A426" s="36"/>
      <c r="B426" s="43"/>
      <c r="C426" s="43"/>
      <c r="D426" s="43"/>
      <c r="E426" s="41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>
      <c r="A427" s="36"/>
      <c r="B427" s="43"/>
      <c r="C427" s="43"/>
      <c r="D427" s="43"/>
      <c r="E427" s="41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>
      <c r="A428" s="36"/>
      <c r="B428" s="43"/>
      <c r="C428" s="43"/>
      <c r="D428" s="43"/>
      <c r="E428" s="41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>
      <c r="A429" s="36"/>
      <c r="B429" s="43"/>
      <c r="C429" s="43"/>
      <c r="D429" s="43"/>
      <c r="E429" s="41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>
      <c r="A430" s="36"/>
      <c r="B430" s="43"/>
      <c r="C430" s="43"/>
      <c r="D430" s="43"/>
      <c r="E430" s="41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>
      <c r="A431" s="36"/>
      <c r="B431" s="43"/>
      <c r="C431" s="43"/>
      <c r="D431" s="43"/>
      <c r="E431" s="41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>
      <c r="A432" s="36"/>
      <c r="B432" s="43"/>
      <c r="C432" s="43"/>
      <c r="D432" s="43"/>
      <c r="E432" s="41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>
      <c r="A433" s="36"/>
      <c r="B433" s="43"/>
      <c r="C433" s="43"/>
      <c r="D433" s="43"/>
      <c r="E433" s="41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>
      <c r="A434" s="36"/>
      <c r="B434" s="43"/>
      <c r="C434" s="43"/>
      <c r="D434" s="43"/>
      <c r="E434" s="41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>
      <c r="A435" s="36"/>
      <c r="B435" s="43"/>
      <c r="C435" s="43"/>
      <c r="D435" s="43"/>
      <c r="E435" s="41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>
      <c r="A436" s="36"/>
      <c r="B436" s="43"/>
      <c r="C436" s="43"/>
      <c r="D436" s="43"/>
      <c r="E436" s="41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>
      <c r="A437" s="36"/>
      <c r="B437" s="43"/>
      <c r="C437" s="43"/>
      <c r="D437" s="43"/>
      <c r="E437" s="41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>
      <c r="A438" s="36"/>
      <c r="B438" s="43"/>
      <c r="C438" s="43"/>
      <c r="D438" s="43"/>
      <c r="E438" s="41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>
      <c r="A439" s="36"/>
      <c r="B439" s="43"/>
      <c r="C439" s="43"/>
      <c r="D439" s="43"/>
      <c r="E439" s="41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>
      <c r="A440" s="36"/>
      <c r="B440" s="43"/>
      <c r="C440" s="43"/>
      <c r="D440" s="43"/>
      <c r="E440" s="41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>
      <c r="A441" s="36"/>
      <c r="B441" s="43"/>
      <c r="C441" s="43"/>
      <c r="D441" s="43"/>
      <c r="E441" s="41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>
      <c r="A442" s="36"/>
      <c r="B442" s="43"/>
      <c r="C442" s="43"/>
      <c r="D442" s="43"/>
      <c r="E442" s="41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>
      <c r="A443" s="36"/>
      <c r="B443" s="43"/>
      <c r="C443" s="43"/>
      <c r="D443" s="43"/>
      <c r="E443" s="41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>
      <c r="A444" s="36"/>
      <c r="B444" s="43"/>
      <c r="C444" s="43"/>
      <c r="D444" s="43"/>
      <c r="E444" s="41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>
      <c r="A445" s="36"/>
      <c r="B445" s="43"/>
      <c r="C445" s="43"/>
      <c r="D445" s="43"/>
      <c r="E445" s="41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>
      <c r="A446" s="36"/>
      <c r="B446" s="43"/>
      <c r="C446" s="43"/>
      <c r="D446" s="43"/>
      <c r="E446" s="41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>
      <c r="A447" s="36"/>
      <c r="B447" s="43"/>
      <c r="C447" s="43"/>
      <c r="D447" s="43"/>
      <c r="E447" s="41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>
      <c r="A448" s="36"/>
      <c r="B448" s="43"/>
      <c r="C448" s="43"/>
      <c r="D448" s="43"/>
      <c r="E448" s="41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>
      <c r="A449" s="36"/>
      <c r="B449" s="43"/>
      <c r="C449" s="43"/>
      <c r="D449" s="43"/>
      <c r="E449" s="41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>
      <c r="A450" s="36"/>
      <c r="B450" s="43"/>
      <c r="C450" s="43"/>
      <c r="D450" s="43"/>
      <c r="E450" s="41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>
      <c r="A451" s="36"/>
      <c r="B451" s="43"/>
      <c r="C451" s="43"/>
      <c r="D451" s="43"/>
      <c r="E451" s="41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>
      <c r="A452" s="36"/>
      <c r="B452" s="43"/>
      <c r="C452" s="43"/>
      <c r="D452" s="43"/>
      <c r="E452" s="41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>
      <c r="A453" s="36"/>
      <c r="B453" s="43"/>
      <c r="C453" s="43"/>
      <c r="D453" s="43"/>
      <c r="E453" s="41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>
      <c r="A454" s="36"/>
      <c r="B454" s="43"/>
      <c r="C454" s="43"/>
      <c r="D454" s="43"/>
      <c r="E454" s="41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>
      <c r="A455" s="36"/>
      <c r="B455" s="43"/>
      <c r="C455" s="43"/>
      <c r="D455" s="43"/>
      <c r="E455" s="41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>
      <c r="A456" s="36"/>
      <c r="B456" s="43"/>
      <c r="C456" s="43"/>
      <c r="D456" s="43"/>
      <c r="E456" s="41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>
      <c r="A457" s="36"/>
      <c r="B457" s="43"/>
      <c r="C457" s="43"/>
      <c r="D457" s="43"/>
      <c r="E457" s="41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>
      <c r="A458" s="36"/>
      <c r="B458" s="43"/>
      <c r="C458" s="43"/>
      <c r="D458" s="43"/>
      <c r="E458" s="41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>
      <c r="A459" s="36"/>
      <c r="B459" s="43"/>
      <c r="C459" s="43"/>
      <c r="D459" s="43"/>
      <c r="E459" s="41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>
      <c r="A460" s="36"/>
      <c r="B460" s="43"/>
      <c r="C460" s="43"/>
      <c r="D460" s="43"/>
      <c r="E460" s="41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>
      <c r="A461" s="36"/>
      <c r="B461" s="43"/>
      <c r="C461" s="43"/>
      <c r="D461" s="43"/>
      <c r="E461" s="41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>
      <c r="A462" s="36"/>
      <c r="B462" s="43"/>
      <c r="C462" s="43"/>
      <c r="D462" s="43"/>
      <c r="E462" s="41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>
      <c r="A463" s="36"/>
      <c r="B463" s="43"/>
      <c r="C463" s="43"/>
      <c r="D463" s="43"/>
      <c r="E463" s="41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>
      <c r="A464" s="36"/>
      <c r="B464" s="43"/>
      <c r="C464" s="43"/>
      <c r="D464" s="43"/>
      <c r="E464" s="41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>
      <c r="A465" s="36"/>
      <c r="B465" s="43"/>
      <c r="C465" s="43"/>
      <c r="D465" s="43"/>
      <c r="E465" s="41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>
      <c r="A466" s="36"/>
      <c r="B466" s="43"/>
      <c r="C466" s="43"/>
      <c r="D466" s="43"/>
      <c r="E466" s="41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>
      <c r="A467" s="36"/>
      <c r="B467" s="43"/>
      <c r="C467" s="43"/>
      <c r="D467" s="43"/>
      <c r="E467" s="41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>
      <c r="A468" s="36"/>
      <c r="B468" s="43"/>
      <c r="C468" s="43"/>
      <c r="D468" s="43"/>
      <c r="E468" s="41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>
      <c r="A469" s="36"/>
      <c r="B469" s="43"/>
      <c r="C469" s="43"/>
      <c r="D469" s="43"/>
      <c r="E469" s="41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>
      <c r="A470" s="36"/>
      <c r="B470" s="43"/>
      <c r="C470" s="43"/>
      <c r="D470" s="43"/>
      <c r="E470" s="41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>
      <c r="A471" s="36"/>
      <c r="B471" s="43"/>
      <c r="C471" s="43"/>
      <c r="D471" s="43"/>
      <c r="E471" s="41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>
      <c r="A472" s="36"/>
      <c r="B472" s="43"/>
      <c r="C472" s="43"/>
      <c r="D472" s="43"/>
      <c r="E472" s="41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>
      <c r="A473" s="36"/>
      <c r="B473" s="43"/>
      <c r="C473" s="43"/>
      <c r="D473" s="43"/>
      <c r="E473" s="41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>
      <c r="A474" s="36"/>
      <c r="B474" s="43"/>
      <c r="C474" s="43"/>
      <c r="D474" s="43"/>
      <c r="E474" s="41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>
      <c r="A475" s="36"/>
      <c r="B475" s="43"/>
      <c r="C475" s="43"/>
      <c r="D475" s="43"/>
      <c r="E475" s="41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>
      <c r="A476" s="36"/>
      <c r="B476" s="43"/>
      <c r="C476" s="43"/>
      <c r="D476" s="43"/>
      <c r="E476" s="41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>
      <c r="A477" s="36"/>
      <c r="B477" s="43"/>
      <c r="C477" s="43"/>
      <c r="D477" s="43"/>
      <c r="E477" s="41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>
      <c r="A478" s="36"/>
      <c r="B478" s="43"/>
      <c r="C478" s="43"/>
      <c r="D478" s="43"/>
      <c r="E478" s="41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>
      <c r="A479" s="36"/>
      <c r="B479" s="43"/>
      <c r="C479" s="43"/>
      <c r="D479" s="43"/>
      <c r="E479" s="41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>
      <c r="A480" s="36"/>
      <c r="B480" s="43"/>
      <c r="C480" s="43"/>
      <c r="D480" s="43"/>
      <c r="E480" s="41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>
      <c r="A481" s="36"/>
      <c r="B481" s="43"/>
      <c r="C481" s="43"/>
      <c r="D481" s="43"/>
      <c r="E481" s="41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>
      <c r="A482" s="36"/>
      <c r="B482" s="43"/>
      <c r="C482" s="43"/>
      <c r="D482" s="43"/>
      <c r="E482" s="41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>
      <c r="A483" s="36"/>
      <c r="B483" s="43"/>
      <c r="C483" s="43"/>
      <c r="D483" s="43"/>
      <c r="E483" s="41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>
      <c r="A484" s="36"/>
      <c r="B484" s="43"/>
      <c r="C484" s="43"/>
      <c r="D484" s="43"/>
      <c r="E484" s="41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>
      <c r="A485" s="36"/>
      <c r="B485" s="43"/>
      <c r="C485" s="43"/>
      <c r="D485" s="43"/>
      <c r="E485" s="41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>
      <c r="A486" s="36"/>
      <c r="B486" s="43"/>
      <c r="C486" s="43"/>
      <c r="D486" s="43"/>
      <c r="E486" s="41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>
      <c r="A487" s="36"/>
      <c r="B487" s="43"/>
      <c r="C487" s="43"/>
      <c r="D487" s="43"/>
      <c r="E487" s="41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>
      <c r="A488" s="36"/>
      <c r="B488" s="43"/>
      <c r="C488" s="43"/>
      <c r="D488" s="43"/>
      <c r="E488" s="41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>
      <c r="A489" s="36"/>
      <c r="B489" s="43"/>
      <c r="C489" s="43"/>
      <c r="D489" s="43"/>
      <c r="E489" s="41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>
      <c r="A490" s="36"/>
      <c r="B490" s="43"/>
      <c r="C490" s="43"/>
      <c r="D490" s="43"/>
      <c r="E490" s="41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>
      <c r="A491" s="36"/>
      <c r="B491" s="43"/>
      <c r="C491" s="43"/>
      <c r="D491" s="43"/>
      <c r="E491" s="41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>
      <c r="A492" s="36"/>
      <c r="B492" s="43"/>
      <c r="C492" s="43"/>
      <c r="D492" s="43"/>
      <c r="E492" s="41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>
      <c r="A493" s="36"/>
      <c r="B493" s="43"/>
      <c r="C493" s="43"/>
      <c r="D493" s="43"/>
      <c r="E493" s="41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>
      <c r="A494" s="36"/>
      <c r="B494" s="43"/>
      <c r="C494" s="43"/>
      <c r="D494" s="43"/>
      <c r="E494" s="41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>
      <c r="A495" s="36"/>
      <c r="B495" s="43"/>
      <c r="C495" s="43"/>
      <c r="D495" s="43"/>
      <c r="E495" s="41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>
      <c r="A496" s="36"/>
      <c r="B496" s="43"/>
      <c r="C496" s="43"/>
      <c r="D496" s="43"/>
      <c r="E496" s="41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>
      <c r="A497" s="36"/>
      <c r="B497" s="43"/>
      <c r="C497" s="43"/>
      <c r="D497" s="43"/>
      <c r="E497" s="41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>
      <c r="A498" s="36"/>
      <c r="B498" s="43"/>
      <c r="C498" s="43"/>
      <c r="D498" s="43"/>
      <c r="E498" s="41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>
      <c r="A499" s="36"/>
      <c r="B499" s="43"/>
      <c r="C499" s="43"/>
      <c r="D499" s="43"/>
      <c r="E499" s="41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>
      <c r="A500" s="36"/>
      <c r="B500" s="43"/>
      <c r="C500" s="43"/>
      <c r="D500" s="43"/>
      <c r="E500" s="41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>
      <c r="A501" s="36"/>
      <c r="B501" s="43"/>
      <c r="C501" s="43"/>
      <c r="D501" s="43"/>
      <c r="E501" s="41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>
      <c r="A502" s="36"/>
      <c r="B502" s="43"/>
      <c r="C502" s="43"/>
      <c r="D502" s="43"/>
      <c r="E502" s="41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>
      <c r="A503" s="36"/>
      <c r="B503" s="43"/>
      <c r="C503" s="43"/>
      <c r="D503" s="43"/>
      <c r="E503" s="41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>
      <c r="A504" s="36"/>
      <c r="B504" s="43"/>
      <c r="C504" s="43"/>
      <c r="D504" s="43"/>
      <c r="E504" s="41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>
      <c r="A505" s="36"/>
      <c r="B505" s="43"/>
      <c r="C505" s="43"/>
      <c r="D505" s="43"/>
      <c r="E505" s="41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>
      <c r="A506" s="36"/>
      <c r="B506" s="43"/>
      <c r="C506" s="43"/>
      <c r="D506" s="43"/>
      <c r="E506" s="41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>
      <c r="A507" s="36"/>
      <c r="B507" s="43"/>
      <c r="C507" s="43"/>
      <c r="D507" s="43"/>
      <c r="E507" s="41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>
      <c r="A508" s="36"/>
      <c r="B508" s="43"/>
      <c r="C508" s="43"/>
      <c r="D508" s="43"/>
      <c r="E508" s="41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>
      <c r="A509" s="36"/>
      <c r="B509" s="43"/>
      <c r="C509" s="43"/>
      <c r="D509" s="43"/>
      <c r="E509" s="41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>
      <c r="A510" s="36"/>
      <c r="B510" s="43"/>
      <c r="C510" s="43"/>
      <c r="D510" s="43"/>
      <c r="E510" s="41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>
      <c r="A511" s="36"/>
      <c r="B511" s="43"/>
      <c r="C511" s="43"/>
      <c r="D511" s="43"/>
      <c r="E511" s="41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>
      <c r="A512" s="36"/>
      <c r="B512" s="43"/>
      <c r="C512" s="43"/>
      <c r="D512" s="43"/>
      <c r="E512" s="41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>
      <c r="A513" s="36"/>
      <c r="B513" s="43"/>
      <c r="C513" s="43"/>
      <c r="D513" s="43"/>
      <c r="E513" s="41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>
      <c r="A514" s="36"/>
      <c r="B514" s="43"/>
      <c r="C514" s="43"/>
      <c r="D514" s="43"/>
      <c r="E514" s="41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>
      <c r="A515" s="36"/>
      <c r="B515" s="43"/>
      <c r="C515" s="43"/>
      <c r="D515" s="43"/>
      <c r="E515" s="41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>
      <c r="A516" s="36"/>
      <c r="B516" s="43"/>
      <c r="C516" s="43"/>
      <c r="D516" s="43"/>
      <c r="E516" s="41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>
      <c r="A517" s="36"/>
      <c r="B517" s="43"/>
      <c r="C517" s="43"/>
      <c r="D517" s="43"/>
      <c r="E517" s="41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>
      <c r="A518" s="36"/>
      <c r="B518" s="43"/>
      <c r="C518" s="43"/>
      <c r="D518" s="43"/>
      <c r="E518" s="41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>
      <c r="A519" s="36"/>
      <c r="B519" s="43"/>
      <c r="C519" s="43"/>
      <c r="D519" s="43"/>
      <c r="E519" s="41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>
      <c r="A520" s="36"/>
      <c r="B520" s="43"/>
      <c r="C520" s="43"/>
      <c r="D520" s="43"/>
      <c r="E520" s="41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>
      <c r="A521" s="36"/>
      <c r="B521" s="43"/>
      <c r="C521" s="43"/>
      <c r="D521" s="43"/>
      <c r="E521" s="41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>
      <c r="A522" s="36"/>
      <c r="B522" s="43"/>
      <c r="C522" s="43"/>
      <c r="D522" s="43"/>
      <c r="E522" s="41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>
      <c r="A523" s="36"/>
      <c r="B523" s="43"/>
      <c r="C523" s="43"/>
      <c r="D523" s="43"/>
      <c r="E523" s="41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>
      <c r="A524" s="36"/>
      <c r="B524" s="43"/>
      <c r="C524" s="43"/>
      <c r="D524" s="43"/>
      <c r="E524" s="41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>
      <c r="A525" s="36"/>
      <c r="B525" s="43"/>
      <c r="C525" s="43"/>
      <c r="D525" s="43"/>
      <c r="E525" s="41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>
      <c r="A526" s="36"/>
      <c r="B526" s="43"/>
      <c r="C526" s="43"/>
      <c r="D526" s="43"/>
      <c r="E526" s="41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>
      <c r="A527" s="36"/>
      <c r="B527" s="43"/>
      <c r="C527" s="43"/>
      <c r="D527" s="43"/>
      <c r="E527" s="41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>
      <c r="A528" s="36"/>
      <c r="B528" s="43"/>
      <c r="C528" s="43"/>
      <c r="D528" s="43"/>
      <c r="E528" s="41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>
      <c r="A529" s="36"/>
      <c r="B529" s="43"/>
      <c r="C529" s="43"/>
      <c r="D529" s="43"/>
      <c r="E529" s="41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>
      <c r="A530" s="36"/>
      <c r="B530" s="43"/>
      <c r="C530" s="43"/>
      <c r="D530" s="43"/>
      <c r="E530" s="41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>
      <c r="A531" s="36"/>
      <c r="B531" s="43"/>
      <c r="C531" s="43"/>
      <c r="D531" s="43"/>
      <c r="E531" s="41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>
      <c r="A532" s="36"/>
      <c r="B532" s="43"/>
      <c r="C532" s="43"/>
      <c r="D532" s="43"/>
      <c r="E532" s="41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>
      <c r="A533" s="36"/>
      <c r="B533" s="43"/>
      <c r="C533" s="43"/>
      <c r="D533" s="43"/>
      <c r="E533" s="41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>
      <c r="A534" s="36"/>
      <c r="B534" s="43"/>
      <c r="C534" s="43"/>
      <c r="D534" s="43"/>
      <c r="E534" s="41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>
      <c r="A535" s="36"/>
      <c r="B535" s="43"/>
      <c r="C535" s="43"/>
      <c r="D535" s="43"/>
      <c r="E535" s="41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>
      <c r="A536" s="36"/>
      <c r="B536" s="43"/>
      <c r="C536" s="43"/>
      <c r="D536" s="43"/>
      <c r="E536" s="41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>
      <c r="A537" s="36"/>
      <c r="B537" s="43"/>
      <c r="C537" s="43"/>
      <c r="D537" s="43"/>
      <c r="E537" s="41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>
      <c r="A538" s="36"/>
      <c r="B538" s="43"/>
      <c r="C538" s="43"/>
      <c r="D538" s="43"/>
      <c r="E538" s="41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>
      <c r="A539" s="36"/>
      <c r="B539" s="43"/>
      <c r="C539" s="43"/>
      <c r="D539" s="43"/>
      <c r="E539" s="41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>
      <c r="A540" s="36"/>
      <c r="B540" s="43"/>
      <c r="C540" s="43"/>
      <c r="D540" s="43"/>
      <c r="E540" s="41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>
      <c r="A541" s="36"/>
      <c r="B541" s="43"/>
      <c r="C541" s="43"/>
      <c r="D541" s="43"/>
      <c r="E541" s="41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>
      <c r="A542" s="36"/>
      <c r="B542" s="43"/>
      <c r="C542" s="43"/>
      <c r="D542" s="43"/>
      <c r="E542" s="41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>
      <c r="A543" s="36"/>
      <c r="B543" s="43"/>
      <c r="C543" s="43"/>
      <c r="D543" s="43"/>
      <c r="E543" s="41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>
      <c r="A544" s="36"/>
      <c r="B544" s="43"/>
      <c r="C544" s="43"/>
      <c r="D544" s="43"/>
      <c r="E544" s="41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>
      <c r="A545" s="36"/>
      <c r="B545" s="43"/>
      <c r="C545" s="43"/>
      <c r="D545" s="43"/>
      <c r="E545" s="41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>
      <c r="A546" s="36"/>
      <c r="B546" s="43"/>
      <c r="C546" s="43"/>
      <c r="D546" s="43"/>
      <c r="E546" s="41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>
      <c r="A547" s="36"/>
      <c r="B547" s="43"/>
      <c r="C547" s="43"/>
      <c r="D547" s="43"/>
      <c r="E547" s="41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>
      <c r="A548" s="36"/>
      <c r="B548" s="43"/>
      <c r="C548" s="43"/>
      <c r="D548" s="43"/>
      <c r="E548" s="41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>
      <c r="A549" s="36"/>
      <c r="B549" s="43"/>
      <c r="C549" s="43"/>
      <c r="D549" s="43"/>
      <c r="E549" s="41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>
      <c r="A550" s="36"/>
      <c r="B550" s="43"/>
      <c r="C550" s="43"/>
      <c r="D550" s="43"/>
      <c r="E550" s="41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>
      <c r="A551" s="36"/>
      <c r="B551" s="43"/>
      <c r="C551" s="43"/>
      <c r="D551" s="43"/>
      <c r="E551" s="41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>
      <c r="A552" s="36"/>
      <c r="B552" s="43"/>
      <c r="C552" s="43"/>
      <c r="D552" s="43"/>
      <c r="E552" s="41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>
      <c r="A553" s="36"/>
      <c r="B553" s="43"/>
      <c r="C553" s="43"/>
      <c r="D553" s="43"/>
      <c r="E553" s="41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>
      <c r="A554" s="36"/>
      <c r="B554" s="43"/>
      <c r="C554" s="43"/>
      <c r="D554" s="43"/>
      <c r="E554" s="41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>
      <c r="A555" s="36"/>
      <c r="B555" s="43"/>
      <c r="C555" s="43"/>
      <c r="D555" s="43"/>
      <c r="E555" s="41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>
      <c r="A556" s="36"/>
      <c r="B556" s="43"/>
      <c r="C556" s="43"/>
      <c r="D556" s="43"/>
      <c r="E556" s="41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>
      <c r="A557" s="36"/>
      <c r="B557" s="43"/>
      <c r="C557" s="43"/>
      <c r="D557" s="43"/>
      <c r="E557" s="41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>
      <c r="A558" s="36"/>
      <c r="B558" s="43"/>
      <c r="C558" s="43"/>
      <c r="D558" s="43"/>
      <c r="E558" s="41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>
      <c r="A559" s="36"/>
      <c r="B559" s="43"/>
      <c r="C559" s="43"/>
      <c r="D559" s="43"/>
      <c r="E559" s="41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>
      <c r="A560" s="36"/>
      <c r="B560" s="43"/>
      <c r="C560" s="43"/>
      <c r="D560" s="43"/>
      <c r="E560" s="41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>
      <c r="A561" s="36"/>
      <c r="B561" s="43"/>
      <c r="C561" s="43"/>
      <c r="D561" s="43"/>
      <c r="E561" s="41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>
      <c r="A562" s="36"/>
      <c r="B562" s="43"/>
      <c r="C562" s="43"/>
      <c r="D562" s="43"/>
      <c r="E562" s="41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>
      <c r="A563" s="36"/>
      <c r="B563" s="43"/>
      <c r="C563" s="43"/>
      <c r="D563" s="43"/>
      <c r="E563" s="41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>
      <c r="A564" s="36"/>
      <c r="B564" s="43"/>
      <c r="C564" s="43"/>
      <c r="D564" s="43"/>
      <c r="E564" s="41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>
      <c r="A565" s="36"/>
      <c r="B565" s="43"/>
      <c r="C565" s="43"/>
      <c r="D565" s="43"/>
      <c r="E565" s="41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>
      <c r="A566" s="36"/>
      <c r="B566" s="43"/>
      <c r="C566" s="43"/>
      <c r="D566" s="43"/>
      <c r="E566" s="41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>
      <c r="A567" s="36"/>
      <c r="B567" s="43"/>
      <c r="C567" s="43"/>
      <c r="D567" s="43"/>
      <c r="E567" s="41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>
      <c r="A568" s="36"/>
      <c r="B568" s="43"/>
      <c r="C568" s="43"/>
      <c r="D568" s="43"/>
      <c r="E568" s="41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>
      <c r="A569" s="36"/>
      <c r="B569" s="43"/>
      <c r="C569" s="43"/>
      <c r="D569" s="43"/>
      <c r="E569" s="41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>
      <c r="A570" s="36"/>
      <c r="B570" s="43"/>
      <c r="C570" s="43"/>
      <c r="D570" s="43"/>
      <c r="E570" s="41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>
      <c r="A571" s="36"/>
      <c r="B571" s="43"/>
      <c r="C571" s="43"/>
      <c r="D571" s="43"/>
      <c r="E571" s="41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>
      <c r="A572" s="36"/>
      <c r="B572" s="43"/>
      <c r="C572" s="43"/>
      <c r="D572" s="43"/>
      <c r="E572" s="41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>
      <c r="A573" s="36"/>
      <c r="B573" s="43"/>
      <c r="C573" s="43"/>
      <c r="D573" s="43"/>
      <c r="E573" s="41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>
      <c r="A574" s="36"/>
      <c r="B574" s="43"/>
      <c r="C574" s="43"/>
      <c r="D574" s="43"/>
      <c r="E574" s="41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>
      <c r="A575" s="36"/>
      <c r="B575" s="43"/>
      <c r="C575" s="43"/>
      <c r="D575" s="43"/>
      <c r="E575" s="41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>
      <c r="A576" s="36"/>
      <c r="B576" s="43"/>
      <c r="C576" s="43"/>
      <c r="D576" s="43"/>
      <c r="E576" s="41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>
      <c r="A577" s="36"/>
      <c r="B577" s="43"/>
      <c r="C577" s="43"/>
      <c r="D577" s="43"/>
      <c r="E577" s="41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>
      <c r="A578" s="36"/>
      <c r="B578" s="43"/>
      <c r="C578" s="43"/>
      <c r="D578" s="43"/>
      <c r="E578" s="41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>
      <c r="A579" s="36"/>
      <c r="B579" s="43"/>
      <c r="C579" s="43"/>
      <c r="D579" s="43"/>
      <c r="E579" s="41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>
      <c r="A580" s="36"/>
      <c r="B580" s="43"/>
      <c r="C580" s="43"/>
      <c r="D580" s="43"/>
      <c r="E580" s="41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>
      <c r="A581" s="36"/>
      <c r="B581" s="43"/>
      <c r="C581" s="43"/>
      <c r="D581" s="43"/>
      <c r="E581" s="41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>
      <c r="A582" s="36"/>
      <c r="B582" s="43"/>
      <c r="C582" s="43"/>
      <c r="D582" s="43"/>
      <c r="E582" s="41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>
      <c r="A583" s="36"/>
      <c r="B583" s="43"/>
      <c r="C583" s="43"/>
      <c r="D583" s="43"/>
      <c r="E583" s="41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>
      <c r="A584" s="36"/>
      <c r="B584" s="43"/>
      <c r="C584" s="43"/>
      <c r="D584" s="43"/>
      <c r="E584" s="41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>
      <c r="A585" s="36"/>
      <c r="B585" s="43"/>
      <c r="C585" s="43"/>
      <c r="D585" s="43"/>
      <c r="E585" s="41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>
      <c r="A586" s="36"/>
      <c r="B586" s="43"/>
      <c r="C586" s="43"/>
      <c r="D586" s="43"/>
      <c r="E586" s="41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>
      <c r="A587" s="36"/>
      <c r="B587" s="43"/>
      <c r="C587" s="43"/>
      <c r="D587" s="43"/>
      <c r="E587" s="41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>
      <c r="A588" s="36"/>
      <c r="B588" s="43"/>
      <c r="C588" s="43"/>
      <c r="D588" s="43"/>
      <c r="E588" s="41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>
      <c r="A589" s="36"/>
      <c r="B589" s="43"/>
      <c r="C589" s="43"/>
      <c r="D589" s="43"/>
      <c r="E589" s="41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>
      <c r="A590" s="36"/>
      <c r="B590" s="43"/>
      <c r="C590" s="43"/>
      <c r="D590" s="43"/>
      <c r="E590" s="41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>
      <c r="A591" s="36"/>
      <c r="B591" s="43"/>
      <c r="C591" s="43"/>
      <c r="D591" s="43"/>
      <c r="E591" s="41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>
      <c r="A592" s="36"/>
      <c r="B592" s="43"/>
      <c r="C592" s="43"/>
      <c r="D592" s="43"/>
      <c r="E592" s="41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>
      <c r="A593" s="36"/>
      <c r="B593" s="43"/>
      <c r="C593" s="43"/>
      <c r="D593" s="43"/>
      <c r="E593" s="41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>
      <c r="A594" s="36"/>
      <c r="B594" s="43"/>
      <c r="C594" s="43"/>
      <c r="D594" s="43"/>
      <c r="E594" s="41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>
      <c r="A595" s="36"/>
      <c r="B595" s="43"/>
      <c r="C595" s="43"/>
      <c r="D595" s="43"/>
      <c r="E595" s="41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>
      <c r="A596" s="36"/>
      <c r="B596" s="43"/>
      <c r="C596" s="43"/>
      <c r="D596" s="43"/>
      <c r="E596" s="41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>
      <c r="A597" s="36"/>
      <c r="B597" s="43"/>
      <c r="C597" s="43"/>
      <c r="D597" s="43"/>
      <c r="E597" s="41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>
      <c r="A598" s="36"/>
      <c r="B598" s="43"/>
      <c r="C598" s="43"/>
      <c r="D598" s="43"/>
      <c r="E598" s="41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>
      <c r="A599" s="36"/>
      <c r="B599" s="43"/>
      <c r="C599" s="43"/>
      <c r="D599" s="43"/>
      <c r="E599" s="41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>
      <c r="A600" s="36"/>
      <c r="B600" s="43"/>
      <c r="C600" s="43"/>
      <c r="D600" s="43"/>
      <c r="E600" s="41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>
      <c r="A601" s="36"/>
      <c r="B601" s="43"/>
      <c r="C601" s="43"/>
      <c r="D601" s="43"/>
      <c r="E601" s="41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>
      <c r="A602" s="36"/>
      <c r="B602" s="43"/>
      <c r="C602" s="43"/>
      <c r="D602" s="43"/>
      <c r="E602" s="41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>
      <c r="A603" s="36"/>
      <c r="B603" s="43"/>
      <c r="C603" s="43"/>
      <c r="D603" s="43"/>
      <c r="E603" s="41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>
      <c r="A604" s="36"/>
      <c r="B604" s="43"/>
      <c r="C604" s="43"/>
      <c r="D604" s="43"/>
      <c r="E604" s="41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>
      <c r="A605" s="36"/>
      <c r="B605" s="43"/>
      <c r="C605" s="43"/>
      <c r="D605" s="43"/>
      <c r="E605" s="41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>
      <c r="A606" s="36"/>
      <c r="B606" s="43"/>
      <c r="C606" s="43"/>
      <c r="D606" s="43"/>
      <c r="E606" s="41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>
      <c r="A607" s="36"/>
      <c r="B607" s="43"/>
      <c r="C607" s="43"/>
      <c r="D607" s="43"/>
      <c r="E607" s="41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>
      <c r="A608" s="36"/>
      <c r="B608" s="43"/>
      <c r="C608" s="43"/>
      <c r="D608" s="43"/>
      <c r="E608" s="41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>
      <c r="A609" s="36"/>
      <c r="B609" s="43"/>
      <c r="C609" s="43"/>
      <c r="D609" s="43"/>
      <c r="E609" s="41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>
      <c r="A610" s="36"/>
      <c r="B610" s="43"/>
      <c r="C610" s="43"/>
      <c r="D610" s="43"/>
      <c r="E610" s="41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>
      <c r="A611" s="36"/>
      <c r="B611" s="43"/>
      <c r="C611" s="43"/>
      <c r="D611" s="43"/>
      <c r="E611" s="41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>
      <c r="A612" s="36"/>
      <c r="B612" s="43"/>
      <c r="C612" s="43"/>
      <c r="D612" s="43"/>
      <c r="E612" s="41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>
      <c r="A613" s="36"/>
      <c r="B613" s="43"/>
      <c r="C613" s="43"/>
      <c r="D613" s="43"/>
      <c r="E613" s="41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>
      <c r="A614" s="36"/>
      <c r="B614" s="43"/>
      <c r="C614" s="43"/>
      <c r="D614" s="43"/>
      <c r="E614" s="41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>
      <c r="A615" s="36"/>
      <c r="B615" s="43"/>
      <c r="C615" s="43"/>
      <c r="D615" s="43"/>
      <c r="E615" s="41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>
      <c r="A616" s="36"/>
      <c r="B616" s="43"/>
      <c r="C616" s="43"/>
      <c r="D616" s="43"/>
      <c r="E616" s="41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>
      <c r="A617" s="36"/>
      <c r="B617" s="43"/>
      <c r="C617" s="43"/>
      <c r="D617" s="43"/>
      <c r="E617" s="41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>
      <c r="A618" s="36"/>
      <c r="B618" s="43"/>
      <c r="C618" s="43"/>
      <c r="D618" s="43"/>
      <c r="E618" s="41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>
      <c r="A619" s="36"/>
      <c r="B619" s="43"/>
      <c r="C619" s="43"/>
      <c r="D619" s="43"/>
      <c r="E619" s="41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>
      <c r="A620" s="36"/>
      <c r="B620" s="43"/>
      <c r="C620" s="43"/>
      <c r="D620" s="43"/>
      <c r="E620" s="41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>
      <c r="A621" s="36"/>
      <c r="B621" s="43"/>
      <c r="C621" s="43"/>
      <c r="D621" s="43"/>
      <c r="E621" s="41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>
      <c r="A622" s="36"/>
      <c r="B622" s="43"/>
      <c r="C622" s="43"/>
      <c r="D622" s="43"/>
      <c r="E622" s="41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>
      <c r="A623" s="36"/>
      <c r="B623" s="43"/>
      <c r="C623" s="43"/>
      <c r="D623" s="43"/>
      <c r="E623" s="41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>
      <c r="A624" s="36"/>
      <c r="B624" s="43"/>
      <c r="C624" s="43"/>
      <c r="D624" s="43"/>
      <c r="E624" s="41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>
      <c r="A625" s="36"/>
      <c r="B625" s="43"/>
      <c r="C625" s="43"/>
      <c r="D625" s="43"/>
      <c r="E625" s="41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>
      <c r="A626" s="36"/>
      <c r="B626" s="43"/>
      <c r="C626" s="43"/>
      <c r="D626" s="43"/>
      <c r="E626" s="41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>
      <c r="A627" s="36"/>
      <c r="B627" s="43"/>
      <c r="C627" s="43"/>
      <c r="D627" s="43"/>
      <c r="E627" s="41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>
      <c r="A628" s="36"/>
      <c r="B628" s="43"/>
      <c r="C628" s="43"/>
      <c r="D628" s="43"/>
      <c r="E628" s="41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>
      <c r="A629" s="36"/>
      <c r="B629" s="43"/>
      <c r="C629" s="43"/>
      <c r="D629" s="43"/>
      <c r="E629" s="41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>
      <c r="A630" s="36"/>
      <c r="B630" s="43"/>
      <c r="C630" s="43"/>
      <c r="D630" s="43"/>
      <c r="E630" s="41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>
      <c r="A631" s="36"/>
      <c r="B631" s="43"/>
      <c r="C631" s="43"/>
      <c r="D631" s="43"/>
      <c r="E631" s="41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>
      <c r="A632" s="36"/>
      <c r="B632" s="43"/>
      <c r="C632" s="43"/>
      <c r="D632" s="43"/>
      <c r="E632" s="41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>
      <c r="A633" s="36"/>
      <c r="B633" s="43"/>
      <c r="C633" s="43"/>
      <c r="D633" s="43"/>
      <c r="E633" s="41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>
      <c r="A634" s="36"/>
      <c r="B634" s="43"/>
      <c r="C634" s="43"/>
      <c r="D634" s="43"/>
      <c r="E634" s="41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>
      <c r="A635" s="36"/>
      <c r="B635" s="43"/>
      <c r="C635" s="43"/>
      <c r="D635" s="43"/>
      <c r="E635" s="41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>
      <c r="A636" s="36"/>
      <c r="B636" s="43"/>
      <c r="C636" s="43"/>
      <c r="D636" s="43"/>
      <c r="E636" s="41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>
      <c r="A637" s="36"/>
      <c r="B637" s="43"/>
      <c r="C637" s="43"/>
      <c r="D637" s="43"/>
      <c r="E637" s="41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>
      <c r="A638" s="36"/>
      <c r="B638" s="43"/>
      <c r="C638" s="43"/>
      <c r="D638" s="43"/>
      <c r="E638" s="41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>
      <c r="A639" s="36"/>
      <c r="B639" s="43"/>
      <c r="C639" s="43"/>
      <c r="D639" s="43"/>
      <c r="E639" s="41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>
      <c r="A640" s="36"/>
      <c r="B640" s="43"/>
      <c r="C640" s="43"/>
      <c r="D640" s="43"/>
      <c r="E640" s="41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>
      <c r="A641" s="36"/>
      <c r="B641" s="43"/>
      <c r="C641" s="43"/>
      <c r="D641" s="43"/>
      <c r="E641" s="41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>
      <c r="A642" s="36"/>
      <c r="B642" s="43"/>
      <c r="C642" s="43"/>
      <c r="D642" s="43"/>
      <c r="E642" s="41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>
      <c r="A643" s="36"/>
      <c r="B643" s="43"/>
      <c r="C643" s="43"/>
      <c r="D643" s="43"/>
      <c r="E643" s="41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>
      <c r="A644" s="36"/>
      <c r="B644" s="43"/>
      <c r="C644" s="43"/>
      <c r="D644" s="43"/>
      <c r="E644" s="41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>
      <c r="A645" s="36"/>
      <c r="B645" s="43"/>
      <c r="C645" s="43"/>
      <c r="D645" s="43"/>
      <c r="E645" s="41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>
      <c r="A646" s="36"/>
      <c r="B646" s="43"/>
      <c r="C646" s="43"/>
      <c r="D646" s="43"/>
      <c r="E646" s="41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>
      <c r="A647" s="36"/>
      <c r="B647" s="43"/>
      <c r="C647" s="43"/>
      <c r="D647" s="43"/>
      <c r="E647" s="41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>
      <c r="A648" s="36"/>
      <c r="B648" s="43"/>
      <c r="C648" s="43"/>
      <c r="D648" s="43"/>
      <c r="E648" s="41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>
      <c r="A649" s="36"/>
      <c r="B649" s="43"/>
      <c r="C649" s="43"/>
      <c r="D649" s="43"/>
      <c r="E649" s="41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>
      <c r="A650" s="36"/>
      <c r="B650" s="43"/>
      <c r="C650" s="43"/>
      <c r="D650" s="43"/>
      <c r="E650" s="41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>
      <c r="A651" s="36"/>
      <c r="B651" s="43"/>
      <c r="C651" s="43"/>
      <c r="D651" s="43"/>
      <c r="E651" s="41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>
      <c r="A652" s="36"/>
      <c r="B652" s="43"/>
      <c r="C652" s="43"/>
      <c r="D652" s="43"/>
      <c r="E652" s="41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>
      <c r="A653" s="36"/>
      <c r="B653" s="43"/>
      <c r="C653" s="43"/>
      <c r="D653" s="43"/>
      <c r="E653" s="41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>
      <c r="A654" s="36"/>
      <c r="B654" s="43"/>
      <c r="C654" s="43"/>
      <c r="D654" s="43"/>
      <c r="E654" s="41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>
      <c r="A655" s="36"/>
      <c r="B655" s="43"/>
      <c r="C655" s="43"/>
      <c r="D655" s="43"/>
      <c r="E655" s="41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>
      <c r="A656" s="36"/>
      <c r="B656" s="43"/>
      <c r="C656" s="43"/>
      <c r="D656" s="43"/>
      <c r="E656" s="41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>
      <c r="A657" s="36"/>
      <c r="B657" s="43"/>
      <c r="C657" s="43"/>
      <c r="D657" s="43"/>
      <c r="E657" s="41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>
      <c r="A658" s="36"/>
      <c r="B658" s="43"/>
      <c r="C658" s="43"/>
      <c r="D658" s="43"/>
      <c r="E658" s="41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>
      <c r="A659" s="36"/>
      <c r="B659" s="43"/>
      <c r="C659" s="43"/>
      <c r="D659" s="43"/>
      <c r="E659" s="41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>
      <c r="A660" s="36"/>
      <c r="B660" s="43"/>
      <c r="C660" s="43"/>
      <c r="D660" s="43"/>
      <c r="E660" s="41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>
      <c r="A661" s="36"/>
      <c r="B661" s="43"/>
      <c r="C661" s="43"/>
      <c r="D661" s="43"/>
      <c r="E661" s="41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>
      <c r="A662" s="36"/>
      <c r="B662" s="43"/>
      <c r="C662" s="43"/>
      <c r="D662" s="43"/>
      <c r="E662" s="41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>
      <c r="A663" s="36"/>
      <c r="B663" s="43"/>
      <c r="C663" s="43"/>
      <c r="D663" s="43"/>
      <c r="E663" s="41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>
      <c r="A664" s="36"/>
      <c r="B664" s="43"/>
      <c r="C664" s="43"/>
      <c r="D664" s="43"/>
      <c r="E664" s="41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>
      <c r="A665" s="36"/>
      <c r="B665" s="43"/>
      <c r="C665" s="43"/>
      <c r="D665" s="43"/>
      <c r="E665" s="41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>
      <c r="A666" s="36"/>
      <c r="B666" s="43"/>
      <c r="C666" s="43"/>
      <c r="D666" s="43"/>
      <c r="E666" s="41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>
      <c r="A667" s="36"/>
      <c r="B667" s="43"/>
      <c r="C667" s="43"/>
      <c r="D667" s="43"/>
      <c r="E667" s="41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>
      <c r="A668" s="36"/>
      <c r="B668" s="43"/>
      <c r="C668" s="43"/>
      <c r="D668" s="43"/>
      <c r="E668" s="41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>
      <c r="A669" s="36"/>
      <c r="B669" s="43"/>
      <c r="C669" s="43"/>
      <c r="D669" s="43"/>
      <c r="E669" s="41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>
      <c r="A670" s="36"/>
      <c r="B670" s="43"/>
      <c r="C670" s="43"/>
      <c r="D670" s="43"/>
      <c r="E670" s="41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>
      <c r="A671" s="36"/>
      <c r="B671" s="43"/>
      <c r="C671" s="43"/>
      <c r="D671" s="43"/>
      <c r="E671" s="41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>
      <c r="A672" s="36"/>
      <c r="B672" s="43"/>
      <c r="C672" s="43"/>
      <c r="D672" s="43"/>
      <c r="E672" s="41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>
      <c r="A673" s="36"/>
      <c r="B673" s="43"/>
      <c r="C673" s="43"/>
      <c r="D673" s="43"/>
      <c r="E673" s="41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>
      <c r="A674" s="36"/>
      <c r="B674" s="43"/>
      <c r="C674" s="43"/>
      <c r="D674" s="43"/>
      <c r="E674" s="41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>
      <c r="A675" s="36"/>
      <c r="B675" s="43"/>
      <c r="C675" s="43"/>
      <c r="D675" s="43"/>
      <c r="E675" s="41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>
      <c r="A676" s="36"/>
      <c r="B676" s="43"/>
      <c r="C676" s="43"/>
      <c r="D676" s="43"/>
      <c r="E676" s="41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>
      <c r="A677" s="36"/>
      <c r="B677" s="43"/>
      <c r="C677" s="43"/>
      <c r="D677" s="43"/>
      <c r="E677" s="41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>
      <c r="A678" s="36"/>
      <c r="B678" s="43"/>
      <c r="C678" s="43"/>
      <c r="D678" s="43"/>
      <c r="E678" s="41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>
      <c r="A679" s="36"/>
      <c r="B679" s="43"/>
      <c r="C679" s="43"/>
      <c r="D679" s="43"/>
      <c r="E679" s="41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>
      <c r="A680" s="36"/>
      <c r="B680" s="43"/>
      <c r="C680" s="43"/>
      <c r="D680" s="43"/>
      <c r="E680" s="41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>
      <c r="A681" s="36"/>
      <c r="B681" s="43"/>
      <c r="C681" s="43"/>
      <c r="D681" s="43"/>
      <c r="E681" s="41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>
      <c r="A682" s="36"/>
      <c r="B682" s="43"/>
      <c r="C682" s="43"/>
      <c r="D682" s="43"/>
      <c r="E682" s="41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>
      <c r="A683" s="36"/>
      <c r="B683" s="43"/>
      <c r="C683" s="43"/>
      <c r="D683" s="43"/>
      <c r="E683" s="41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>
      <c r="A684" s="36"/>
      <c r="B684" s="43"/>
      <c r="C684" s="43"/>
      <c r="D684" s="43"/>
      <c r="E684" s="41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>
      <c r="A685" s="36"/>
      <c r="B685" s="43"/>
      <c r="C685" s="43"/>
      <c r="D685" s="43"/>
      <c r="E685" s="41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>
      <c r="A686" s="36"/>
      <c r="B686" s="43"/>
      <c r="C686" s="43"/>
      <c r="D686" s="43"/>
      <c r="E686" s="41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>
      <c r="A687" s="36"/>
      <c r="B687" s="43"/>
      <c r="C687" s="43"/>
      <c r="D687" s="43"/>
      <c r="E687" s="41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>
      <c r="A688" s="36"/>
      <c r="B688" s="43"/>
      <c r="C688" s="43"/>
      <c r="D688" s="43"/>
      <c r="E688" s="41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>
      <c r="A689" s="36"/>
      <c r="B689" s="43"/>
      <c r="C689" s="43"/>
      <c r="D689" s="43"/>
      <c r="E689" s="41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>
      <c r="A690" s="36"/>
      <c r="B690" s="43"/>
      <c r="C690" s="43"/>
      <c r="D690" s="43"/>
      <c r="E690" s="41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>
      <c r="A691" s="36"/>
      <c r="B691" s="43"/>
      <c r="C691" s="43"/>
      <c r="D691" s="43"/>
      <c r="E691" s="41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>
      <c r="A692" s="36"/>
      <c r="B692" s="43"/>
      <c r="C692" s="43"/>
      <c r="D692" s="43"/>
      <c r="E692" s="41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>
      <c r="A693" s="36"/>
      <c r="B693" s="43"/>
      <c r="C693" s="43"/>
      <c r="D693" s="43"/>
      <c r="E693" s="41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>
      <c r="A694" s="36"/>
      <c r="B694" s="43"/>
      <c r="C694" s="43"/>
      <c r="D694" s="43"/>
      <c r="E694" s="41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>
      <c r="A695" s="36"/>
      <c r="B695" s="43"/>
      <c r="C695" s="43"/>
      <c r="D695" s="43"/>
      <c r="E695" s="41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>
      <c r="A696" s="36"/>
      <c r="B696" s="43"/>
      <c r="C696" s="43"/>
      <c r="D696" s="43"/>
      <c r="E696" s="41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>
      <c r="A697" s="36"/>
      <c r="B697" s="43"/>
      <c r="C697" s="43"/>
      <c r="D697" s="43"/>
      <c r="E697" s="41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>
      <c r="A698" s="36"/>
      <c r="B698" s="43"/>
      <c r="C698" s="43"/>
      <c r="D698" s="43"/>
      <c r="E698" s="41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>
      <c r="A699" s="36"/>
      <c r="B699" s="43"/>
      <c r="C699" s="43"/>
      <c r="D699" s="43"/>
      <c r="E699" s="41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>
      <c r="A700" s="36"/>
      <c r="B700" s="43"/>
      <c r="C700" s="43"/>
      <c r="D700" s="43"/>
      <c r="E700" s="41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>
      <c r="A701" s="36"/>
      <c r="B701" s="43"/>
      <c r="C701" s="43"/>
      <c r="D701" s="43"/>
      <c r="E701" s="41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>
      <c r="A702" s="36"/>
      <c r="B702" s="43"/>
      <c r="C702" s="43"/>
      <c r="D702" s="43"/>
      <c r="E702" s="41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>
      <c r="A703" s="36"/>
      <c r="B703" s="43"/>
      <c r="C703" s="43"/>
      <c r="D703" s="43"/>
      <c r="E703" s="41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>
      <c r="A704" s="36"/>
      <c r="B704" s="43"/>
      <c r="C704" s="43"/>
      <c r="D704" s="43"/>
      <c r="E704" s="41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>
      <c r="A705" s="36"/>
      <c r="B705" s="43"/>
      <c r="C705" s="43"/>
      <c r="D705" s="43"/>
      <c r="E705" s="41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>
      <c r="A706" s="36"/>
      <c r="B706" s="43"/>
      <c r="C706" s="43"/>
      <c r="D706" s="43"/>
      <c r="E706" s="41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>
      <c r="A707" s="36"/>
      <c r="B707" s="43"/>
      <c r="C707" s="43"/>
      <c r="D707" s="43"/>
      <c r="E707" s="41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>
      <c r="A708" s="36"/>
      <c r="B708" s="43"/>
      <c r="C708" s="43"/>
      <c r="D708" s="43"/>
      <c r="E708" s="41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>
      <c r="A709" s="36"/>
      <c r="B709" s="43"/>
      <c r="C709" s="43"/>
      <c r="D709" s="43"/>
      <c r="E709" s="41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>
      <c r="A710" s="36"/>
      <c r="B710" s="43"/>
      <c r="C710" s="43"/>
      <c r="D710" s="43"/>
      <c r="E710" s="41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>
      <c r="A711" s="36"/>
      <c r="B711" s="43"/>
      <c r="C711" s="43"/>
      <c r="D711" s="43"/>
      <c r="E711" s="41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>
      <c r="A712" s="36"/>
      <c r="B712" s="43"/>
      <c r="C712" s="43"/>
      <c r="D712" s="43"/>
      <c r="E712" s="41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>
      <c r="A713" s="36"/>
      <c r="B713" s="43"/>
      <c r="C713" s="43"/>
      <c r="D713" s="43"/>
      <c r="E713" s="41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>
      <c r="A714" s="36"/>
      <c r="B714" s="43"/>
      <c r="C714" s="43"/>
      <c r="D714" s="43"/>
      <c r="E714" s="41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>
      <c r="A715" s="36"/>
      <c r="B715" s="43"/>
      <c r="C715" s="43"/>
      <c r="D715" s="43"/>
      <c r="E715" s="41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>
      <c r="A716" s="36"/>
      <c r="B716" s="43"/>
      <c r="C716" s="43"/>
      <c r="D716" s="43"/>
      <c r="E716" s="41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>
      <c r="A717" s="36"/>
      <c r="B717" s="43"/>
      <c r="C717" s="43"/>
      <c r="D717" s="43"/>
      <c r="E717" s="41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>
      <c r="A718" s="36"/>
      <c r="B718" s="43"/>
      <c r="C718" s="43"/>
      <c r="D718" s="43"/>
      <c r="E718" s="41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>
      <c r="A719" s="36"/>
      <c r="B719" s="43"/>
      <c r="C719" s="43"/>
      <c r="D719" s="43"/>
      <c r="E719" s="41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>
      <c r="A720" s="36"/>
      <c r="B720" s="43"/>
      <c r="C720" s="43"/>
      <c r="D720" s="43"/>
      <c r="E720" s="41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>
      <c r="A721" s="36"/>
      <c r="B721" s="43"/>
      <c r="C721" s="43"/>
      <c r="D721" s="43"/>
      <c r="E721" s="41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>
      <c r="A722" s="36"/>
      <c r="B722" s="43"/>
      <c r="C722" s="43"/>
      <c r="D722" s="43"/>
      <c r="E722" s="41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>
      <c r="A723" s="36"/>
      <c r="B723" s="43"/>
      <c r="C723" s="43"/>
      <c r="D723" s="43"/>
      <c r="E723" s="41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>
      <c r="A724" s="36"/>
      <c r="B724" s="43"/>
      <c r="C724" s="43"/>
      <c r="D724" s="43"/>
      <c r="E724" s="41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>
      <c r="A725" s="36"/>
      <c r="B725" s="43"/>
      <c r="C725" s="43"/>
      <c r="D725" s="43"/>
      <c r="E725" s="41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>
      <c r="A726" s="36"/>
      <c r="B726" s="43"/>
      <c r="C726" s="43"/>
      <c r="D726" s="43"/>
      <c r="E726" s="41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>
      <c r="A727" s="36"/>
      <c r="B727" s="43"/>
      <c r="C727" s="43"/>
      <c r="D727" s="43"/>
      <c r="E727" s="41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>
      <c r="A728" s="36"/>
      <c r="B728" s="43"/>
      <c r="C728" s="43"/>
      <c r="D728" s="43"/>
      <c r="E728" s="41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>
      <c r="A729" s="36"/>
      <c r="B729" s="43"/>
      <c r="C729" s="43"/>
      <c r="D729" s="43"/>
      <c r="E729" s="41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>
      <c r="A730" s="36"/>
      <c r="B730" s="43"/>
      <c r="C730" s="43"/>
      <c r="D730" s="43"/>
      <c r="E730" s="41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>
      <c r="A731" s="36"/>
      <c r="B731" s="43"/>
      <c r="C731" s="43"/>
      <c r="D731" s="43"/>
      <c r="E731" s="41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>
      <c r="A732" s="36"/>
      <c r="B732" s="43"/>
      <c r="C732" s="43"/>
      <c r="D732" s="43"/>
      <c r="E732" s="41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>
      <c r="A733" s="36"/>
      <c r="B733" s="43"/>
      <c r="C733" s="43"/>
      <c r="D733" s="43"/>
      <c r="E733" s="41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>
      <c r="A734" s="36"/>
      <c r="B734" s="43"/>
      <c r="C734" s="43"/>
      <c r="D734" s="43"/>
      <c r="E734" s="41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>
      <c r="A735" s="36"/>
      <c r="B735" s="43"/>
      <c r="C735" s="43"/>
      <c r="D735" s="43"/>
      <c r="E735" s="41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>
      <c r="A736" s="36"/>
      <c r="B736" s="43"/>
      <c r="C736" s="43"/>
      <c r="D736" s="43"/>
      <c r="E736" s="41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>
      <c r="A737" s="36"/>
      <c r="B737" s="43"/>
      <c r="C737" s="43"/>
      <c r="D737" s="43"/>
      <c r="E737" s="41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>
      <c r="A738" s="36"/>
      <c r="B738" s="43"/>
      <c r="C738" s="43"/>
      <c r="D738" s="43"/>
      <c r="E738" s="41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>
      <c r="A739" s="36"/>
      <c r="B739" s="43"/>
      <c r="C739" s="43"/>
      <c r="D739" s="43"/>
      <c r="E739" s="41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>
      <c r="A740" s="36"/>
      <c r="B740" s="43"/>
      <c r="C740" s="43"/>
      <c r="D740" s="43"/>
      <c r="E740" s="41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>
      <c r="A741" s="36"/>
      <c r="B741" s="43"/>
      <c r="C741" s="43"/>
      <c r="D741" s="43"/>
      <c r="E741" s="41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>
      <c r="A742" s="36"/>
      <c r="B742" s="43"/>
      <c r="C742" s="43"/>
      <c r="D742" s="43"/>
      <c r="E742" s="41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>
      <c r="A743" s="36"/>
      <c r="B743" s="43"/>
      <c r="C743" s="43"/>
      <c r="D743" s="43"/>
      <c r="E743" s="41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>
      <c r="A744" s="36"/>
      <c r="B744" s="43"/>
      <c r="C744" s="43"/>
      <c r="D744" s="43"/>
      <c r="E744" s="41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>
      <c r="A745" s="36"/>
      <c r="B745" s="43"/>
      <c r="C745" s="43"/>
      <c r="D745" s="43"/>
      <c r="E745" s="41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>
      <c r="A746" s="36"/>
      <c r="B746" s="43"/>
      <c r="C746" s="43"/>
      <c r="D746" s="43"/>
      <c r="E746" s="41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>
      <c r="A747" s="36"/>
      <c r="B747" s="43"/>
      <c r="C747" s="43"/>
      <c r="D747" s="43"/>
      <c r="E747" s="41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>
      <c r="A748" s="36"/>
      <c r="B748" s="43"/>
      <c r="C748" s="43"/>
      <c r="D748" s="43"/>
      <c r="E748" s="41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>
      <c r="A749" s="36"/>
      <c r="B749" s="43"/>
      <c r="C749" s="43"/>
      <c r="D749" s="43"/>
      <c r="E749" s="41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>
      <c r="A750" s="36"/>
      <c r="B750" s="43"/>
      <c r="C750" s="43"/>
      <c r="D750" s="43"/>
      <c r="E750" s="41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>
      <c r="A751" s="36"/>
      <c r="B751" s="43"/>
      <c r="C751" s="43"/>
      <c r="D751" s="43"/>
      <c r="E751" s="41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>
      <c r="A752" s="36"/>
      <c r="B752" s="43"/>
      <c r="C752" s="43"/>
      <c r="D752" s="43"/>
      <c r="E752" s="41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>
      <c r="A753" s="36"/>
      <c r="B753" s="43"/>
      <c r="C753" s="43"/>
      <c r="D753" s="43"/>
      <c r="E753" s="41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>
      <c r="A754" s="36"/>
      <c r="B754" s="43"/>
      <c r="C754" s="43"/>
      <c r="D754" s="43"/>
      <c r="E754" s="41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>
      <c r="A755" s="36"/>
      <c r="B755" s="43"/>
      <c r="C755" s="43"/>
      <c r="D755" s="43"/>
      <c r="E755" s="41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>
      <c r="A756" s="36"/>
      <c r="B756" s="43"/>
      <c r="C756" s="43"/>
      <c r="D756" s="43"/>
      <c r="E756" s="41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>
      <c r="A757" s="36"/>
      <c r="B757" s="43"/>
      <c r="C757" s="43"/>
      <c r="D757" s="43"/>
      <c r="E757" s="41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>
      <c r="A758" s="36"/>
      <c r="B758" s="43"/>
      <c r="C758" s="43"/>
      <c r="D758" s="43"/>
      <c r="E758" s="41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>
      <c r="A759" s="36"/>
      <c r="B759" s="43"/>
      <c r="C759" s="43"/>
      <c r="D759" s="43"/>
      <c r="E759" s="41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>
      <c r="A760" s="36"/>
      <c r="B760" s="43"/>
      <c r="C760" s="43"/>
      <c r="D760" s="43"/>
      <c r="E760" s="41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>
      <c r="A761" s="36"/>
      <c r="B761" s="43"/>
      <c r="C761" s="43"/>
      <c r="D761" s="43"/>
      <c r="E761" s="41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>
      <c r="A762" s="36"/>
      <c r="B762" s="43"/>
      <c r="C762" s="43"/>
      <c r="D762" s="43"/>
      <c r="E762" s="41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>
      <c r="A763" s="36"/>
      <c r="B763" s="43"/>
      <c r="C763" s="43"/>
      <c r="D763" s="43"/>
      <c r="E763" s="41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>
      <c r="A764" s="36"/>
      <c r="B764" s="43"/>
      <c r="C764" s="43"/>
      <c r="D764" s="43"/>
      <c r="E764" s="41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>
      <c r="A765" s="36"/>
      <c r="B765" s="43"/>
      <c r="C765" s="43"/>
      <c r="D765" s="43"/>
      <c r="E765" s="41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>
      <c r="A766" s="36"/>
      <c r="B766" s="43"/>
      <c r="C766" s="43"/>
      <c r="D766" s="43"/>
      <c r="E766" s="41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>
      <c r="A767" s="36"/>
      <c r="B767" s="43"/>
      <c r="C767" s="43"/>
      <c r="D767" s="43"/>
      <c r="E767" s="41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>
      <c r="A768" s="36"/>
      <c r="B768" s="43"/>
      <c r="C768" s="43"/>
      <c r="D768" s="43"/>
      <c r="E768" s="41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>
      <c r="A769" s="36"/>
      <c r="B769" s="43"/>
      <c r="C769" s="43"/>
      <c r="D769" s="43"/>
      <c r="E769" s="41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>
      <c r="A770" s="36"/>
      <c r="B770" s="43"/>
      <c r="C770" s="43"/>
      <c r="D770" s="43"/>
      <c r="E770" s="41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>
      <c r="A771" s="36"/>
      <c r="B771" s="43"/>
      <c r="C771" s="43"/>
      <c r="D771" s="43"/>
      <c r="E771" s="41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>
      <c r="A772" s="36"/>
      <c r="B772" s="43"/>
      <c r="C772" s="43"/>
      <c r="D772" s="43"/>
      <c r="E772" s="41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>
      <c r="A773" s="36"/>
      <c r="B773" s="43"/>
      <c r="C773" s="43"/>
      <c r="D773" s="43"/>
      <c r="E773" s="41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>
      <c r="A774" s="36"/>
      <c r="B774" s="43"/>
      <c r="C774" s="43"/>
      <c r="D774" s="43"/>
      <c r="E774" s="41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>
      <c r="A775" s="36"/>
      <c r="B775" s="43"/>
      <c r="C775" s="43"/>
      <c r="D775" s="43"/>
      <c r="E775" s="41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>
      <c r="A776" s="36"/>
      <c r="B776" s="43"/>
      <c r="C776" s="43"/>
      <c r="D776" s="43"/>
      <c r="E776" s="41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>
      <c r="A777" s="36"/>
      <c r="B777" s="43"/>
      <c r="C777" s="43"/>
      <c r="D777" s="43"/>
      <c r="E777" s="41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>
      <c r="A778" s="36"/>
      <c r="B778" s="43"/>
      <c r="C778" s="43"/>
      <c r="D778" s="43"/>
      <c r="E778" s="41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>
      <c r="A779" s="36"/>
      <c r="B779" s="43"/>
      <c r="C779" s="43"/>
      <c r="D779" s="43"/>
      <c r="E779" s="41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>
      <c r="A780" s="36"/>
      <c r="B780" s="43"/>
      <c r="C780" s="43"/>
      <c r="D780" s="43"/>
      <c r="E780" s="41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>
      <c r="A781" s="36"/>
      <c r="B781" s="43"/>
      <c r="C781" s="43"/>
      <c r="D781" s="43"/>
      <c r="E781" s="41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>
      <c r="A782" s="36"/>
      <c r="B782" s="43"/>
      <c r="C782" s="43"/>
      <c r="D782" s="43"/>
      <c r="E782" s="41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>
      <c r="A783" s="36"/>
      <c r="B783" s="43"/>
      <c r="C783" s="43"/>
      <c r="D783" s="43"/>
      <c r="E783" s="41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>
      <c r="A784" s="36"/>
      <c r="B784" s="43"/>
      <c r="C784" s="43"/>
      <c r="D784" s="43"/>
      <c r="E784" s="41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>
      <c r="A785" s="36"/>
      <c r="B785" s="43"/>
      <c r="C785" s="43"/>
      <c r="D785" s="43"/>
      <c r="E785" s="41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>
      <c r="A786" s="36"/>
      <c r="B786" s="43"/>
      <c r="C786" s="43"/>
      <c r="D786" s="43"/>
      <c r="E786" s="41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>
      <c r="A787" s="36"/>
      <c r="B787" s="43"/>
      <c r="C787" s="43"/>
      <c r="D787" s="43"/>
      <c r="E787" s="41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>
      <c r="A788" s="36"/>
      <c r="B788" s="43"/>
      <c r="C788" s="43"/>
      <c r="D788" s="43"/>
      <c r="E788" s="41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>
      <c r="A789" s="36"/>
      <c r="B789" s="43"/>
      <c r="C789" s="43"/>
      <c r="D789" s="43"/>
      <c r="E789" s="41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>
      <c r="A790" s="36"/>
      <c r="B790" s="43"/>
      <c r="C790" s="43"/>
      <c r="D790" s="43"/>
      <c r="E790" s="41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>
      <c r="A791" s="36"/>
      <c r="B791" s="43"/>
      <c r="C791" s="43"/>
      <c r="D791" s="43"/>
      <c r="E791" s="41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>
      <c r="A792" s="36"/>
      <c r="B792" s="43"/>
      <c r="C792" s="43"/>
      <c r="D792" s="43"/>
      <c r="E792" s="41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>
      <c r="A793" s="36"/>
      <c r="B793" s="43"/>
      <c r="C793" s="43"/>
      <c r="D793" s="43"/>
      <c r="E793" s="41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>
      <c r="A794" s="36"/>
      <c r="B794" s="43"/>
      <c r="C794" s="43"/>
      <c r="D794" s="43"/>
      <c r="E794" s="41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>
      <c r="A795" s="36"/>
      <c r="B795" s="43"/>
      <c r="C795" s="43"/>
      <c r="D795" s="43"/>
      <c r="E795" s="41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>
      <c r="A796" s="36"/>
      <c r="B796" s="43"/>
      <c r="C796" s="43"/>
      <c r="D796" s="43"/>
      <c r="E796" s="41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>
      <c r="A797" s="36"/>
      <c r="B797" s="43"/>
      <c r="C797" s="43"/>
      <c r="D797" s="43"/>
      <c r="E797" s="41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>
      <c r="A798" s="36"/>
      <c r="B798" s="43"/>
      <c r="C798" s="43"/>
      <c r="D798" s="43"/>
      <c r="E798" s="41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>
      <c r="A799" s="36"/>
      <c r="B799" s="43"/>
      <c r="C799" s="43"/>
      <c r="D799" s="43"/>
      <c r="E799" s="41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>
      <c r="A800" s="36"/>
      <c r="B800" s="43"/>
      <c r="C800" s="43"/>
      <c r="D800" s="43"/>
      <c r="E800" s="41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>
      <c r="A801" s="36"/>
      <c r="B801" s="43"/>
      <c r="C801" s="43"/>
      <c r="D801" s="43"/>
      <c r="E801" s="41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>
      <c r="A802" s="36"/>
      <c r="B802" s="43"/>
      <c r="C802" s="43"/>
      <c r="D802" s="43"/>
      <c r="E802" s="41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>
      <c r="A803" s="36"/>
      <c r="B803" s="43"/>
      <c r="C803" s="43"/>
      <c r="D803" s="43"/>
      <c r="E803" s="41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>
      <c r="A804" s="36"/>
      <c r="B804" s="43"/>
      <c r="C804" s="43"/>
      <c r="D804" s="43"/>
      <c r="E804" s="41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>
      <c r="A805" s="36"/>
      <c r="B805" s="43"/>
      <c r="C805" s="43"/>
      <c r="D805" s="43"/>
      <c r="E805" s="41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>
      <c r="A806" s="36"/>
      <c r="B806" s="43"/>
      <c r="C806" s="43"/>
      <c r="D806" s="43"/>
      <c r="E806" s="41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>
      <c r="A807" s="36"/>
      <c r="B807" s="43"/>
      <c r="C807" s="43"/>
      <c r="D807" s="43"/>
      <c r="E807" s="41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>
      <c r="A808" s="36"/>
      <c r="B808" s="43"/>
      <c r="C808" s="43"/>
      <c r="D808" s="43"/>
      <c r="E808" s="41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>
      <c r="A809" s="36"/>
      <c r="B809" s="43"/>
      <c r="C809" s="43"/>
      <c r="D809" s="43"/>
      <c r="E809" s="41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>
      <c r="A810" s="36"/>
      <c r="B810" s="43"/>
      <c r="C810" s="43"/>
      <c r="D810" s="43"/>
      <c r="E810" s="41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>
      <c r="A811" s="36"/>
      <c r="B811" s="43"/>
      <c r="C811" s="43"/>
      <c r="D811" s="43"/>
      <c r="E811" s="41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>
      <c r="A812" s="36"/>
      <c r="B812" s="43"/>
      <c r="C812" s="43"/>
      <c r="D812" s="43"/>
      <c r="E812" s="41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>
      <c r="A813" s="36"/>
      <c r="B813" s="43"/>
      <c r="C813" s="43"/>
      <c r="D813" s="43"/>
      <c r="E813" s="41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>
      <c r="A814" s="36"/>
      <c r="B814" s="43"/>
      <c r="C814" s="43"/>
      <c r="D814" s="43"/>
      <c r="E814" s="41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>
      <c r="A815" s="36"/>
      <c r="B815" s="43"/>
      <c r="C815" s="43"/>
      <c r="D815" s="43"/>
      <c r="E815" s="41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>
      <c r="A816" s="36"/>
      <c r="B816" s="43"/>
      <c r="C816" s="43"/>
      <c r="D816" s="43"/>
      <c r="E816" s="41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>
      <c r="A817" s="36"/>
      <c r="B817" s="43"/>
      <c r="C817" s="43"/>
      <c r="D817" s="43"/>
      <c r="E817" s="41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>
      <c r="A818" s="36"/>
      <c r="B818" s="43"/>
      <c r="C818" s="43"/>
      <c r="D818" s="43"/>
      <c r="E818" s="41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>
      <c r="A819" s="36"/>
      <c r="B819" s="43"/>
      <c r="C819" s="43"/>
      <c r="D819" s="43"/>
      <c r="E819" s="41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>
      <c r="A820" s="36"/>
      <c r="B820" s="43"/>
      <c r="C820" s="43"/>
      <c r="D820" s="43"/>
      <c r="E820" s="41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>
      <c r="A821" s="36"/>
      <c r="B821" s="43"/>
      <c r="C821" s="43"/>
      <c r="D821" s="43"/>
      <c r="E821" s="41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>
      <c r="A822" s="36"/>
      <c r="B822" s="43"/>
      <c r="C822" s="43"/>
      <c r="D822" s="43"/>
      <c r="E822" s="41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>
      <c r="A823" s="36"/>
      <c r="B823" s="43"/>
      <c r="C823" s="43"/>
      <c r="D823" s="43"/>
      <c r="E823" s="41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>
      <c r="A824" s="36"/>
      <c r="B824" s="43"/>
      <c r="C824" s="43"/>
      <c r="D824" s="43"/>
      <c r="E824" s="41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>
      <c r="A825" s="36"/>
      <c r="B825" s="43"/>
      <c r="C825" s="43"/>
      <c r="D825" s="43"/>
      <c r="E825" s="41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>
      <c r="A826" s="36"/>
      <c r="B826" s="43"/>
      <c r="C826" s="43"/>
      <c r="D826" s="43"/>
      <c r="E826" s="41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>
      <c r="A827" s="36"/>
      <c r="B827" s="43"/>
      <c r="C827" s="43"/>
      <c r="D827" s="43"/>
      <c r="E827" s="41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>
      <c r="A828" s="36"/>
      <c r="B828" s="43"/>
      <c r="C828" s="43"/>
      <c r="D828" s="43"/>
      <c r="E828" s="41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>
      <c r="A829" s="36"/>
      <c r="B829" s="43"/>
      <c r="C829" s="43"/>
      <c r="D829" s="43"/>
      <c r="E829" s="41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>
      <c r="A830" s="36"/>
      <c r="B830" s="43"/>
      <c r="C830" s="43"/>
      <c r="D830" s="43"/>
      <c r="E830" s="41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>
      <c r="A831" s="36"/>
      <c r="B831" s="43"/>
      <c r="C831" s="43"/>
      <c r="D831" s="43"/>
      <c r="E831" s="41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>
      <c r="A832" s="36"/>
      <c r="B832" s="43"/>
      <c r="C832" s="43"/>
      <c r="D832" s="43"/>
      <c r="E832" s="41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>
      <c r="A833" s="36"/>
      <c r="B833" s="43"/>
      <c r="C833" s="43"/>
      <c r="D833" s="43"/>
      <c r="E833" s="41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>
      <c r="A834" s="36"/>
      <c r="B834" s="43"/>
      <c r="C834" s="43"/>
      <c r="D834" s="43"/>
      <c r="E834" s="41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>
      <c r="A835" s="36"/>
      <c r="B835" s="43"/>
      <c r="C835" s="43"/>
      <c r="D835" s="43"/>
      <c r="E835" s="41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>
      <c r="A836" s="36"/>
      <c r="B836" s="43"/>
      <c r="C836" s="43"/>
      <c r="D836" s="43"/>
      <c r="E836" s="41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>
      <c r="A837" s="36"/>
      <c r="B837" s="43"/>
      <c r="C837" s="43"/>
      <c r="D837" s="43"/>
      <c r="E837" s="41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>
      <c r="A838" s="36"/>
      <c r="B838" s="43"/>
      <c r="C838" s="43"/>
      <c r="D838" s="43"/>
      <c r="E838" s="41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>
      <c r="A839" s="36"/>
      <c r="B839" s="43"/>
      <c r="C839" s="43"/>
      <c r="D839" s="43"/>
      <c r="E839" s="41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>
      <c r="A840" s="36"/>
      <c r="B840" s="43"/>
      <c r="C840" s="43"/>
      <c r="D840" s="43"/>
      <c r="E840" s="41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>
      <c r="A841" s="36"/>
      <c r="B841" s="43"/>
      <c r="C841" s="43"/>
      <c r="D841" s="43"/>
      <c r="E841" s="41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>
      <c r="A842" s="36"/>
      <c r="B842" s="43"/>
      <c r="C842" s="43"/>
      <c r="D842" s="43"/>
      <c r="E842" s="41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>
      <c r="A843" s="36"/>
      <c r="B843" s="43"/>
      <c r="C843" s="43"/>
      <c r="D843" s="43"/>
      <c r="E843" s="41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>
      <c r="A844" s="36"/>
      <c r="B844" s="43"/>
      <c r="C844" s="43"/>
      <c r="D844" s="43"/>
      <c r="E844" s="41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>
      <c r="A845" s="36"/>
      <c r="B845" s="43"/>
      <c r="C845" s="43"/>
      <c r="D845" s="43"/>
      <c r="E845" s="41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>
      <c r="A846" s="36"/>
      <c r="B846" s="43"/>
      <c r="C846" s="43"/>
      <c r="D846" s="43"/>
      <c r="E846" s="41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>
      <c r="A847" s="36"/>
      <c r="B847" s="43"/>
      <c r="C847" s="43"/>
      <c r="D847" s="43"/>
      <c r="E847" s="41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>
      <c r="A848" s="36"/>
      <c r="B848" s="43"/>
      <c r="C848" s="43"/>
      <c r="D848" s="43"/>
      <c r="E848" s="41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>
      <c r="A849" s="36"/>
      <c r="B849" s="43"/>
      <c r="C849" s="43"/>
      <c r="D849" s="43"/>
      <c r="E849" s="41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>
      <c r="A850" s="36"/>
      <c r="B850" s="43"/>
      <c r="C850" s="43"/>
      <c r="D850" s="43"/>
      <c r="E850" s="41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>
      <c r="A851" s="36"/>
      <c r="B851" s="43"/>
      <c r="C851" s="43"/>
      <c r="D851" s="43"/>
      <c r="E851" s="41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>
      <c r="A852" s="36"/>
      <c r="B852" s="43"/>
      <c r="C852" s="43"/>
      <c r="D852" s="43"/>
      <c r="E852" s="41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>
      <c r="A853" s="36"/>
      <c r="B853" s="43"/>
      <c r="C853" s="43"/>
      <c r="D853" s="43"/>
      <c r="E853" s="41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>
      <c r="A854" s="36"/>
      <c r="B854" s="43"/>
      <c r="C854" s="43"/>
      <c r="D854" s="43"/>
      <c r="E854" s="41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>
      <c r="A855" s="36"/>
      <c r="B855" s="43"/>
      <c r="C855" s="43"/>
      <c r="D855" s="43"/>
      <c r="E855" s="41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>
      <c r="A856" s="36"/>
      <c r="B856" s="43"/>
      <c r="C856" s="43"/>
      <c r="D856" s="43"/>
      <c r="E856" s="41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>
      <c r="A857" s="36"/>
      <c r="B857" s="43"/>
      <c r="C857" s="43"/>
      <c r="D857" s="43"/>
      <c r="E857" s="41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>
      <c r="A858" s="36"/>
      <c r="B858" s="43"/>
      <c r="C858" s="43"/>
      <c r="D858" s="43"/>
      <c r="E858" s="41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>
      <c r="A859" s="36"/>
      <c r="B859" s="43"/>
      <c r="C859" s="43"/>
      <c r="D859" s="43"/>
      <c r="E859" s="41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>
      <c r="A860" s="36"/>
      <c r="B860" s="43"/>
      <c r="C860" s="43"/>
      <c r="D860" s="43"/>
      <c r="E860" s="41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>
      <c r="A861" s="36"/>
      <c r="B861" s="43"/>
      <c r="C861" s="43"/>
      <c r="D861" s="43"/>
      <c r="E861" s="41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>
      <c r="A862" s="36"/>
      <c r="B862" s="43"/>
      <c r="C862" s="43"/>
      <c r="D862" s="43"/>
      <c r="E862" s="41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>
      <c r="A863" s="36"/>
      <c r="B863" s="43"/>
      <c r="C863" s="43"/>
      <c r="D863" s="43"/>
      <c r="E863" s="41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>
      <c r="A864" s="36"/>
      <c r="B864" s="43"/>
      <c r="C864" s="43"/>
      <c r="D864" s="43"/>
      <c r="E864" s="41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>
      <c r="A865" s="36"/>
      <c r="B865" s="43"/>
      <c r="C865" s="43"/>
      <c r="D865" s="43"/>
      <c r="E865" s="41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>
      <c r="A866" s="36"/>
      <c r="B866" s="43"/>
      <c r="C866" s="43"/>
      <c r="D866" s="43"/>
      <c r="E866" s="41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>
      <c r="A867" s="36"/>
      <c r="B867" s="43"/>
      <c r="C867" s="43"/>
      <c r="D867" s="43"/>
      <c r="E867" s="41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>
      <c r="A868" s="36"/>
      <c r="B868" s="43"/>
      <c r="C868" s="43"/>
      <c r="D868" s="43"/>
      <c r="E868" s="41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>
      <c r="A869" s="36"/>
      <c r="B869" s="43"/>
      <c r="C869" s="43"/>
      <c r="D869" s="43"/>
      <c r="E869" s="41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>
      <c r="A870" s="36"/>
      <c r="B870" s="43"/>
      <c r="C870" s="43"/>
      <c r="D870" s="43"/>
      <c r="E870" s="41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>
      <c r="A871" s="36"/>
      <c r="B871" s="43"/>
      <c r="C871" s="43"/>
      <c r="D871" s="43"/>
      <c r="E871" s="41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>
      <c r="A872" s="36"/>
      <c r="B872" s="43"/>
      <c r="C872" s="43"/>
      <c r="D872" s="43"/>
      <c r="E872" s="41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>
      <c r="A873" s="36"/>
      <c r="B873" s="43"/>
      <c r="C873" s="43"/>
      <c r="D873" s="43"/>
      <c r="E873" s="41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>
      <c r="A874" s="36"/>
      <c r="B874" s="43"/>
      <c r="C874" s="43"/>
      <c r="D874" s="43"/>
      <c r="E874" s="41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>
      <c r="A875" s="36"/>
      <c r="B875" s="43"/>
      <c r="C875" s="43"/>
      <c r="D875" s="43"/>
      <c r="E875" s="41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>
      <c r="A876" s="36"/>
      <c r="B876" s="43"/>
      <c r="C876" s="43"/>
      <c r="D876" s="43"/>
      <c r="E876" s="41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>
      <c r="A877" s="36"/>
      <c r="B877" s="43"/>
      <c r="C877" s="43"/>
      <c r="D877" s="43"/>
      <c r="E877" s="41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>
      <c r="A878" s="36"/>
      <c r="B878" s="43"/>
      <c r="C878" s="43"/>
      <c r="D878" s="43"/>
      <c r="E878" s="41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>
      <c r="A879" s="36"/>
      <c r="B879" s="43"/>
      <c r="C879" s="43"/>
      <c r="D879" s="43"/>
      <c r="E879" s="41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>
      <c r="A880" s="36"/>
      <c r="B880" s="43"/>
      <c r="C880" s="43"/>
      <c r="D880" s="43"/>
      <c r="E880" s="41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>
      <c r="A881" s="36"/>
      <c r="B881" s="43"/>
      <c r="C881" s="43"/>
      <c r="D881" s="43"/>
      <c r="E881" s="41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>
      <c r="A882" s="36"/>
      <c r="B882" s="43"/>
      <c r="C882" s="43"/>
      <c r="D882" s="43"/>
      <c r="E882" s="41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>
      <c r="A883" s="36"/>
      <c r="B883" s="43"/>
      <c r="C883" s="43"/>
      <c r="D883" s="43"/>
      <c r="E883" s="41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>
      <c r="A884" s="36"/>
      <c r="B884" s="43"/>
      <c r="C884" s="43"/>
      <c r="D884" s="43"/>
      <c r="E884" s="41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>
      <c r="A885" s="36"/>
      <c r="B885" s="43"/>
      <c r="C885" s="43"/>
      <c r="D885" s="43"/>
      <c r="E885" s="41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>
      <c r="A886" s="36"/>
      <c r="B886" s="43"/>
      <c r="C886" s="43"/>
      <c r="D886" s="43"/>
      <c r="E886" s="41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>
      <c r="A887" s="36"/>
      <c r="B887" s="43"/>
      <c r="C887" s="43"/>
      <c r="D887" s="43"/>
      <c r="E887" s="41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>
      <c r="A888" s="36"/>
      <c r="B888" s="43"/>
      <c r="C888" s="43"/>
      <c r="D888" s="43"/>
      <c r="E888" s="41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>
      <c r="A889" s="36"/>
      <c r="B889" s="43"/>
      <c r="C889" s="43"/>
      <c r="D889" s="43"/>
      <c r="E889" s="41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>
      <c r="A890" s="36"/>
      <c r="B890" s="43"/>
      <c r="C890" s="43"/>
      <c r="D890" s="43"/>
      <c r="E890" s="41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>
      <c r="A891" s="36"/>
      <c r="B891" s="43"/>
      <c r="C891" s="43"/>
      <c r="D891" s="43"/>
      <c r="E891" s="41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>
      <c r="A892" s="36"/>
      <c r="B892" s="43"/>
      <c r="C892" s="43"/>
      <c r="D892" s="43"/>
      <c r="E892" s="41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>
      <c r="A893" s="36"/>
      <c r="B893" s="43"/>
      <c r="C893" s="43"/>
      <c r="D893" s="43"/>
      <c r="E893" s="41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>
      <c r="A894" s="36"/>
      <c r="B894" s="43"/>
      <c r="C894" s="43"/>
      <c r="D894" s="43"/>
      <c r="E894" s="41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>
      <c r="A895" s="36"/>
      <c r="B895" s="43"/>
      <c r="C895" s="43"/>
      <c r="D895" s="43"/>
      <c r="E895" s="41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>
      <c r="A896" s="36"/>
      <c r="B896" s="43"/>
      <c r="C896" s="43"/>
      <c r="D896" s="43"/>
      <c r="E896" s="41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>
      <c r="A897" s="36"/>
      <c r="B897" s="43"/>
      <c r="C897" s="43"/>
      <c r="D897" s="43"/>
      <c r="E897" s="41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>
      <c r="A898" s="36"/>
      <c r="B898" s="43"/>
      <c r="C898" s="43"/>
      <c r="D898" s="43"/>
      <c r="E898" s="41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>
      <c r="A899" s="36"/>
      <c r="B899" s="43"/>
      <c r="C899" s="43"/>
      <c r="D899" s="43"/>
      <c r="E899" s="41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>
      <c r="A900" s="36"/>
      <c r="B900" s="43"/>
      <c r="C900" s="43"/>
      <c r="D900" s="43"/>
      <c r="E900" s="41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>
      <c r="A901" s="36"/>
      <c r="B901" s="43"/>
      <c r="C901" s="43"/>
      <c r="D901" s="43"/>
      <c r="E901" s="41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>
      <c r="A902" s="36"/>
      <c r="B902" s="43"/>
      <c r="C902" s="43"/>
      <c r="D902" s="43"/>
      <c r="E902" s="41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>
      <c r="A903" s="36"/>
      <c r="B903" s="43"/>
      <c r="C903" s="43"/>
      <c r="D903" s="43"/>
      <c r="E903" s="41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>
      <c r="A904" s="36"/>
      <c r="B904" s="43"/>
      <c r="C904" s="43"/>
      <c r="D904" s="43"/>
      <c r="E904" s="41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>
      <c r="A905" s="36"/>
      <c r="B905" s="43"/>
      <c r="C905" s="43"/>
      <c r="D905" s="43"/>
      <c r="E905" s="41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>
      <c r="A906" s="36"/>
      <c r="B906" s="43"/>
      <c r="C906" s="43"/>
      <c r="D906" s="43"/>
      <c r="E906" s="41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>
      <c r="A907" s="36"/>
      <c r="B907" s="43"/>
      <c r="C907" s="43"/>
      <c r="D907" s="43"/>
      <c r="E907" s="41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>
      <c r="A908" s="36"/>
      <c r="B908" s="43"/>
      <c r="C908" s="43"/>
      <c r="D908" s="43"/>
      <c r="E908" s="41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>
      <c r="A909" s="36"/>
      <c r="B909" s="43"/>
      <c r="C909" s="43"/>
      <c r="D909" s="43"/>
      <c r="E909" s="41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>
      <c r="A910" s="36"/>
      <c r="B910" s="43"/>
      <c r="C910" s="43"/>
      <c r="D910" s="43"/>
      <c r="E910" s="41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>
      <c r="A911" s="36"/>
      <c r="B911" s="43"/>
      <c r="C911" s="43"/>
      <c r="D911" s="43"/>
      <c r="E911" s="41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>
      <c r="A912" s="36"/>
      <c r="B912" s="43"/>
      <c r="C912" s="43"/>
      <c r="D912" s="43"/>
      <c r="E912" s="41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>
      <c r="A913" s="36"/>
      <c r="B913" s="43"/>
      <c r="C913" s="43"/>
      <c r="D913" s="43"/>
      <c r="E913" s="41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>
      <c r="A914" s="36"/>
      <c r="B914" s="43"/>
      <c r="C914" s="43"/>
      <c r="D914" s="43"/>
      <c r="E914" s="41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>
      <c r="A915" s="36"/>
      <c r="B915" s="43"/>
      <c r="C915" s="43"/>
      <c r="D915" s="43"/>
      <c r="E915" s="41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>
      <c r="A916" s="36"/>
      <c r="B916" s="43"/>
      <c r="C916" s="43"/>
      <c r="D916" s="43"/>
      <c r="E916" s="41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>
      <c r="A917" s="36"/>
      <c r="B917" s="43"/>
      <c r="C917" s="43"/>
      <c r="D917" s="43"/>
      <c r="E917" s="41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>
      <c r="A918" s="36"/>
      <c r="B918" s="43"/>
      <c r="C918" s="43"/>
      <c r="D918" s="43"/>
      <c r="E918" s="41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>
      <c r="A919" s="36"/>
      <c r="B919" s="43"/>
      <c r="C919" s="43"/>
      <c r="D919" s="43"/>
      <c r="E919" s="41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>
      <c r="A920" s="36"/>
      <c r="B920" s="43"/>
      <c r="C920" s="43"/>
      <c r="D920" s="43"/>
      <c r="E920" s="41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>
      <c r="A921" s="36"/>
      <c r="B921" s="43"/>
      <c r="C921" s="43"/>
      <c r="D921" s="43"/>
      <c r="E921" s="41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>
      <c r="A922" s="36"/>
      <c r="B922" s="43"/>
      <c r="C922" s="43"/>
      <c r="D922" s="43"/>
      <c r="E922" s="41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>
      <c r="A923" s="36"/>
      <c r="B923" s="43"/>
      <c r="C923" s="43"/>
      <c r="D923" s="43"/>
      <c r="E923" s="41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>
      <c r="A924" s="36"/>
      <c r="B924" s="43"/>
      <c r="C924" s="43"/>
      <c r="D924" s="43"/>
      <c r="E924" s="41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>
      <c r="A925" s="36"/>
      <c r="B925" s="43"/>
      <c r="C925" s="43"/>
      <c r="D925" s="43"/>
      <c r="E925" s="41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>
      <c r="A926" s="36"/>
      <c r="B926" s="43"/>
      <c r="C926" s="43"/>
      <c r="D926" s="43"/>
      <c r="E926" s="41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>
      <c r="A927" s="36"/>
      <c r="B927" s="43"/>
      <c r="C927" s="43"/>
      <c r="D927" s="43"/>
      <c r="E927" s="41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>
      <c r="A928" s="36"/>
      <c r="B928" s="43"/>
      <c r="C928" s="43"/>
      <c r="D928" s="43"/>
      <c r="E928" s="41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>
      <c r="A929" s="36"/>
      <c r="B929" s="43"/>
      <c r="C929" s="43"/>
      <c r="D929" s="43"/>
      <c r="E929" s="41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>
      <c r="A930" s="36"/>
      <c r="B930" s="43"/>
      <c r="C930" s="43"/>
      <c r="D930" s="43"/>
      <c r="E930" s="41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>
      <c r="A931" s="36"/>
      <c r="B931" s="43"/>
      <c r="C931" s="43"/>
      <c r="D931" s="43"/>
      <c r="E931" s="41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>
      <c r="A932" s="36"/>
      <c r="B932" s="43"/>
      <c r="C932" s="43"/>
      <c r="D932" s="43"/>
      <c r="E932" s="41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>
      <c r="A933" s="36"/>
      <c r="B933" s="43"/>
      <c r="C933" s="43"/>
      <c r="D933" s="43"/>
      <c r="E933" s="41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>
      <c r="A934" s="36"/>
      <c r="B934" s="43"/>
      <c r="C934" s="43"/>
      <c r="D934" s="43"/>
      <c r="E934" s="41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>
      <c r="A935" s="36"/>
      <c r="B935" s="43"/>
      <c r="C935" s="43"/>
      <c r="D935" s="43"/>
      <c r="E935" s="41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>
      <c r="A936" s="36"/>
      <c r="B936" s="43"/>
      <c r="C936" s="43"/>
      <c r="D936" s="43"/>
      <c r="E936" s="41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>
      <c r="A937" s="36"/>
      <c r="B937" s="43"/>
      <c r="C937" s="43"/>
      <c r="D937" s="43"/>
      <c r="E937" s="41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>
      <c r="A938" s="36"/>
      <c r="B938" s="43"/>
      <c r="C938" s="43"/>
      <c r="D938" s="43"/>
      <c r="E938" s="41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>
      <c r="A939" s="36"/>
      <c r="B939" s="43"/>
      <c r="C939" s="43"/>
      <c r="D939" s="43"/>
      <c r="E939" s="41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>
      <c r="A940" s="36"/>
      <c r="B940" s="43"/>
      <c r="C940" s="43"/>
      <c r="D940" s="43"/>
      <c r="E940" s="41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>
      <c r="A941" s="36"/>
      <c r="B941" s="43"/>
      <c r="C941" s="43"/>
      <c r="D941" s="43"/>
      <c r="E941" s="41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>
      <c r="A942" s="36"/>
      <c r="B942" s="43"/>
      <c r="C942" s="43"/>
      <c r="D942" s="43"/>
      <c r="E942" s="41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>
      <c r="A943" s="36"/>
      <c r="B943" s="43"/>
      <c r="C943" s="43"/>
      <c r="D943" s="43"/>
      <c r="E943" s="41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>
      <c r="A944" s="36"/>
      <c r="B944" s="43"/>
      <c r="C944" s="43"/>
      <c r="D944" s="43"/>
      <c r="E944" s="41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>
      <c r="A945" s="36"/>
      <c r="B945" s="43"/>
      <c r="C945" s="43"/>
      <c r="D945" s="43"/>
      <c r="E945" s="41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>
      <c r="A946" s="36"/>
      <c r="B946" s="43"/>
      <c r="C946" s="43"/>
      <c r="D946" s="43"/>
      <c r="E946" s="41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>
      <c r="A947" s="36"/>
      <c r="B947" s="43"/>
      <c r="C947" s="43"/>
      <c r="D947" s="43"/>
      <c r="E947" s="41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>
      <c r="A948" s="36"/>
      <c r="B948" s="43"/>
      <c r="C948" s="43"/>
      <c r="D948" s="43"/>
      <c r="E948" s="41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>
      <c r="A949" s="36"/>
      <c r="B949" s="43"/>
      <c r="C949" s="43"/>
      <c r="D949" s="43"/>
      <c r="E949" s="41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>
      <c r="A950" s="36"/>
      <c r="B950" s="43"/>
      <c r="C950" s="43"/>
      <c r="D950" s="43"/>
      <c r="E950" s="41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>
      <c r="A951" s="36"/>
      <c r="B951" s="43"/>
      <c r="C951" s="43"/>
      <c r="D951" s="43"/>
      <c r="E951" s="41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>
      <c r="A952" s="36"/>
      <c r="B952" s="43"/>
      <c r="C952" s="43"/>
      <c r="D952" s="43"/>
      <c r="E952" s="41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>
      <c r="A953" s="36"/>
      <c r="B953" s="43"/>
      <c r="C953" s="43"/>
      <c r="D953" s="43"/>
      <c r="E953" s="41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>
      <c r="A954" s="36"/>
      <c r="B954" s="43"/>
      <c r="C954" s="43"/>
      <c r="D954" s="43"/>
      <c r="E954" s="41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>
      <c r="A955" s="36"/>
      <c r="B955" s="43"/>
      <c r="C955" s="43"/>
      <c r="D955" s="43"/>
      <c r="E955" s="41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>
      <c r="A956" s="36"/>
      <c r="B956" s="43"/>
      <c r="C956" s="43"/>
      <c r="D956" s="43"/>
      <c r="E956" s="41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>
      <c r="A957" s="36"/>
      <c r="B957" s="43"/>
      <c r="C957" s="43"/>
      <c r="D957" s="43"/>
      <c r="E957" s="41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>
      <c r="A958" s="36"/>
      <c r="B958" s="43"/>
      <c r="C958" s="43"/>
      <c r="D958" s="43"/>
      <c r="E958" s="41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>
      <c r="A959" s="36"/>
      <c r="B959" s="43"/>
      <c r="C959" s="43"/>
      <c r="D959" s="43"/>
      <c r="E959" s="41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>
      <c r="A960" s="36"/>
      <c r="B960" s="43"/>
      <c r="C960" s="43"/>
      <c r="D960" s="43"/>
      <c r="E960" s="41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>
      <c r="A961" s="36"/>
      <c r="B961" s="43"/>
      <c r="C961" s="43"/>
      <c r="D961" s="43"/>
      <c r="E961" s="41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>
      <c r="A962" s="36"/>
      <c r="B962" s="43"/>
      <c r="C962" s="43"/>
      <c r="D962" s="43"/>
      <c r="E962" s="41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>
      <c r="A963" s="36"/>
      <c r="B963" s="43"/>
      <c r="C963" s="43"/>
      <c r="D963" s="43"/>
      <c r="E963" s="41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>
      <c r="A964" s="36"/>
      <c r="B964" s="43"/>
      <c r="C964" s="43"/>
      <c r="D964" s="43"/>
      <c r="E964" s="41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>
      <c r="A965" s="36"/>
      <c r="B965" s="43"/>
      <c r="C965" s="43"/>
      <c r="D965" s="43"/>
      <c r="E965" s="41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>
      <c r="A966" s="36"/>
      <c r="B966" s="43"/>
      <c r="C966" s="43"/>
      <c r="D966" s="43"/>
      <c r="E966" s="41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>
      <c r="A967" s="36"/>
      <c r="B967" s="43"/>
      <c r="C967" s="43"/>
      <c r="D967" s="43"/>
      <c r="E967" s="41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>
      <c r="A968" s="36"/>
      <c r="B968" s="43"/>
      <c r="C968" s="43"/>
      <c r="D968" s="43"/>
      <c r="E968" s="41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>
      <c r="A969" s="36"/>
      <c r="B969" s="43"/>
      <c r="C969" s="43"/>
      <c r="D969" s="43"/>
      <c r="E969" s="41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>
      <c r="A970" s="36"/>
      <c r="B970" s="43"/>
      <c r="C970" s="43"/>
      <c r="D970" s="43"/>
      <c r="E970" s="41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>
      <c r="A971" s="36"/>
      <c r="B971" s="43"/>
      <c r="C971" s="43"/>
      <c r="D971" s="43"/>
      <c r="E971" s="41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>
      <c r="A972" s="36"/>
      <c r="B972" s="43"/>
      <c r="C972" s="43"/>
      <c r="D972" s="43"/>
      <c r="E972" s="41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>
      <c r="A973" s="36"/>
      <c r="B973" s="43"/>
      <c r="C973" s="43"/>
      <c r="D973" s="43"/>
      <c r="E973" s="41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>
      <c r="A974" s="36"/>
      <c r="B974" s="43"/>
      <c r="C974" s="43"/>
      <c r="D974" s="43"/>
      <c r="E974" s="41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>
      <c r="A975" s="36"/>
      <c r="B975" s="43"/>
      <c r="C975" s="43"/>
      <c r="D975" s="43"/>
      <c r="E975" s="41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>
      <c r="A976" s="36"/>
      <c r="B976" s="43"/>
      <c r="C976" s="43"/>
      <c r="D976" s="43"/>
      <c r="E976" s="41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>
      <c r="A977" s="36"/>
      <c r="B977" s="43"/>
      <c r="C977" s="43"/>
      <c r="D977" s="43"/>
      <c r="E977" s="41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>
      <c r="A978" s="36"/>
      <c r="B978" s="43"/>
      <c r="C978" s="43"/>
      <c r="D978" s="43"/>
      <c r="E978" s="41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>
      <c r="A979" s="36"/>
      <c r="B979" s="43"/>
      <c r="C979" s="43"/>
      <c r="D979" s="43"/>
      <c r="E979" s="41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>
      <c r="A980" s="36"/>
      <c r="B980" s="43"/>
      <c r="C980" s="43"/>
      <c r="D980" s="43"/>
      <c r="E980" s="41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>
      <c r="A981" s="36"/>
      <c r="B981" s="43"/>
      <c r="C981" s="43"/>
      <c r="D981" s="43"/>
      <c r="E981" s="41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>
      <c r="A982" s="36"/>
      <c r="B982" s="43"/>
      <c r="C982" s="43"/>
      <c r="D982" s="43"/>
      <c r="E982" s="41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>
      <c r="A983" s="36"/>
      <c r="B983" s="43"/>
      <c r="C983" s="43"/>
      <c r="D983" s="43"/>
      <c r="E983" s="41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>
      <c r="A984" s="36"/>
      <c r="B984" s="43"/>
      <c r="C984" s="43"/>
      <c r="D984" s="43"/>
      <c r="E984" s="41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>
      <c r="A985" s="36"/>
      <c r="B985" s="43"/>
      <c r="C985" s="43"/>
      <c r="D985" s="43"/>
      <c r="E985" s="41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>
      <c r="A986" s="36"/>
      <c r="B986" s="43"/>
      <c r="C986" s="43"/>
      <c r="D986" s="43"/>
      <c r="E986" s="41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>
      <c r="A987" s="36"/>
      <c r="B987" s="43"/>
      <c r="C987" s="43"/>
      <c r="D987" s="43"/>
      <c r="E987" s="41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>
      <c r="A988" s="36"/>
      <c r="B988" s="43"/>
      <c r="C988" s="43"/>
      <c r="D988" s="43"/>
      <c r="E988" s="41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>
      <c r="A989" s="36"/>
      <c r="B989" s="43"/>
      <c r="C989" s="43"/>
      <c r="D989" s="43"/>
      <c r="E989" s="41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>
      <c r="A990" s="36"/>
      <c r="B990" s="43"/>
      <c r="C990" s="43"/>
      <c r="D990" s="43"/>
      <c r="E990" s="41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>
      <c r="A991" s="36"/>
      <c r="B991" s="43"/>
      <c r="C991" s="43"/>
      <c r="D991" s="43"/>
      <c r="E991" s="41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>
      <c r="A992" s="36"/>
      <c r="B992" s="43"/>
      <c r="C992" s="43"/>
      <c r="D992" s="43"/>
      <c r="E992" s="41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>
      <c r="A993" s="36"/>
      <c r="B993" s="43"/>
      <c r="C993" s="43"/>
      <c r="D993" s="43"/>
      <c r="E993" s="41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>
      <c r="A994" s="36"/>
      <c r="B994" s="43"/>
      <c r="C994" s="43"/>
      <c r="D994" s="43"/>
      <c r="E994" s="41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>
      <c r="A995" s="36"/>
      <c r="B995" s="43"/>
      <c r="C995" s="43"/>
      <c r="D995" s="43"/>
      <c r="E995" s="41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>
      <c r="A996" s="36"/>
      <c r="B996" s="43"/>
      <c r="C996" s="43"/>
      <c r="D996" s="43"/>
      <c r="E996" s="41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>
      <c r="A997" s="36"/>
      <c r="B997" s="43"/>
      <c r="C997" s="43"/>
      <c r="D997" s="43"/>
      <c r="E997" s="41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>
      <c r="A998" s="36"/>
      <c r="B998" s="43"/>
      <c r="C998" s="43"/>
      <c r="D998" s="43"/>
      <c r="E998" s="41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>
      <c r="A999" s="36"/>
      <c r="B999" s="43"/>
      <c r="C999" s="43"/>
      <c r="D999" s="43"/>
      <c r="E999" s="41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>
      <c r="A1000" s="36"/>
      <c r="B1000" s="43"/>
      <c r="C1000" s="43"/>
      <c r="D1000" s="43"/>
      <c r="E1000" s="41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1.33"/>
    <col customWidth="1" min="14" max="14" width="12.56"/>
    <col customWidth="1" min="15" max="15" width="1.11"/>
  </cols>
  <sheetData>
    <row r="1" ht="8.25" customHeight="1">
      <c r="A1" s="44"/>
      <c r="B1" s="44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>
      <c r="A2" s="44"/>
      <c r="B2" s="46" t="s">
        <v>17</v>
      </c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5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>
      <c r="A3" s="45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5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>
      <c r="A4" s="45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>
      <c r="A5" s="45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>
      <c r="A6" s="45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5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>
      <c r="A7" s="45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5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>
      <c r="A8" s="45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5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>
      <c r="A9" s="45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5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>
      <c r="A10" s="45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5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>
      <c r="A11" s="45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5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>
      <c r="A12" s="45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5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>
      <c r="A13" s="45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5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>
      <c r="A14" s="45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5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>
      <c r="A15" s="45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5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>
      <c r="A16" s="45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5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>
      <c r="A17" s="45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5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>
      <c r="A18" s="45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5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>
      <c r="A19" s="45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5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>
      <c r="A20" s="44"/>
      <c r="B20" s="46" t="s">
        <v>3</v>
      </c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5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>
      <c r="A21" s="45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5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>
      <c r="A22" s="45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5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>
      <c r="A23" s="45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5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>
      <c r="A24" s="45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5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>
      <c r="A25" s="45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5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>
      <c r="A26" s="45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5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>
      <c r="A27" s="45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5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>
      <c r="A28" s="45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5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>
      <c r="A29" s="45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5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>
      <c r="A30" s="45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5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>
      <c r="A31" s="45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5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>
      <c r="A32" s="45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5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>
      <c r="A33" s="45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5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>
      <c r="A34" s="45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5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>
      <c r="A35" s="45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5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>
      <c r="A36" s="45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5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>
      <c r="A37" s="45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5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>
      <c r="A38" s="45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5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>
      <c r="A39" s="45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5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>
      <c r="A40" s="44"/>
      <c r="B40" s="46" t="s">
        <v>4</v>
      </c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5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>
      <c r="A41" s="45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5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>
      <c r="A42" s="45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5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>
      <c r="A43" s="45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5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>
      <c r="A44" s="45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5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>
      <c r="A45" s="45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5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>
      <c r="A46" s="45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5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>
      <c r="A47" s="45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5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>
      <c r="A48" s="45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5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>
      <c r="A49" s="45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5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>
      <c r="A50" s="45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5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>
      <c r="A51" s="45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5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>
      <c r="A52" s="45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5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>
      <c r="A53" s="45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5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>
      <c r="A54" s="45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5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>
      <c r="A55" s="45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5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>
      <c r="A56" s="45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5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>
      <c r="A57" s="45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5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>
      <c r="A58" s="45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5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>
      <c r="A59" s="48"/>
      <c r="B59" s="49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5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>
      <c r="A60" s="44"/>
      <c r="B60" s="46" t="s">
        <v>5</v>
      </c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5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>
      <c r="A61" s="45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5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>
      <c r="A62" s="45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5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>
      <c r="A63" s="45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5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>
      <c r="A64" s="45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5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>
      <c r="A65" s="45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5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>
      <c r="A66" s="45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5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>
      <c r="A67" s="45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5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>
      <c r="A68" s="45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5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>
      <c r="A69" s="45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5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>
      <c r="A70" s="45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5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>
      <c r="A71" s="45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5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>
      <c r="A72" s="45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5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>
      <c r="A73" s="45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5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>
      <c r="A74" s="45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5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>
      <c r="A75" s="45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5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>
      <c r="A76" s="45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5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>
      <c r="A77" s="45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5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>
      <c r="A78" s="45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5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>
      <c r="A79" s="50"/>
      <c r="B79" s="51" t="s">
        <v>18</v>
      </c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5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>
      <c r="A80" s="45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5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>
      <c r="A81" s="45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5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>
      <c r="A82" s="45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5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>
      <c r="A83" s="45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5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>
      <c r="A84" s="45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5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>
      <c r="A85" s="45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5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>
      <c r="A86" s="45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5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>
      <c r="A87" s="45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5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>
      <c r="A88" s="45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5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>
      <c r="A89" s="45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5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>
      <c r="A90" s="45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5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>
      <c r="A91" s="45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5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>
      <c r="A92" s="45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5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>
      <c r="A93" s="45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5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>
      <c r="A94" s="45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5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>
      <c r="A95" s="45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5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>
      <c r="A96" s="45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5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>
      <c r="A97" s="45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5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>
      <c r="A98" s="45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5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>
      <c r="A99" s="45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5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>
      <c r="A100" s="45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5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>
      <c r="A101" s="45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5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>
      <c r="A102" s="45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5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>
      <c r="A103" s="45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5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>
      <c r="A104" s="45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5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>
      <c r="A105" s="45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5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>
      <c r="A106" s="45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5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>
      <c r="A107" s="45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5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>
      <c r="A108" s="45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5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>
      <c r="A109" s="45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5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>
      <c r="A110" s="45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5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>
      <c r="A111" s="45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5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>
      <c r="A112" s="45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5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>
      <c r="A113" s="45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5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>
      <c r="A114" s="45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5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>
      <c r="A115" s="45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5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>
      <c r="A116" s="45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5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>
      <c r="A117" s="45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5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ht="7.5" customHeight="1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sheetData>
    <row r="1">
      <c r="A1" s="52" t="str">
        <f>IFERROR(__xludf.DUMMYFUNCTION("QUERY(Dataset!A:F, ""SELECT A,B,C,D,E,F WHERE A='Mexico' AND F=0"",1)"),"País")</f>
        <v>País</v>
      </c>
      <c r="B1" s="52" t="str">
        <f>IFERROR(__xludf.DUMMYFUNCTION("""COMPUTED_VALUE"""),"Fecha inicio")</f>
        <v>Fecha inicio</v>
      </c>
      <c r="C1" s="52" t="str">
        <f>IFERROR(__xludf.DUMMYFUNCTION("""COMPUTED_VALUE"""),"Fecha fin")</f>
        <v>Fecha fin</v>
      </c>
      <c r="D1" s="52" t="str">
        <f>IFERROR(__xludf.DUMMYFUNCTION("""COMPUTED_VALUE"""),"Semana")</f>
        <v>Semana</v>
      </c>
      <c r="E1" s="52" t="str">
        <f>IFERROR(__xludf.DUMMYFUNCTION("""COMPUTED_VALUE"""),"Total muertes reportadas")</f>
        <v>Total muertes reportadas</v>
      </c>
      <c r="F1" s="52" t="str">
        <f>IFERROR(__xludf.DUMMYFUNCTION("""COMPUTED_VALUE"""),"Total muertes reportadas por covid")</f>
        <v>Total muertes reportadas por covid</v>
      </c>
      <c r="G1" s="53" t="s">
        <v>8</v>
      </c>
      <c r="H1" s="53" t="s">
        <v>19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17" t="str">
        <f>IFERROR(__xludf.DUMMYFUNCTION("""COMPUTED_VALUE"""),"Mexico")</f>
        <v>Mexico</v>
      </c>
      <c r="B2" s="54">
        <f>IFERROR(__xludf.DUMMYFUNCTION("""COMPUTED_VALUE"""),42002.0)</f>
        <v>42002</v>
      </c>
      <c r="C2" s="19">
        <f>IFERROR(__xludf.DUMMYFUNCTION("""COMPUTED_VALUE"""),42008.0)</f>
        <v>42008</v>
      </c>
      <c r="D2" s="17">
        <f>IFERROR(__xludf.DUMMYFUNCTION("""COMPUTED_VALUE"""),1.0)</f>
        <v>1</v>
      </c>
      <c r="E2" s="17">
        <f>IFERROR(__xludf.DUMMYFUNCTION("""COMPUTED_VALUE"""),15101.0)</f>
        <v>15101</v>
      </c>
      <c r="F2" s="17">
        <f>IFERROR(__xludf.DUMMYFUNCTION("""COMPUTED_VALUE"""),0.0)</f>
        <v>0</v>
      </c>
      <c r="G2" s="55">
        <v>1.0</v>
      </c>
      <c r="H2" s="21">
        <f t="shared" ref="H2:H54" si="1">AVERAGEIFS($E$2:$E$273,$D$2:$D$273,G2)</f>
        <v>15779</v>
      </c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tr">
        <f>IFERROR(__xludf.DUMMYFUNCTION("""COMPUTED_VALUE"""),"Mexico")</f>
        <v>Mexico</v>
      </c>
      <c r="B3" s="54">
        <f>IFERROR(__xludf.DUMMYFUNCTION("""COMPUTED_VALUE"""),42009.0)</f>
        <v>42009</v>
      </c>
      <c r="C3" s="19">
        <f>IFERROR(__xludf.DUMMYFUNCTION("""COMPUTED_VALUE"""),42015.0)</f>
        <v>42015</v>
      </c>
      <c r="D3" s="17">
        <f>IFERROR(__xludf.DUMMYFUNCTION("""COMPUTED_VALUE"""),2.0)</f>
        <v>2</v>
      </c>
      <c r="E3" s="17">
        <f>IFERROR(__xludf.DUMMYFUNCTION("""COMPUTED_VALUE"""),15449.0)</f>
        <v>15449</v>
      </c>
      <c r="F3" s="17">
        <f>IFERROR(__xludf.DUMMYFUNCTION("""COMPUTED_VALUE"""),0.0)</f>
        <v>0</v>
      </c>
      <c r="G3" s="55">
        <v>2.0</v>
      </c>
      <c r="H3" s="21">
        <f t="shared" si="1"/>
        <v>15680</v>
      </c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tr">
        <f>IFERROR(__xludf.DUMMYFUNCTION("""COMPUTED_VALUE"""),"Mexico")</f>
        <v>Mexico</v>
      </c>
      <c r="B4" s="54">
        <f>IFERROR(__xludf.DUMMYFUNCTION("""COMPUTED_VALUE"""),42016.0)</f>
        <v>42016</v>
      </c>
      <c r="C4" s="19">
        <f>IFERROR(__xludf.DUMMYFUNCTION("""COMPUTED_VALUE"""),42022.0)</f>
        <v>42022</v>
      </c>
      <c r="D4" s="17">
        <f>IFERROR(__xludf.DUMMYFUNCTION("""COMPUTED_VALUE"""),3.0)</f>
        <v>3</v>
      </c>
      <c r="E4" s="17">
        <f>IFERROR(__xludf.DUMMYFUNCTION("""COMPUTED_VALUE"""),14820.0)</f>
        <v>14820</v>
      </c>
      <c r="F4" s="17">
        <f>IFERROR(__xludf.DUMMYFUNCTION("""COMPUTED_VALUE"""),0.0)</f>
        <v>0</v>
      </c>
      <c r="G4" s="55">
        <v>3.0</v>
      </c>
      <c r="H4" s="21">
        <f t="shared" si="1"/>
        <v>15454.16667</v>
      </c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tr">
        <f>IFERROR(__xludf.DUMMYFUNCTION("""COMPUTED_VALUE"""),"Mexico")</f>
        <v>Mexico</v>
      </c>
      <c r="B5" s="54">
        <f>IFERROR(__xludf.DUMMYFUNCTION("""COMPUTED_VALUE"""),42023.0)</f>
        <v>42023</v>
      </c>
      <c r="C5" s="19">
        <f>IFERROR(__xludf.DUMMYFUNCTION("""COMPUTED_VALUE"""),42029.0)</f>
        <v>42029</v>
      </c>
      <c r="D5" s="17">
        <f>IFERROR(__xludf.DUMMYFUNCTION("""COMPUTED_VALUE"""),4.0)</f>
        <v>4</v>
      </c>
      <c r="E5" s="17">
        <f>IFERROR(__xludf.DUMMYFUNCTION("""COMPUTED_VALUE"""),14172.0)</f>
        <v>14172</v>
      </c>
      <c r="F5" s="17">
        <f>IFERROR(__xludf.DUMMYFUNCTION("""COMPUTED_VALUE"""),0.0)</f>
        <v>0</v>
      </c>
      <c r="G5" s="55">
        <v>4.0</v>
      </c>
      <c r="H5" s="21">
        <f t="shared" si="1"/>
        <v>15116.33333</v>
      </c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tr">
        <f>IFERROR(__xludf.DUMMYFUNCTION("""COMPUTED_VALUE"""),"Mexico")</f>
        <v>Mexico</v>
      </c>
      <c r="B6" s="54">
        <f>IFERROR(__xludf.DUMMYFUNCTION("""COMPUTED_VALUE"""),42030.0)</f>
        <v>42030</v>
      </c>
      <c r="C6" s="19">
        <f>IFERROR(__xludf.DUMMYFUNCTION("""COMPUTED_VALUE"""),42036.0)</f>
        <v>42036</v>
      </c>
      <c r="D6" s="17">
        <f>IFERROR(__xludf.DUMMYFUNCTION("""COMPUTED_VALUE"""),5.0)</f>
        <v>5</v>
      </c>
      <c r="E6" s="17">
        <f>IFERROR(__xludf.DUMMYFUNCTION("""COMPUTED_VALUE"""),13628.0)</f>
        <v>13628</v>
      </c>
      <c r="F6" s="17">
        <f>IFERROR(__xludf.DUMMYFUNCTION("""COMPUTED_VALUE"""),0.0)</f>
        <v>0</v>
      </c>
      <c r="G6" s="55">
        <v>5.0</v>
      </c>
      <c r="H6" s="21">
        <f t="shared" si="1"/>
        <v>15013.5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tr">
        <f>IFERROR(__xludf.DUMMYFUNCTION("""COMPUTED_VALUE"""),"Mexico")</f>
        <v>Mexico</v>
      </c>
      <c r="B7" s="54">
        <f>IFERROR(__xludf.DUMMYFUNCTION("""COMPUTED_VALUE"""),42037.0)</f>
        <v>42037</v>
      </c>
      <c r="C7" s="19">
        <f>IFERROR(__xludf.DUMMYFUNCTION("""COMPUTED_VALUE"""),42043.0)</f>
        <v>42043</v>
      </c>
      <c r="D7" s="17">
        <f>IFERROR(__xludf.DUMMYFUNCTION("""COMPUTED_VALUE"""),6.0)</f>
        <v>6</v>
      </c>
      <c r="E7" s="17">
        <f>IFERROR(__xludf.DUMMYFUNCTION("""COMPUTED_VALUE"""),13914.0)</f>
        <v>13914</v>
      </c>
      <c r="F7" s="17">
        <f>IFERROR(__xludf.DUMMYFUNCTION("""COMPUTED_VALUE"""),0.0)</f>
        <v>0</v>
      </c>
      <c r="G7" s="55">
        <v>6.0</v>
      </c>
      <c r="H7" s="21">
        <f t="shared" si="1"/>
        <v>15106.83333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tr">
        <f>IFERROR(__xludf.DUMMYFUNCTION("""COMPUTED_VALUE"""),"Mexico")</f>
        <v>Mexico</v>
      </c>
      <c r="B8" s="54">
        <f>IFERROR(__xludf.DUMMYFUNCTION("""COMPUTED_VALUE"""),42044.0)</f>
        <v>42044</v>
      </c>
      <c r="C8" s="19">
        <f>IFERROR(__xludf.DUMMYFUNCTION("""COMPUTED_VALUE"""),42050.0)</f>
        <v>42050</v>
      </c>
      <c r="D8" s="17">
        <f>IFERROR(__xludf.DUMMYFUNCTION("""COMPUTED_VALUE"""),7.0)</f>
        <v>7</v>
      </c>
      <c r="E8" s="17">
        <f>IFERROR(__xludf.DUMMYFUNCTION("""COMPUTED_VALUE"""),13550.0)</f>
        <v>13550</v>
      </c>
      <c r="F8" s="17">
        <f>IFERROR(__xludf.DUMMYFUNCTION("""COMPUTED_VALUE"""),0.0)</f>
        <v>0</v>
      </c>
      <c r="G8" s="55">
        <v>7.0</v>
      </c>
      <c r="H8" s="21">
        <f t="shared" si="1"/>
        <v>14724.66667</v>
      </c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tr">
        <f>IFERROR(__xludf.DUMMYFUNCTION("""COMPUTED_VALUE"""),"Mexico")</f>
        <v>Mexico</v>
      </c>
      <c r="B9" s="54">
        <f>IFERROR(__xludf.DUMMYFUNCTION("""COMPUTED_VALUE"""),42051.0)</f>
        <v>42051</v>
      </c>
      <c r="C9" s="19">
        <f>IFERROR(__xludf.DUMMYFUNCTION("""COMPUTED_VALUE"""),42057.0)</f>
        <v>42057</v>
      </c>
      <c r="D9" s="17">
        <f>IFERROR(__xludf.DUMMYFUNCTION("""COMPUTED_VALUE"""),8.0)</f>
        <v>8</v>
      </c>
      <c r="E9" s="17">
        <f>IFERROR(__xludf.DUMMYFUNCTION("""COMPUTED_VALUE"""),13799.0)</f>
        <v>13799</v>
      </c>
      <c r="F9" s="17">
        <f>IFERROR(__xludf.DUMMYFUNCTION("""COMPUTED_VALUE"""),0.0)</f>
        <v>0</v>
      </c>
      <c r="G9" s="55">
        <v>8.0</v>
      </c>
      <c r="H9" s="21">
        <f t="shared" si="1"/>
        <v>14427.66667</v>
      </c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tr">
        <f>IFERROR(__xludf.DUMMYFUNCTION("""COMPUTED_VALUE"""),"Mexico")</f>
        <v>Mexico</v>
      </c>
      <c r="B10" s="54">
        <f>IFERROR(__xludf.DUMMYFUNCTION("""COMPUTED_VALUE"""),42058.0)</f>
        <v>42058</v>
      </c>
      <c r="C10" s="19">
        <f>IFERROR(__xludf.DUMMYFUNCTION("""COMPUTED_VALUE"""),42064.0)</f>
        <v>42064</v>
      </c>
      <c r="D10" s="17">
        <f>IFERROR(__xludf.DUMMYFUNCTION("""COMPUTED_VALUE"""),9.0)</f>
        <v>9</v>
      </c>
      <c r="E10" s="17">
        <f>IFERROR(__xludf.DUMMYFUNCTION("""COMPUTED_VALUE"""),13054.0)</f>
        <v>13054</v>
      </c>
      <c r="F10" s="17">
        <f>IFERROR(__xludf.DUMMYFUNCTION("""COMPUTED_VALUE"""),0.0)</f>
        <v>0</v>
      </c>
      <c r="G10" s="55">
        <v>9.0</v>
      </c>
      <c r="H10" s="21">
        <f t="shared" si="1"/>
        <v>14143.83333</v>
      </c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tr">
        <f>IFERROR(__xludf.DUMMYFUNCTION("""COMPUTED_VALUE"""),"Mexico")</f>
        <v>Mexico</v>
      </c>
      <c r="B11" s="54">
        <f>IFERROR(__xludf.DUMMYFUNCTION("""COMPUTED_VALUE"""),42065.0)</f>
        <v>42065</v>
      </c>
      <c r="C11" s="19">
        <f>IFERROR(__xludf.DUMMYFUNCTION("""COMPUTED_VALUE"""),42071.0)</f>
        <v>42071</v>
      </c>
      <c r="D11" s="17">
        <f>IFERROR(__xludf.DUMMYFUNCTION("""COMPUTED_VALUE"""),10.0)</f>
        <v>10</v>
      </c>
      <c r="E11" s="17">
        <f>IFERROR(__xludf.DUMMYFUNCTION("""COMPUTED_VALUE"""),12979.0)</f>
        <v>12979</v>
      </c>
      <c r="F11" s="17">
        <f>IFERROR(__xludf.DUMMYFUNCTION("""COMPUTED_VALUE"""),0.0)</f>
        <v>0</v>
      </c>
      <c r="G11" s="55">
        <v>10.0</v>
      </c>
      <c r="H11" s="21">
        <f t="shared" si="1"/>
        <v>13855.66667</v>
      </c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tr">
        <f>IFERROR(__xludf.DUMMYFUNCTION("""COMPUTED_VALUE"""),"Mexico")</f>
        <v>Mexico</v>
      </c>
      <c r="B12" s="54">
        <f>IFERROR(__xludf.DUMMYFUNCTION("""COMPUTED_VALUE"""),42072.0)</f>
        <v>42072</v>
      </c>
      <c r="C12" s="19">
        <f>IFERROR(__xludf.DUMMYFUNCTION("""COMPUTED_VALUE"""),42078.0)</f>
        <v>42078</v>
      </c>
      <c r="D12" s="17">
        <f>IFERROR(__xludf.DUMMYFUNCTION("""COMPUTED_VALUE"""),11.0)</f>
        <v>11</v>
      </c>
      <c r="E12" s="17">
        <f>IFERROR(__xludf.DUMMYFUNCTION("""COMPUTED_VALUE"""),12498.0)</f>
        <v>12498</v>
      </c>
      <c r="F12" s="17">
        <f>IFERROR(__xludf.DUMMYFUNCTION("""COMPUTED_VALUE"""),0.0)</f>
        <v>0</v>
      </c>
      <c r="G12" s="55">
        <v>11.0</v>
      </c>
      <c r="H12" s="21">
        <f t="shared" si="1"/>
        <v>13595.66667</v>
      </c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tr">
        <f>IFERROR(__xludf.DUMMYFUNCTION("""COMPUTED_VALUE"""),"Mexico")</f>
        <v>Mexico</v>
      </c>
      <c r="B13" s="54">
        <f>IFERROR(__xludf.DUMMYFUNCTION("""COMPUTED_VALUE"""),42079.0)</f>
        <v>42079</v>
      </c>
      <c r="C13" s="19">
        <f>IFERROR(__xludf.DUMMYFUNCTION("""COMPUTED_VALUE"""),42085.0)</f>
        <v>42085</v>
      </c>
      <c r="D13" s="17">
        <f>IFERROR(__xludf.DUMMYFUNCTION("""COMPUTED_VALUE"""),12.0)</f>
        <v>12</v>
      </c>
      <c r="E13" s="17">
        <f>IFERROR(__xludf.DUMMYFUNCTION("""COMPUTED_VALUE"""),13133.0)</f>
        <v>13133</v>
      </c>
      <c r="F13" s="17">
        <f>IFERROR(__xludf.DUMMYFUNCTION("""COMPUTED_VALUE"""),0.0)</f>
        <v>0</v>
      </c>
      <c r="G13" s="55">
        <v>12.0</v>
      </c>
      <c r="H13" s="21">
        <f t="shared" si="1"/>
        <v>13468.6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tr">
        <f>IFERROR(__xludf.DUMMYFUNCTION("""COMPUTED_VALUE"""),"Mexico")</f>
        <v>Mexico</v>
      </c>
      <c r="B14" s="54">
        <f>IFERROR(__xludf.DUMMYFUNCTION("""COMPUTED_VALUE"""),42086.0)</f>
        <v>42086</v>
      </c>
      <c r="C14" s="19">
        <f>IFERROR(__xludf.DUMMYFUNCTION("""COMPUTED_VALUE"""),42092.0)</f>
        <v>42092</v>
      </c>
      <c r="D14" s="17">
        <f>IFERROR(__xludf.DUMMYFUNCTION("""COMPUTED_VALUE"""),13.0)</f>
        <v>13</v>
      </c>
      <c r="E14" s="17">
        <f>IFERROR(__xludf.DUMMYFUNCTION("""COMPUTED_VALUE"""),12066.0)</f>
        <v>12066</v>
      </c>
      <c r="F14" s="17">
        <f>IFERROR(__xludf.DUMMYFUNCTION("""COMPUTED_VALUE"""),0.0)</f>
        <v>0</v>
      </c>
      <c r="G14" s="55">
        <v>13.0</v>
      </c>
      <c r="H14" s="21">
        <f t="shared" si="1"/>
        <v>13175.6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tr">
        <f>IFERROR(__xludf.DUMMYFUNCTION("""COMPUTED_VALUE"""),"Mexico")</f>
        <v>Mexico</v>
      </c>
      <c r="B15" s="54">
        <f>IFERROR(__xludf.DUMMYFUNCTION("""COMPUTED_VALUE"""),42093.0)</f>
        <v>42093</v>
      </c>
      <c r="C15" s="19">
        <f>IFERROR(__xludf.DUMMYFUNCTION("""COMPUTED_VALUE"""),42099.0)</f>
        <v>42099</v>
      </c>
      <c r="D15" s="17">
        <f>IFERROR(__xludf.DUMMYFUNCTION("""COMPUTED_VALUE"""),14.0)</f>
        <v>14</v>
      </c>
      <c r="E15" s="17">
        <f>IFERROR(__xludf.DUMMYFUNCTION("""COMPUTED_VALUE"""),12477.0)</f>
        <v>12477</v>
      </c>
      <c r="F15" s="17">
        <f>IFERROR(__xludf.DUMMYFUNCTION("""COMPUTED_VALUE"""),0.0)</f>
        <v>0</v>
      </c>
      <c r="G15" s="55">
        <v>14.0</v>
      </c>
      <c r="H15" s="21">
        <f t="shared" si="1"/>
        <v>13256.6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tr">
        <f>IFERROR(__xludf.DUMMYFUNCTION("""COMPUTED_VALUE"""),"Mexico")</f>
        <v>Mexico</v>
      </c>
      <c r="B16" s="54">
        <f>IFERROR(__xludf.DUMMYFUNCTION("""COMPUTED_VALUE"""),42100.0)</f>
        <v>42100</v>
      </c>
      <c r="C16" s="19">
        <f>IFERROR(__xludf.DUMMYFUNCTION("""COMPUTED_VALUE"""),42106.0)</f>
        <v>42106</v>
      </c>
      <c r="D16" s="17">
        <f>IFERROR(__xludf.DUMMYFUNCTION("""COMPUTED_VALUE"""),15.0)</f>
        <v>15</v>
      </c>
      <c r="E16" s="17">
        <f>IFERROR(__xludf.DUMMYFUNCTION("""COMPUTED_VALUE"""),12202.0)</f>
        <v>12202</v>
      </c>
      <c r="F16" s="17">
        <f>IFERROR(__xludf.DUMMYFUNCTION("""COMPUTED_VALUE"""),0.0)</f>
        <v>0</v>
      </c>
      <c r="G16" s="55">
        <v>15.0</v>
      </c>
      <c r="H16" s="21">
        <f t="shared" si="1"/>
        <v>12888</v>
      </c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tr">
        <f>IFERROR(__xludf.DUMMYFUNCTION("""COMPUTED_VALUE"""),"Mexico")</f>
        <v>Mexico</v>
      </c>
      <c r="B17" s="54">
        <f>IFERROR(__xludf.DUMMYFUNCTION("""COMPUTED_VALUE"""),42107.0)</f>
        <v>42107</v>
      </c>
      <c r="C17" s="19">
        <f>IFERROR(__xludf.DUMMYFUNCTION("""COMPUTED_VALUE"""),42113.0)</f>
        <v>42113</v>
      </c>
      <c r="D17" s="17">
        <f>IFERROR(__xludf.DUMMYFUNCTION("""COMPUTED_VALUE"""),16.0)</f>
        <v>16</v>
      </c>
      <c r="E17" s="17">
        <f>IFERROR(__xludf.DUMMYFUNCTION("""COMPUTED_VALUE"""),11796.0)</f>
        <v>11796</v>
      </c>
      <c r="F17" s="17">
        <f>IFERROR(__xludf.DUMMYFUNCTION("""COMPUTED_VALUE"""),0.0)</f>
        <v>0</v>
      </c>
      <c r="G17" s="55">
        <v>16.0</v>
      </c>
      <c r="H17" s="21">
        <f t="shared" si="1"/>
        <v>12754</v>
      </c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tr">
        <f>IFERROR(__xludf.DUMMYFUNCTION("""COMPUTED_VALUE"""),"Mexico")</f>
        <v>Mexico</v>
      </c>
      <c r="B18" s="54">
        <f>IFERROR(__xludf.DUMMYFUNCTION("""COMPUTED_VALUE"""),42114.0)</f>
        <v>42114</v>
      </c>
      <c r="C18" s="19">
        <f>IFERROR(__xludf.DUMMYFUNCTION("""COMPUTED_VALUE"""),42120.0)</f>
        <v>42120</v>
      </c>
      <c r="D18" s="17">
        <f>IFERROR(__xludf.DUMMYFUNCTION("""COMPUTED_VALUE"""),17.0)</f>
        <v>17</v>
      </c>
      <c r="E18" s="17">
        <f>IFERROR(__xludf.DUMMYFUNCTION("""COMPUTED_VALUE"""),12403.0)</f>
        <v>12403</v>
      </c>
      <c r="F18" s="17">
        <f>IFERROR(__xludf.DUMMYFUNCTION("""COMPUTED_VALUE"""),0.0)</f>
        <v>0</v>
      </c>
      <c r="G18" s="55">
        <v>17.0</v>
      </c>
      <c r="H18" s="21">
        <f t="shared" si="1"/>
        <v>12924.4</v>
      </c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tr">
        <f>IFERROR(__xludf.DUMMYFUNCTION("""COMPUTED_VALUE"""),"Mexico")</f>
        <v>Mexico</v>
      </c>
      <c r="B19" s="54">
        <f>IFERROR(__xludf.DUMMYFUNCTION("""COMPUTED_VALUE"""),42121.0)</f>
        <v>42121</v>
      </c>
      <c r="C19" s="19">
        <f>IFERROR(__xludf.DUMMYFUNCTION("""COMPUTED_VALUE"""),42127.0)</f>
        <v>42127</v>
      </c>
      <c r="D19" s="17">
        <f>IFERROR(__xludf.DUMMYFUNCTION("""COMPUTED_VALUE"""),18.0)</f>
        <v>18</v>
      </c>
      <c r="E19" s="17">
        <f>IFERROR(__xludf.DUMMYFUNCTION("""COMPUTED_VALUE"""),11763.0)</f>
        <v>11763</v>
      </c>
      <c r="F19" s="17">
        <f>IFERROR(__xludf.DUMMYFUNCTION("""COMPUTED_VALUE"""),0.0)</f>
        <v>0</v>
      </c>
      <c r="G19" s="55">
        <v>18.0</v>
      </c>
      <c r="H19" s="21">
        <f t="shared" si="1"/>
        <v>12848</v>
      </c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tr">
        <f>IFERROR(__xludf.DUMMYFUNCTION("""COMPUTED_VALUE"""),"Mexico")</f>
        <v>Mexico</v>
      </c>
      <c r="B20" s="54">
        <f>IFERROR(__xludf.DUMMYFUNCTION("""COMPUTED_VALUE"""),42128.0)</f>
        <v>42128</v>
      </c>
      <c r="C20" s="19">
        <f>IFERROR(__xludf.DUMMYFUNCTION("""COMPUTED_VALUE"""),42134.0)</f>
        <v>42134</v>
      </c>
      <c r="D20" s="17">
        <f>IFERROR(__xludf.DUMMYFUNCTION("""COMPUTED_VALUE"""),19.0)</f>
        <v>19</v>
      </c>
      <c r="E20" s="17">
        <f>IFERROR(__xludf.DUMMYFUNCTION("""COMPUTED_VALUE"""),12059.0)</f>
        <v>12059</v>
      </c>
      <c r="F20" s="17">
        <f>IFERROR(__xludf.DUMMYFUNCTION("""COMPUTED_VALUE"""),0.0)</f>
        <v>0</v>
      </c>
      <c r="G20" s="55">
        <v>19.0</v>
      </c>
      <c r="H20" s="21">
        <f t="shared" si="1"/>
        <v>12796.2</v>
      </c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tr">
        <f>IFERROR(__xludf.DUMMYFUNCTION("""COMPUTED_VALUE"""),"Mexico")</f>
        <v>Mexico</v>
      </c>
      <c r="B21" s="54">
        <f>IFERROR(__xludf.DUMMYFUNCTION("""COMPUTED_VALUE"""),42135.0)</f>
        <v>42135</v>
      </c>
      <c r="C21" s="19">
        <f>IFERROR(__xludf.DUMMYFUNCTION("""COMPUTED_VALUE"""),42141.0)</f>
        <v>42141</v>
      </c>
      <c r="D21" s="17">
        <f>IFERROR(__xludf.DUMMYFUNCTION("""COMPUTED_VALUE"""),20.0)</f>
        <v>20</v>
      </c>
      <c r="E21" s="17">
        <f>IFERROR(__xludf.DUMMYFUNCTION("""COMPUTED_VALUE"""),11732.0)</f>
        <v>11732</v>
      </c>
      <c r="F21" s="17">
        <f>IFERROR(__xludf.DUMMYFUNCTION("""COMPUTED_VALUE"""),0.0)</f>
        <v>0</v>
      </c>
      <c r="G21" s="55">
        <v>20.0</v>
      </c>
      <c r="H21" s="21">
        <f t="shared" si="1"/>
        <v>12867.6</v>
      </c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tr">
        <f>IFERROR(__xludf.DUMMYFUNCTION("""COMPUTED_VALUE"""),"Mexico")</f>
        <v>Mexico</v>
      </c>
      <c r="B22" s="54">
        <f>IFERROR(__xludf.DUMMYFUNCTION("""COMPUTED_VALUE"""),42142.0)</f>
        <v>42142</v>
      </c>
      <c r="C22" s="19">
        <f>IFERROR(__xludf.DUMMYFUNCTION("""COMPUTED_VALUE"""),42148.0)</f>
        <v>42148</v>
      </c>
      <c r="D22" s="17">
        <f>IFERROR(__xludf.DUMMYFUNCTION("""COMPUTED_VALUE"""),21.0)</f>
        <v>21</v>
      </c>
      <c r="E22" s="17">
        <f>IFERROR(__xludf.DUMMYFUNCTION("""COMPUTED_VALUE"""),11856.0)</f>
        <v>11856</v>
      </c>
      <c r="F22" s="17">
        <f>IFERROR(__xludf.DUMMYFUNCTION("""COMPUTED_VALUE"""),0.0)</f>
        <v>0</v>
      </c>
      <c r="G22" s="55">
        <v>21.0</v>
      </c>
      <c r="H22" s="21">
        <f t="shared" si="1"/>
        <v>13065</v>
      </c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tr">
        <f>IFERROR(__xludf.DUMMYFUNCTION("""COMPUTED_VALUE"""),"Mexico")</f>
        <v>Mexico</v>
      </c>
      <c r="B23" s="54">
        <f>IFERROR(__xludf.DUMMYFUNCTION("""COMPUTED_VALUE"""),42149.0)</f>
        <v>42149</v>
      </c>
      <c r="C23" s="19">
        <f>IFERROR(__xludf.DUMMYFUNCTION("""COMPUTED_VALUE"""),42155.0)</f>
        <v>42155</v>
      </c>
      <c r="D23" s="17">
        <f>IFERROR(__xludf.DUMMYFUNCTION("""COMPUTED_VALUE"""),22.0)</f>
        <v>22</v>
      </c>
      <c r="E23" s="17">
        <f>IFERROR(__xludf.DUMMYFUNCTION("""COMPUTED_VALUE"""),11608.0)</f>
        <v>11608</v>
      </c>
      <c r="F23" s="17">
        <f>IFERROR(__xludf.DUMMYFUNCTION("""COMPUTED_VALUE"""),0.0)</f>
        <v>0</v>
      </c>
      <c r="G23" s="55">
        <v>22.0</v>
      </c>
      <c r="H23" s="21">
        <f t="shared" si="1"/>
        <v>12669</v>
      </c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tr">
        <f>IFERROR(__xludf.DUMMYFUNCTION("""COMPUTED_VALUE"""),"Mexico")</f>
        <v>Mexico</v>
      </c>
      <c r="B24" s="54">
        <f>IFERROR(__xludf.DUMMYFUNCTION("""COMPUTED_VALUE"""),42156.0)</f>
        <v>42156</v>
      </c>
      <c r="C24" s="19">
        <f>IFERROR(__xludf.DUMMYFUNCTION("""COMPUTED_VALUE"""),42162.0)</f>
        <v>42162</v>
      </c>
      <c r="D24" s="17">
        <f>IFERROR(__xludf.DUMMYFUNCTION("""COMPUTED_VALUE"""),23.0)</f>
        <v>23</v>
      </c>
      <c r="E24" s="17">
        <f>IFERROR(__xludf.DUMMYFUNCTION("""COMPUTED_VALUE"""),11876.0)</f>
        <v>11876</v>
      </c>
      <c r="F24" s="17">
        <f>IFERROR(__xludf.DUMMYFUNCTION("""COMPUTED_VALUE"""),0.0)</f>
        <v>0</v>
      </c>
      <c r="G24" s="55">
        <v>23.0</v>
      </c>
      <c r="H24" s="21">
        <f t="shared" si="1"/>
        <v>12609.4</v>
      </c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tr">
        <f>IFERROR(__xludf.DUMMYFUNCTION("""COMPUTED_VALUE"""),"Mexico")</f>
        <v>Mexico</v>
      </c>
      <c r="B25" s="54">
        <f>IFERROR(__xludf.DUMMYFUNCTION("""COMPUTED_VALUE"""),42163.0)</f>
        <v>42163</v>
      </c>
      <c r="C25" s="19">
        <f>IFERROR(__xludf.DUMMYFUNCTION("""COMPUTED_VALUE"""),42169.0)</f>
        <v>42169</v>
      </c>
      <c r="D25" s="17">
        <f>IFERROR(__xludf.DUMMYFUNCTION("""COMPUTED_VALUE"""),24.0)</f>
        <v>24</v>
      </c>
      <c r="E25" s="17">
        <f>IFERROR(__xludf.DUMMYFUNCTION("""COMPUTED_VALUE"""),11709.0)</f>
        <v>11709</v>
      </c>
      <c r="F25" s="17">
        <f>IFERROR(__xludf.DUMMYFUNCTION("""COMPUTED_VALUE"""),0.0)</f>
        <v>0</v>
      </c>
      <c r="G25" s="55">
        <v>24.0</v>
      </c>
      <c r="H25" s="21">
        <f t="shared" si="1"/>
        <v>12455.2</v>
      </c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tr">
        <f>IFERROR(__xludf.DUMMYFUNCTION("""COMPUTED_VALUE"""),"Mexico")</f>
        <v>Mexico</v>
      </c>
      <c r="B26" s="54">
        <f>IFERROR(__xludf.DUMMYFUNCTION("""COMPUTED_VALUE"""),42170.0)</f>
        <v>42170</v>
      </c>
      <c r="C26" s="19">
        <f>IFERROR(__xludf.DUMMYFUNCTION("""COMPUTED_VALUE"""),42176.0)</f>
        <v>42176</v>
      </c>
      <c r="D26" s="17">
        <f>IFERROR(__xludf.DUMMYFUNCTION("""COMPUTED_VALUE"""),25.0)</f>
        <v>25</v>
      </c>
      <c r="E26" s="17">
        <f>IFERROR(__xludf.DUMMYFUNCTION("""COMPUTED_VALUE"""),11510.0)</f>
        <v>11510</v>
      </c>
      <c r="F26" s="17">
        <f>IFERROR(__xludf.DUMMYFUNCTION("""COMPUTED_VALUE"""),0.0)</f>
        <v>0</v>
      </c>
      <c r="G26" s="55">
        <v>25.0</v>
      </c>
      <c r="H26" s="21">
        <f t="shared" si="1"/>
        <v>12655</v>
      </c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tr">
        <f>IFERROR(__xludf.DUMMYFUNCTION("""COMPUTED_VALUE"""),"Mexico")</f>
        <v>Mexico</v>
      </c>
      <c r="B27" s="54">
        <f>IFERROR(__xludf.DUMMYFUNCTION("""COMPUTED_VALUE"""),42177.0)</f>
        <v>42177</v>
      </c>
      <c r="C27" s="19">
        <f>IFERROR(__xludf.DUMMYFUNCTION("""COMPUTED_VALUE"""),42183.0)</f>
        <v>42183</v>
      </c>
      <c r="D27" s="17">
        <f>IFERROR(__xludf.DUMMYFUNCTION("""COMPUTED_VALUE"""),26.0)</f>
        <v>26</v>
      </c>
      <c r="E27" s="17">
        <f>IFERROR(__xludf.DUMMYFUNCTION("""COMPUTED_VALUE"""),11571.0)</f>
        <v>11571</v>
      </c>
      <c r="F27" s="17">
        <f>IFERROR(__xludf.DUMMYFUNCTION("""COMPUTED_VALUE"""),0.0)</f>
        <v>0</v>
      </c>
      <c r="G27" s="55">
        <v>26.0</v>
      </c>
      <c r="H27" s="21">
        <f t="shared" si="1"/>
        <v>12446.2</v>
      </c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tr">
        <f>IFERROR(__xludf.DUMMYFUNCTION("""COMPUTED_VALUE"""),"Mexico")</f>
        <v>Mexico</v>
      </c>
      <c r="B28" s="54">
        <f>IFERROR(__xludf.DUMMYFUNCTION("""COMPUTED_VALUE"""),42184.0)</f>
        <v>42184</v>
      </c>
      <c r="C28" s="19">
        <f>IFERROR(__xludf.DUMMYFUNCTION("""COMPUTED_VALUE"""),42190.0)</f>
        <v>42190</v>
      </c>
      <c r="D28" s="17">
        <f>IFERROR(__xludf.DUMMYFUNCTION("""COMPUTED_VALUE"""),27.0)</f>
        <v>27</v>
      </c>
      <c r="E28" s="17">
        <f>IFERROR(__xludf.DUMMYFUNCTION("""COMPUTED_VALUE"""),11583.0)</f>
        <v>11583</v>
      </c>
      <c r="F28" s="17">
        <f>IFERROR(__xludf.DUMMYFUNCTION("""COMPUTED_VALUE"""),0.0)</f>
        <v>0</v>
      </c>
      <c r="G28" s="55">
        <v>27.0</v>
      </c>
      <c r="H28" s="21">
        <f t="shared" si="1"/>
        <v>12573</v>
      </c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tr">
        <f>IFERROR(__xludf.DUMMYFUNCTION("""COMPUTED_VALUE"""),"Mexico")</f>
        <v>Mexico</v>
      </c>
      <c r="B29" s="54">
        <f>IFERROR(__xludf.DUMMYFUNCTION("""COMPUTED_VALUE"""),42191.0)</f>
        <v>42191</v>
      </c>
      <c r="C29" s="19">
        <f>IFERROR(__xludf.DUMMYFUNCTION("""COMPUTED_VALUE"""),42197.0)</f>
        <v>42197</v>
      </c>
      <c r="D29" s="17">
        <f>IFERROR(__xludf.DUMMYFUNCTION("""COMPUTED_VALUE"""),28.0)</f>
        <v>28</v>
      </c>
      <c r="E29" s="17">
        <f>IFERROR(__xludf.DUMMYFUNCTION("""COMPUTED_VALUE"""),11538.0)</f>
        <v>11538</v>
      </c>
      <c r="F29" s="17">
        <f>IFERROR(__xludf.DUMMYFUNCTION("""COMPUTED_VALUE"""),0.0)</f>
        <v>0</v>
      </c>
      <c r="G29" s="55">
        <v>28.0</v>
      </c>
      <c r="H29" s="21">
        <f t="shared" si="1"/>
        <v>12572.2</v>
      </c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tr">
        <f>IFERROR(__xludf.DUMMYFUNCTION("""COMPUTED_VALUE"""),"Mexico")</f>
        <v>Mexico</v>
      </c>
      <c r="B30" s="54">
        <f>IFERROR(__xludf.DUMMYFUNCTION("""COMPUTED_VALUE"""),42198.0)</f>
        <v>42198</v>
      </c>
      <c r="C30" s="19">
        <f>IFERROR(__xludf.DUMMYFUNCTION("""COMPUTED_VALUE"""),42204.0)</f>
        <v>42204</v>
      </c>
      <c r="D30" s="17">
        <f>IFERROR(__xludf.DUMMYFUNCTION("""COMPUTED_VALUE"""),29.0)</f>
        <v>29</v>
      </c>
      <c r="E30" s="17">
        <f>IFERROR(__xludf.DUMMYFUNCTION("""COMPUTED_VALUE"""),12003.0)</f>
        <v>12003</v>
      </c>
      <c r="F30" s="17">
        <f>IFERROR(__xludf.DUMMYFUNCTION("""COMPUTED_VALUE"""),0.0)</f>
        <v>0</v>
      </c>
      <c r="G30" s="55">
        <v>29.0</v>
      </c>
      <c r="H30" s="21">
        <f t="shared" si="1"/>
        <v>12688.2</v>
      </c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tr">
        <f>IFERROR(__xludf.DUMMYFUNCTION("""COMPUTED_VALUE"""),"Mexico")</f>
        <v>Mexico</v>
      </c>
      <c r="B31" s="54">
        <f>IFERROR(__xludf.DUMMYFUNCTION("""COMPUTED_VALUE"""),42205.0)</f>
        <v>42205</v>
      </c>
      <c r="C31" s="19">
        <f>IFERROR(__xludf.DUMMYFUNCTION("""COMPUTED_VALUE"""),42211.0)</f>
        <v>42211</v>
      </c>
      <c r="D31" s="17">
        <f>IFERROR(__xludf.DUMMYFUNCTION("""COMPUTED_VALUE"""),30.0)</f>
        <v>30</v>
      </c>
      <c r="E31" s="17">
        <f>IFERROR(__xludf.DUMMYFUNCTION("""COMPUTED_VALUE"""),11947.0)</f>
        <v>11947</v>
      </c>
      <c r="F31" s="17">
        <f>IFERROR(__xludf.DUMMYFUNCTION("""COMPUTED_VALUE"""),0.0)</f>
        <v>0</v>
      </c>
      <c r="G31" s="55">
        <v>30.0</v>
      </c>
      <c r="H31" s="21">
        <f t="shared" si="1"/>
        <v>12744.4</v>
      </c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tr">
        <f>IFERROR(__xludf.DUMMYFUNCTION("""COMPUTED_VALUE"""),"Mexico")</f>
        <v>Mexico</v>
      </c>
      <c r="B32" s="54">
        <f>IFERROR(__xludf.DUMMYFUNCTION("""COMPUTED_VALUE"""),42212.0)</f>
        <v>42212</v>
      </c>
      <c r="C32" s="19">
        <f>IFERROR(__xludf.DUMMYFUNCTION("""COMPUTED_VALUE"""),42218.0)</f>
        <v>42218</v>
      </c>
      <c r="D32" s="17">
        <f>IFERROR(__xludf.DUMMYFUNCTION("""COMPUTED_VALUE"""),31.0)</f>
        <v>31</v>
      </c>
      <c r="E32" s="17">
        <f>IFERROR(__xludf.DUMMYFUNCTION("""COMPUTED_VALUE"""),12083.0)</f>
        <v>12083</v>
      </c>
      <c r="F32" s="17">
        <f>IFERROR(__xludf.DUMMYFUNCTION("""COMPUTED_VALUE"""),0.0)</f>
        <v>0</v>
      </c>
      <c r="G32" s="55">
        <v>31.0</v>
      </c>
      <c r="H32" s="21">
        <f t="shared" si="1"/>
        <v>12819.8</v>
      </c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tr">
        <f>IFERROR(__xludf.DUMMYFUNCTION("""COMPUTED_VALUE"""),"Mexico")</f>
        <v>Mexico</v>
      </c>
      <c r="B33" s="54">
        <f>IFERROR(__xludf.DUMMYFUNCTION("""COMPUTED_VALUE"""),42219.0)</f>
        <v>42219</v>
      </c>
      <c r="C33" s="19">
        <f>IFERROR(__xludf.DUMMYFUNCTION("""COMPUTED_VALUE"""),42225.0)</f>
        <v>42225</v>
      </c>
      <c r="D33" s="17">
        <f>IFERROR(__xludf.DUMMYFUNCTION("""COMPUTED_VALUE"""),32.0)</f>
        <v>32</v>
      </c>
      <c r="E33" s="17">
        <f>IFERROR(__xludf.DUMMYFUNCTION("""COMPUTED_VALUE"""),12237.0)</f>
        <v>12237</v>
      </c>
      <c r="F33" s="17">
        <f>IFERROR(__xludf.DUMMYFUNCTION("""COMPUTED_VALUE"""),0.0)</f>
        <v>0</v>
      </c>
      <c r="G33" s="55">
        <v>32.0</v>
      </c>
      <c r="H33" s="21">
        <f t="shared" si="1"/>
        <v>12543.6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tr">
        <f>IFERROR(__xludf.DUMMYFUNCTION("""COMPUTED_VALUE"""),"Mexico")</f>
        <v>Mexico</v>
      </c>
      <c r="B34" s="54">
        <f>IFERROR(__xludf.DUMMYFUNCTION("""COMPUTED_VALUE"""),42226.0)</f>
        <v>42226</v>
      </c>
      <c r="C34" s="19">
        <f>IFERROR(__xludf.DUMMYFUNCTION("""COMPUTED_VALUE"""),42232.0)</f>
        <v>42232</v>
      </c>
      <c r="D34" s="17">
        <f>IFERROR(__xludf.DUMMYFUNCTION("""COMPUTED_VALUE"""),33.0)</f>
        <v>33</v>
      </c>
      <c r="E34" s="17">
        <f>IFERROR(__xludf.DUMMYFUNCTION("""COMPUTED_VALUE"""),11739.0)</f>
        <v>11739</v>
      </c>
      <c r="F34" s="17">
        <f>IFERROR(__xludf.DUMMYFUNCTION("""COMPUTED_VALUE"""),0.0)</f>
        <v>0</v>
      </c>
      <c r="G34" s="55">
        <v>33.0</v>
      </c>
      <c r="H34" s="21">
        <f t="shared" si="1"/>
        <v>12603</v>
      </c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tr">
        <f>IFERROR(__xludf.DUMMYFUNCTION("""COMPUTED_VALUE"""),"Mexico")</f>
        <v>Mexico</v>
      </c>
      <c r="B35" s="54">
        <f>IFERROR(__xludf.DUMMYFUNCTION("""COMPUTED_VALUE"""),42233.0)</f>
        <v>42233</v>
      </c>
      <c r="C35" s="19">
        <f>IFERROR(__xludf.DUMMYFUNCTION("""COMPUTED_VALUE"""),42239.0)</f>
        <v>42239</v>
      </c>
      <c r="D35" s="17">
        <f>IFERROR(__xludf.DUMMYFUNCTION("""COMPUTED_VALUE"""),34.0)</f>
        <v>34</v>
      </c>
      <c r="E35" s="17">
        <f>IFERROR(__xludf.DUMMYFUNCTION("""COMPUTED_VALUE"""),11670.0)</f>
        <v>11670</v>
      </c>
      <c r="F35" s="17">
        <f>IFERROR(__xludf.DUMMYFUNCTION("""COMPUTED_VALUE"""),0.0)</f>
        <v>0</v>
      </c>
      <c r="G35" s="55">
        <v>34.0</v>
      </c>
      <c r="H35" s="21">
        <f t="shared" si="1"/>
        <v>12428.6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tr">
        <f>IFERROR(__xludf.DUMMYFUNCTION("""COMPUTED_VALUE"""),"Mexico")</f>
        <v>Mexico</v>
      </c>
      <c r="B36" s="54">
        <f>IFERROR(__xludf.DUMMYFUNCTION("""COMPUTED_VALUE"""),42240.0)</f>
        <v>42240</v>
      </c>
      <c r="C36" s="19">
        <f>IFERROR(__xludf.DUMMYFUNCTION("""COMPUTED_VALUE"""),42246.0)</f>
        <v>42246</v>
      </c>
      <c r="D36" s="17">
        <f>IFERROR(__xludf.DUMMYFUNCTION("""COMPUTED_VALUE"""),35.0)</f>
        <v>35</v>
      </c>
      <c r="E36" s="17">
        <f>IFERROR(__xludf.DUMMYFUNCTION("""COMPUTED_VALUE"""),11680.0)</f>
        <v>11680</v>
      </c>
      <c r="F36" s="17">
        <f>IFERROR(__xludf.DUMMYFUNCTION("""COMPUTED_VALUE"""),0.0)</f>
        <v>0</v>
      </c>
      <c r="G36" s="55">
        <v>35.0</v>
      </c>
      <c r="H36" s="21">
        <f t="shared" si="1"/>
        <v>12364.6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tr">
        <f>IFERROR(__xludf.DUMMYFUNCTION("""COMPUTED_VALUE"""),"Mexico")</f>
        <v>Mexico</v>
      </c>
      <c r="B37" s="54">
        <f>IFERROR(__xludf.DUMMYFUNCTION("""COMPUTED_VALUE"""),42247.0)</f>
        <v>42247</v>
      </c>
      <c r="C37" s="19">
        <f>IFERROR(__xludf.DUMMYFUNCTION("""COMPUTED_VALUE"""),42253.0)</f>
        <v>42253</v>
      </c>
      <c r="D37" s="17">
        <f>IFERROR(__xludf.DUMMYFUNCTION("""COMPUTED_VALUE"""),36.0)</f>
        <v>36</v>
      </c>
      <c r="E37" s="17">
        <f>IFERROR(__xludf.DUMMYFUNCTION("""COMPUTED_VALUE"""),11668.0)</f>
        <v>11668</v>
      </c>
      <c r="F37" s="17">
        <f>IFERROR(__xludf.DUMMYFUNCTION("""COMPUTED_VALUE"""),0.0)</f>
        <v>0</v>
      </c>
      <c r="G37" s="55">
        <v>36.0</v>
      </c>
      <c r="H37" s="21">
        <f t="shared" si="1"/>
        <v>12485.6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tr">
        <f>IFERROR(__xludf.DUMMYFUNCTION("""COMPUTED_VALUE"""),"Mexico")</f>
        <v>Mexico</v>
      </c>
      <c r="B38" s="54">
        <f>IFERROR(__xludf.DUMMYFUNCTION("""COMPUTED_VALUE"""),42254.0)</f>
        <v>42254</v>
      </c>
      <c r="C38" s="19">
        <f>IFERROR(__xludf.DUMMYFUNCTION("""COMPUTED_VALUE"""),42260.0)</f>
        <v>42260</v>
      </c>
      <c r="D38" s="17">
        <f>IFERROR(__xludf.DUMMYFUNCTION("""COMPUTED_VALUE"""),37.0)</f>
        <v>37</v>
      </c>
      <c r="E38" s="17">
        <f>IFERROR(__xludf.DUMMYFUNCTION("""COMPUTED_VALUE"""),11814.0)</f>
        <v>11814</v>
      </c>
      <c r="F38" s="17">
        <f>IFERROR(__xludf.DUMMYFUNCTION("""COMPUTED_VALUE"""),0.0)</f>
        <v>0</v>
      </c>
      <c r="G38" s="55">
        <v>37.0</v>
      </c>
      <c r="H38" s="21">
        <f t="shared" si="1"/>
        <v>12672.2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tr">
        <f>IFERROR(__xludf.DUMMYFUNCTION("""COMPUTED_VALUE"""),"Mexico")</f>
        <v>Mexico</v>
      </c>
      <c r="B39" s="54">
        <f>IFERROR(__xludf.DUMMYFUNCTION("""COMPUTED_VALUE"""),42261.0)</f>
        <v>42261</v>
      </c>
      <c r="C39" s="19">
        <f>IFERROR(__xludf.DUMMYFUNCTION("""COMPUTED_VALUE"""),42267.0)</f>
        <v>42267</v>
      </c>
      <c r="D39" s="17">
        <f>IFERROR(__xludf.DUMMYFUNCTION("""COMPUTED_VALUE"""),38.0)</f>
        <v>38</v>
      </c>
      <c r="E39" s="17">
        <f>IFERROR(__xludf.DUMMYFUNCTION("""COMPUTED_VALUE"""),11957.0)</f>
        <v>11957</v>
      </c>
      <c r="F39" s="17">
        <f>IFERROR(__xludf.DUMMYFUNCTION("""COMPUTED_VALUE"""),0.0)</f>
        <v>0</v>
      </c>
      <c r="G39" s="55">
        <v>38.0</v>
      </c>
      <c r="H39" s="21">
        <f t="shared" si="1"/>
        <v>12831.2</v>
      </c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tr">
        <f>IFERROR(__xludf.DUMMYFUNCTION("""COMPUTED_VALUE"""),"Mexico")</f>
        <v>Mexico</v>
      </c>
      <c r="B40" s="54">
        <f>IFERROR(__xludf.DUMMYFUNCTION("""COMPUTED_VALUE"""),42268.0)</f>
        <v>42268</v>
      </c>
      <c r="C40" s="19">
        <f>IFERROR(__xludf.DUMMYFUNCTION("""COMPUTED_VALUE"""),42274.0)</f>
        <v>42274</v>
      </c>
      <c r="D40" s="17">
        <f>IFERROR(__xludf.DUMMYFUNCTION("""COMPUTED_VALUE"""),39.0)</f>
        <v>39</v>
      </c>
      <c r="E40" s="17">
        <f>IFERROR(__xludf.DUMMYFUNCTION("""COMPUTED_VALUE"""),11560.0)</f>
        <v>11560</v>
      </c>
      <c r="F40" s="17">
        <f>IFERROR(__xludf.DUMMYFUNCTION("""COMPUTED_VALUE"""),0.0)</f>
        <v>0</v>
      </c>
      <c r="G40" s="55">
        <v>39.0</v>
      </c>
      <c r="H40" s="21">
        <f t="shared" si="1"/>
        <v>12558.4</v>
      </c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tr">
        <f>IFERROR(__xludf.DUMMYFUNCTION("""COMPUTED_VALUE"""),"Mexico")</f>
        <v>Mexico</v>
      </c>
      <c r="B41" s="54">
        <f>IFERROR(__xludf.DUMMYFUNCTION("""COMPUTED_VALUE"""),42275.0)</f>
        <v>42275</v>
      </c>
      <c r="C41" s="19">
        <f>IFERROR(__xludf.DUMMYFUNCTION("""COMPUTED_VALUE"""),42281.0)</f>
        <v>42281</v>
      </c>
      <c r="D41" s="17">
        <f>IFERROR(__xludf.DUMMYFUNCTION("""COMPUTED_VALUE"""),40.0)</f>
        <v>40</v>
      </c>
      <c r="E41" s="17">
        <f>IFERROR(__xludf.DUMMYFUNCTION("""COMPUTED_VALUE"""),12484.0)</f>
        <v>12484</v>
      </c>
      <c r="F41" s="17">
        <f>IFERROR(__xludf.DUMMYFUNCTION("""COMPUTED_VALUE"""),0.0)</f>
        <v>0</v>
      </c>
      <c r="G41" s="55">
        <v>40.0</v>
      </c>
      <c r="H41" s="21">
        <f t="shared" si="1"/>
        <v>12874.8</v>
      </c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tr">
        <f>IFERROR(__xludf.DUMMYFUNCTION("""COMPUTED_VALUE"""),"Mexico")</f>
        <v>Mexico</v>
      </c>
      <c r="B42" s="54">
        <f>IFERROR(__xludf.DUMMYFUNCTION("""COMPUTED_VALUE"""),42282.0)</f>
        <v>42282</v>
      </c>
      <c r="C42" s="19">
        <f>IFERROR(__xludf.DUMMYFUNCTION("""COMPUTED_VALUE"""),42288.0)</f>
        <v>42288</v>
      </c>
      <c r="D42" s="17">
        <f>IFERROR(__xludf.DUMMYFUNCTION("""COMPUTED_VALUE"""),41.0)</f>
        <v>41</v>
      </c>
      <c r="E42" s="17">
        <f>IFERROR(__xludf.DUMMYFUNCTION("""COMPUTED_VALUE"""),12397.0)</f>
        <v>12397</v>
      </c>
      <c r="F42" s="17">
        <f>IFERROR(__xludf.DUMMYFUNCTION("""COMPUTED_VALUE"""),0.0)</f>
        <v>0</v>
      </c>
      <c r="G42" s="55">
        <v>41.0</v>
      </c>
      <c r="H42" s="21">
        <f t="shared" si="1"/>
        <v>12859.8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tr">
        <f>IFERROR(__xludf.DUMMYFUNCTION("""COMPUTED_VALUE"""),"Mexico")</f>
        <v>Mexico</v>
      </c>
      <c r="B43" s="54">
        <f>IFERROR(__xludf.DUMMYFUNCTION("""COMPUTED_VALUE"""),42289.0)</f>
        <v>42289</v>
      </c>
      <c r="C43" s="19">
        <f>IFERROR(__xludf.DUMMYFUNCTION("""COMPUTED_VALUE"""),42295.0)</f>
        <v>42295</v>
      </c>
      <c r="D43" s="17">
        <f>IFERROR(__xludf.DUMMYFUNCTION("""COMPUTED_VALUE"""),42.0)</f>
        <v>42</v>
      </c>
      <c r="E43" s="17">
        <f>IFERROR(__xludf.DUMMYFUNCTION("""COMPUTED_VALUE"""),12063.0)</f>
        <v>12063</v>
      </c>
      <c r="F43" s="17">
        <f>IFERROR(__xludf.DUMMYFUNCTION("""COMPUTED_VALUE"""),0.0)</f>
        <v>0</v>
      </c>
      <c r="G43" s="55">
        <v>42.0</v>
      </c>
      <c r="H43" s="21">
        <f t="shared" si="1"/>
        <v>12933.8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tr">
        <f>IFERROR(__xludf.DUMMYFUNCTION("""COMPUTED_VALUE"""),"Mexico")</f>
        <v>Mexico</v>
      </c>
      <c r="B44" s="54">
        <f>IFERROR(__xludf.DUMMYFUNCTION("""COMPUTED_VALUE"""),42296.0)</f>
        <v>42296</v>
      </c>
      <c r="C44" s="19">
        <f>IFERROR(__xludf.DUMMYFUNCTION("""COMPUTED_VALUE"""),42302.0)</f>
        <v>42302</v>
      </c>
      <c r="D44" s="17">
        <f>IFERROR(__xludf.DUMMYFUNCTION("""COMPUTED_VALUE"""),43.0)</f>
        <v>43</v>
      </c>
      <c r="E44" s="17">
        <f>IFERROR(__xludf.DUMMYFUNCTION("""COMPUTED_VALUE"""),12221.0)</f>
        <v>12221</v>
      </c>
      <c r="F44" s="17">
        <f>IFERROR(__xludf.DUMMYFUNCTION("""COMPUTED_VALUE"""),0.0)</f>
        <v>0</v>
      </c>
      <c r="G44" s="55">
        <v>43.0</v>
      </c>
      <c r="H44" s="21">
        <f t="shared" si="1"/>
        <v>12997.8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tr">
        <f>IFERROR(__xludf.DUMMYFUNCTION("""COMPUTED_VALUE"""),"Mexico")</f>
        <v>Mexico</v>
      </c>
      <c r="B45" s="54">
        <f>IFERROR(__xludf.DUMMYFUNCTION("""COMPUTED_VALUE"""),42303.0)</f>
        <v>42303</v>
      </c>
      <c r="C45" s="19">
        <f>IFERROR(__xludf.DUMMYFUNCTION("""COMPUTED_VALUE"""),42309.0)</f>
        <v>42309</v>
      </c>
      <c r="D45" s="17">
        <f>IFERROR(__xludf.DUMMYFUNCTION("""COMPUTED_VALUE"""),44.0)</f>
        <v>44</v>
      </c>
      <c r="E45" s="17">
        <f>IFERROR(__xludf.DUMMYFUNCTION("""COMPUTED_VALUE"""),12153.0)</f>
        <v>12153</v>
      </c>
      <c r="F45" s="17">
        <f>IFERROR(__xludf.DUMMYFUNCTION("""COMPUTED_VALUE"""),0.0)</f>
        <v>0</v>
      </c>
      <c r="G45" s="55">
        <v>44.0</v>
      </c>
      <c r="H45" s="21">
        <f t="shared" si="1"/>
        <v>13231.4</v>
      </c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tr">
        <f>IFERROR(__xludf.DUMMYFUNCTION("""COMPUTED_VALUE"""),"Mexico")</f>
        <v>Mexico</v>
      </c>
      <c r="B46" s="54">
        <f>IFERROR(__xludf.DUMMYFUNCTION("""COMPUTED_VALUE"""),42310.0)</f>
        <v>42310</v>
      </c>
      <c r="C46" s="19">
        <f>IFERROR(__xludf.DUMMYFUNCTION("""COMPUTED_VALUE"""),42316.0)</f>
        <v>42316</v>
      </c>
      <c r="D46" s="17">
        <f>IFERROR(__xludf.DUMMYFUNCTION("""COMPUTED_VALUE"""),45.0)</f>
        <v>45</v>
      </c>
      <c r="E46" s="17">
        <f>IFERROR(__xludf.DUMMYFUNCTION("""COMPUTED_VALUE"""),12543.0)</f>
        <v>12543</v>
      </c>
      <c r="F46" s="17">
        <f>IFERROR(__xludf.DUMMYFUNCTION("""COMPUTED_VALUE"""),0.0)</f>
        <v>0</v>
      </c>
      <c r="G46" s="55">
        <v>45.0</v>
      </c>
      <c r="H46" s="21">
        <f t="shared" si="1"/>
        <v>13242.2</v>
      </c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tr">
        <f>IFERROR(__xludf.DUMMYFUNCTION("""COMPUTED_VALUE"""),"Mexico")</f>
        <v>Mexico</v>
      </c>
      <c r="B47" s="54">
        <f>IFERROR(__xludf.DUMMYFUNCTION("""COMPUTED_VALUE"""),42317.0)</f>
        <v>42317</v>
      </c>
      <c r="C47" s="19">
        <f>IFERROR(__xludf.DUMMYFUNCTION("""COMPUTED_VALUE"""),42323.0)</f>
        <v>42323</v>
      </c>
      <c r="D47" s="17">
        <f>IFERROR(__xludf.DUMMYFUNCTION("""COMPUTED_VALUE"""),46.0)</f>
        <v>46</v>
      </c>
      <c r="E47" s="17">
        <f>IFERROR(__xludf.DUMMYFUNCTION("""COMPUTED_VALUE"""),12217.0)</f>
        <v>12217</v>
      </c>
      <c r="F47" s="17">
        <f>IFERROR(__xludf.DUMMYFUNCTION("""COMPUTED_VALUE"""),0.0)</f>
        <v>0</v>
      </c>
      <c r="G47" s="55">
        <v>46.0</v>
      </c>
      <c r="H47" s="21">
        <f t="shared" si="1"/>
        <v>13420.2</v>
      </c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tr">
        <f>IFERROR(__xludf.DUMMYFUNCTION("""COMPUTED_VALUE"""),"Mexico")</f>
        <v>Mexico</v>
      </c>
      <c r="B48" s="54">
        <f>IFERROR(__xludf.DUMMYFUNCTION("""COMPUTED_VALUE"""),42324.0)</f>
        <v>42324</v>
      </c>
      <c r="C48" s="19">
        <f>IFERROR(__xludf.DUMMYFUNCTION("""COMPUTED_VALUE"""),42330.0)</f>
        <v>42330</v>
      </c>
      <c r="D48" s="17">
        <f>IFERROR(__xludf.DUMMYFUNCTION("""COMPUTED_VALUE"""),47.0)</f>
        <v>47</v>
      </c>
      <c r="E48" s="17">
        <f>IFERROR(__xludf.DUMMYFUNCTION("""COMPUTED_VALUE"""),12542.0)</f>
        <v>12542</v>
      </c>
      <c r="F48" s="17">
        <f>IFERROR(__xludf.DUMMYFUNCTION("""COMPUTED_VALUE"""),0.0)</f>
        <v>0</v>
      </c>
      <c r="G48" s="55">
        <v>47.0</v>
      </c>
      <c r="H48" s="21">
        <f t="shared" si="1"/>
        <v>13959.8</v>
      </c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tr">
        <f>IFERROR(__xludf.DUMMYFUNCTION("""COMPUTED_VALUE"""),"Mexico")</f>
        <v>Mexico</v>
      </c>
      <c r="B49" s="54">
        <f>IFERROR(__xludf.DUMMYFUNCTION("""COMPUTED_VALUE"""),42331.0)</f>
        <v>42331</v>
      </c>
      <c r="C49" s="19">
        <f>IFERROR(__xludf.DUMMYFUNCTION("""COMPUTED_VALUE"""),42337.0)</f>
        <v>42337</v>
      </c>
      <c r="D49" s="17">
        <f>IFERROR(__xludf.DUMMYFUNCTION("""COMPUTED_VALUE"""),48.0)</f>
        <v>48</v>
      </c>
      <c r="E49" s="17">
        <f>IFERROR(__xludf.DUMMYFUNCTION("""COMPUTED_VALUE"""),12597.0)</f>
        <v>12597</v>
      </c>
      <c r="F49" s="17">
        <f>IFERROR(__xludf.DUMMYFUNCTION("""COMPUTED_VALUE"""),0.0)</f>
        <v>0</v>
      </c>
      <c r="G49" s="55">
        <v>48.0</v>
      </c>
      <c r="H49" s="21">
        <f t="shared" si="1"/>
        <v>13789.6</v>
      </c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tr">
        <f>IFERROR(__xludf.DUMMYFUNCTION("""COMPUTED_VALUE"""),"Mexico")</f>
        <v>Mexico</v>
      </c>
      <c r="B50" s="54">
        <f>IFERROR(__xludf.DUMMYFUNCTION("""COMPUTED_VALUE"""),42338.0)</f>
        <v>42338</v>
      </c>
      <c r="C50" s="19">
        <f>IFERROR(__xludf.DUMMYFUNCTION("""COMPUTED_VALUE"""),42344.0)</f>
        <v>42344</v>
      </c>
      <c r="D50" s="17">
        <f>IFERROR(__xludf.DUMMYFUNCTION("""COMPUTED_VALUE"""),49.0)</f>
        <v>49</v>
      </c>
      <c r="E50" s="17">
        <f>IFERROR(__xludf.DUMMYFUNCTION("""COMPUTED_VALUE"""),12830.0)</f>
        <v>12830</v>
      </c>
      <c r="F50" s="17">
        <f>IFERROR(__xludf.DUMMYFUNCTION("""COMPUTED_VALUE"""),0.0)</f>
        <v>0</v>
      </c>
      <c r="G50" s="55">
        <v>49.0</v>
      </c>
      <c r="H50" s="21">
        <f t="shared" si="1"/>
        <v>13884.6</v>
      </c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tr">
        <f>IFERROR(__xludf.DUMMYFUNCTION("""COMPUTED_VALUE"""),"Mexico")</f>
        <v>Mexico</v>
      </c>
      <c r="B51" s="54">
        <f>IFERROR(__xludf.DUMMYFUNCTION("""COMPUTED_VALUE"""),42345.0)</f>
        <v>42345</v>
      </c>
      <c r="C51" s="19">
        <f>IFERROR(__xludf.DUMMYFUNCTION("""COMPUTED_VALUE"""),42351.0)</f>
        <v>42351</v>
      </c>
      <c r="D51" s="17">
        <f>IFERROR(__xludf.DUMMYFUNCTION("""COMPUTED_VALUE"""),50.0)</f>
        <v>50</v>
      </c>
      <c r="E51" s="17">
        <f>IFERROR(__xludf.DUMMYFUNCTION("""COMPUTED_VALUE"""),13526.0)</f>
        <v>13526</v>
      </c>
      <c r="F51" s="17">
        <f>IFERROR(__xludf.DUMMYFUNCTION("""COMPUTED_VALUE"""),0.0)</f>
        <v>0</v>
      </c>
      <c r="G51" s="55">
        <v>50.0</v>
      </c>
      <c r="H51" s="21">
        <f t="shared" si="1"/>
        <v>14539.8</v>
      </c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tr">
        <f>IFERROR(__xludf.DUMMYFUNCTION("""COMPUTED_VALUE"""),"Mexico")</f>
        <v>Mexico</v>
      </c>
      <c r="B52" s="54">
        <f>IFERROR(__xludf.DUMMYFUNCTION("""COMPUTED_VALUE"""),42352.0)</f>
        <v>42352</v>
      </c>
      <c r="C52" s="19">
        <f>IFERROR(__xludf.DUMMYFUNCTION("""COMPUTED_VALUE"""),42358.0)</f>
        <v>42358</v>
      </c>
      <c r="D52" s="17">
        <f>IFERROR(__xludf.DUMMYFUNCTION("""COMPUTED_VALUE"""),51.0)</f>
        <v>51</v>
      </c>
      <c r="E52" s="17">
        <f>IFERROR(__xludf.DUMMYFUNCTION("""COMPUTED_VALUE"""),13542.0)</f>
        <v>13542</v>
      </c>
      <c r="F52" s="17">
        <f>IFERROR(__xludf.DUMMYFUNCTION("""COMPUTED_VALUE"""),0.0)</f>
        <v>0</v>
      </c>
      <c r="G52" s="55">
        <v>51.0</v>
      </c>
      <c r="H52" s="21">
        <f t="shared" si="1"/>
        <v>14573.6</v>
      </c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tr">
        <f>IFERROR(__xludf.DUMMYFUNCTION("""COMPUTED_VALUE"""),"Mexico")</f>
        <v>Mexico</v>
      </c>
      <c r="B53" s="54">
        <f>IFERROR(__xludf.DUMMYFUNCTION("""COMPUTED_VALUE"""),42359.0)</f>
        <v>42359</v>
      </c>
      <c r="C53" s="19">
        <f>IFERROR(__xludf.DUMMYFUNCTION("""COMPUTED_VALUE"""),42365.0)</f>
        <v>42365</v>
      </c>
      <c r="D53" s="17">
        <f>IFERROR(__xludf.DUMMYFUNCTION("""COMPUTED_VALUE"""),52.0)</f>
        <v>52</v>
      </c>
      <c r="E53" s="17">
        <f>IFERROR(__xludf.DUMMYFUNCTION("""COMPUTED_VALUE"""),14351.0)</f>
        <v>14351</v>
      </c>
      <c r="F53" s="17">
        <f>IFERROR(__xludf.DUMMYFUNCTION("""COMPUTED_VALUE"""),0.0)</f>
        <v>0</v>
      </c>
      <c r="G53" s="55">
        <v>52.0</v>
      </c>
      <c r="H53" s="21">
        <f t="shared" si="1"/>
        <v>15430</v>
      </c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tr">
        <f>IFERROR(__xludf.DUMMYFUNCTION("""COMPUTED_VALUE"""),"Mexico")</f>
        <v>Mexico</v>
      </c>
      <c r="B54" s="54">
        <f>IFERROR(__xludf.DUMMYFUNCTION("""COMPUTED_VALUE"""),42366.0)</f>
        <v>42366</v>
      </c>
      <c r="C54" s="19">
        <f>IFERROR(__xludf.DUMMYFUNCTION("""COMPUTED_VALUE"""),42372.0)</f>
        <v>42372</v>
      </c>
      <c r="D54" s="56">
        <f>IFERROR(__xludf.DUMMYFUNCTION("""COMPUTED_VALUE"""),53.0)</f>
        <v>53</v>
      </c>
      <c r="E54" s="17">
        <f>IFERROR(__xludf.DUMMYFUNCTION("""COMPUTED_VALUE"""),14170.0)</f>
        <v>14170</v>
      </c>
      <c r="F54" s="17">
        <f>IFERROR(__xludf.DUMMYFUNCTION("""COMPUTED_VALUE"""),0.0)</f>
        <v>0</v>
      </c>
      <c r="G54" s="55">
        <v>53.0</v>
      </c>
      <c r="H54" s="21">
        <f t="shared" si="1"/>
        <v>14170</v>
      </c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tr">
        <f>IFERROR(__xludf.DUMMYFUNCTION("""COMPUTED_VALUE"""),"Mexico")</f>
        <v>Mexico</v>
      </c>
      <c r="B55" s="54">
        <f>IFERROR(__xludf.DUMMYFUNCTION("""COMPUTED_VALUE"""),42373.0)</f>
        <v>42373</v>
      </c>
      <c r="C55" s="19">
        <f>IFERROR(__xludf.DUMMYFUNCTION("""COMPUTED_VALUE"""),42379.0)</f>
        <v>42379</v>
      </c>
      <c r="D55" s="17">
        <f>IFERROR(__xludf.DUMMYFUNCTION("""COMPUTED_VALUE"""),1.0)</f>
        <v>1</v>
      </c>
      <c r="E55" s="17">
        <f>IFERROR(__xludf.DUMMYFUNCTION("""COMPUTED_VALUE"""),14299.0)</f>
        <v>14299</v>
      </c>
      <c r="F55" s="17">
        <f>IFERROR(__xludf.DUMMYFUNCTION("""COMPUTED_VALUE"""),0.0)</f>
        <v>0</v>
      </c>
      <c r="G55" s="17"/>
      <c r="H55" s="21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tr">
        <f>IFERROR(__xludf.DUMMYFUNCTION("""COMPUTED_VALUE"""),"Mexico")</f>
        <v>Mexico</v>
      </c>
      <c r="B56" s="54">
        <f>IFERROR(__xludf.DUMMYFUNCTION("""COMPUTED_VALUE"""),42380.0)</f>
        <v>42380</v>
      </c>
      <c r="C56" s="19">
        <f>IFERROR(__xludf.DUMMYFUNCTION("""COMPUTED_VALUE"""),42386.0)</f>
        <v>42386</v>
      </c>
      <c r="D56" s="17">
        <f>IFERROR(__xludf.DUMMYFUNCTION("""COMPUTED_VALUE"""),2.0)</f>
        <v>2</v>
      </c>
      <c r="E56" s="17">
        <f>IFERROR(__xludf.DUMMYFUNCTION("""COMPUTED_VALUE"""),14540.0)</f>
        <v>14540</v>
      </c>
      <c r="F56" s="17">
        <f>IFERROR(__xludf.DUMMYFUNCTION("""COMPUTED_VALUE"""),0.0)</f>
        <v>0</v>
      </c>
      <c r="G56" s="17"/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tr">
        <f>IFERROR(__xludf.DUMMYFUNCTION("""COMPUTED_VALUE"""),"Mexico")</f>
        <v>Mexico</v>
      </c>
      <c r="B57" s="54">
        <f>IFERROR(__xludf.DUMMYFUNCTION("""COMPUTED_VALUE"""),42387.0)</f>
        <v>42387</v>
      </c>
      <c r="C57" s="19">
        <f>IFERROR(__xludf.DUMMYFUNCTION("""COMPUTED_VALUE"""),42393.0)</f>
        <v>42393</v>
      </c>
      <c r="D57" s="17">
        <f>IFERROR(__xludf.DUMMYFUNCTION("""COMPUTED_VALUE"""),3.0)</f>
        <v>3</v>
      </c>
      <c r="E57" s="17">
        <f>IFERROR(__xludf.DUMMYFUNCTION("""COMPUTED_VALUE"""),14557.0)</f>
        <v>14557</v>
      </c>
      <c r="F57" s="17">
        <f>IFERROR(__xludf.DUMMYFUNCTION("""COMPUTED_VALUE"""),0.0)</f>
        <v>0</v>
      </c>
      <c r="G57" s="17"/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tr">
        <f>IFERROR(__xludf.DUMMYFUNCTION("""COMPUTED_VALUE"""),"Mexico")</f>
        <v>Mexico</v>
      </c>
      <c r="B58" s="54">
        <f>IFERROR(__xludf.DUMMYFUNCTION("""COMPUTED_VALUE"""),42394.0)</f>
        <v>42394</v>
      </c>
      <c r="C58" s="19">
        <f>IFERROR(__xludf.DUMMYFUNCTION("""COMPUTED_VALUE"""),42400.0)</f>
        <v>42400</v>
      </c>
      <c r="D58" s="17">
        <f>IFERROR(__xludf.DUMMYFUNCTION("""COMPUTED_VALUE"""),4.0)</f>
        <v>4</v>
      </c>
      <c r="E58" s="17">
        <f>IFERROR(__xludf.DUMMYFUNCTION("""COMPUTED_VALUE"""),14902.0)</f>
        <v>14902</v>
      </c>
      <c r="F58" s="17">
        <f>IFERROR(__xludf.DUMMYFUNCTION("""COMPUTED_VALUE"""),0.0)</f>
        <v>0</v>
      </c>
      <c r="G58" s="17"/>
      <c r="H58" s="21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tr">
        <f>IFERROR(__xludf.DUMMYFUNCTION("""COMPUTED_VALUE"""),"Mexico")</f>
        <v>Mexico</v>
      </c>
      <c r="B59" s="54">
        <f>IFERROR(__xludf.DUMMYFUNCTION("""COMPUTED_VALUE"""),42401.0)</f>
        <v>42401</v>
      </c>
      <c r="C59" s="19">
        <f>IFERROR(__xludf.DUMMYFUNCTION("""COMPUTED_VALUE"""),42407.0)</f>
        <v>42407</v>
      </c>
      <c r="D59" s="17">
        <f>IFERROR(__xludf.DUMMYFUNCTION("""COMPUTED_VALUE"""),5.0)</f>
        <v>5</v>
      </c>
      <c r="E59" s="17">
        <f>IFERROR(__xludf.DUMMYFUNCTION("""COMPUTED_VALUE"""),15160.0)</f>
        <v>15160</v>
      </c>
      <c r="F59" s="17">
        <f>IFERROR(__xludf.DUMMYFUNCTION("""COMPUTED_VALUE"""),0.0)</f>
        <v>0</v>
      </c>
      <c r="G59" s="17"/>
      <c r="H59" s="21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tr">
        <f>IFERROR(__xludf.DUMMYFUNCTION("""COMPUTED_VALUE"""),"Mexico")</f>
        <v>Mexico</v>
      </c>
      <c r="B60" s="54">
        <f>IFERROR(__xludf.DUMMYFUNCTION("""COMPUTED_VALUE"""),42408.0)</f>
        <v>42408</v>
      </c>
      <c r="C60" s="19">
        <f>IFERROR(__xludf.DUMMYFUNCTION("""COMPUTED_VALUE"""),42414.0)</f>
        <v>42414</v>
      </c>
      <c r="D60" s="17">
        <f>IFERROR(__xludf.DUMMYFUNCTION("""COMPUTED_VALUE"""),6.0)</f>
        <v>6</v>
      </c>
      <c r="E60" s="17">
        <f>IFERROR(__xludf.DUMMYFUNCTION("""COMPUTED_VALUE"""),15691.0)</f>
        <v>15691</v>
      </c>
      <c r="F60" s="17">
        <f>IFERROR(__xludf.DUMMYFUNCTION("""COMPUTED_VALUE"""),0.0)</f>
        <v>0</v>
      </c>
      <c r="G60" s="17"/>
      <c r="H60" s="21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tr">
        <f>IFERROR(__xludf.DUMMYFUNCTION("""COMPUTED_VALUE"""),"Mexico")</f>
        <v>Mexico</v>
      </c>
      <c r="B61" s="54">
        <f>IFERROR(__xludf.DUMMYFUNCTION("""COMPUTED_VALUE"""),42415.0)</f>
        <v>42415</v>
      </c>
      <c r="C61" s="19">
        <f>IFERROR(__xludf.DUMMYFUNCTION("""COMPUTED_VALUE"""),42421.0)</f>
        <v>42421</v>
      </c>
      <c r="D61" s="17">
        <f>IFERROR(__xludf.DUMMYFUNCTION("""COMPUTED_VALUE"""),7.0)</f>
        <v>7</v>
      </c>
      <c r="E61" s="17">
        <f>IFERROR(__xludf.DUMMYFUNCTION("""COMPUTED_VALUE"""),15725.0)</f>
        <v>15725</v>
      </c>
      <c r="F61" s="17">
        <f>IFERROR(__xludf.DUMMYFUNCTION("""COMPUTED_VALUE"""),0.0)</f>
        <v>0</v>
      </c>
      <c r="G61" s="17"/>
      <c r="H61" s="21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tr">
        <f>IFERROR(__xludf.DUMMYFUNCTION("""COMPUTED_VALUE"""),"Mexico")</f>
        <v>Mexico</v>
      </c>
      <c r="B62" s="54">
        <f>IFERROR(__xludf.DUMMYFUNCTION("""COMPUTED_VALUE"""),42422.0)</f>
        <v>42422</v>
      </c>
      <c r="C62" s="19">
        <f>IFERROR(__xludf.DUMMYFUNCTION("""COMPUTED_VALUE"""),42428.0)</f>
        <v>42428</v>
      </c>
      <c r="D62" s="17">
        <f>IFERROR(__xludf.DUMMYFUNCTION("""COMPUTED_VALUE"""),8.0)</f>
        <v>8</v>
      </c>
      <c r="E62" s="17">
        <f>IFERROR(__xludf.DUMMYFUNCTION("""COMPUTED_VALUE"""),15034.0)</f>
        <v>15034</v>
      </c>
      <c r="F62" s="17">
        <f>IFERROR(__xludf.DUMMYFUNCTION("""COMPUTED_VALUE"""),0.0)</f>
        <v>0</v>
      </c>
      <c r="G62" s="17"/>
      <c r="H62" s="21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tr">
        <f>IFERROR(__xludf.DUMMYFUNCTION("""COMPUTED_VALUE"""),"Mexico")</f>
        <v>Mexico</v>
      </c>
      <c r="B63" s="54">
        <f>IFERROR(__xludf.DUMMYFUNCTION("""COMPUTED_VALUE"""),42429.0)</f>
        <v>42429</v>
      </c>
      <c r="C63" s="19">
        <f>IFERROR(__xludf.DUMMYFUNCTION("""COMPUTED_VALUE"""),42435.0)</f>
        <v>42435</v>
      </c>
      <c r="D63" s="17">
        <f>IFERROR(__xludf.DUMMYFUNCTION("""COMPUTED_VALUE"""),9.0)</f>
        <v>9</v>
      </c>
      <c r="E63" s="17">
        <f>IFERROR(__xludf.DUMMYFUNCTION("""COMPUTED_VALUE"""),14797.0)</f>
        <v>14797</v>
      </c>
      <c r="F63" s="17">
        <f>IFERROR(__xludf.DUMMYFUNCTION("""COMPUTED_VALUE"""),0.0)</f>
        <v>0</v>
      </c>
      <c r="G63" s="17"/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tr">
        <f>IFERROR(__xludf.DUMMYFUNCTION("""COMPUTED_VALUE"""),"Mexico")</f>
        <v>Mexico</v>
      </c>
      <c r="B64" s="54">
        <f>IFERROR(__xludf.DUMMYFUNCTION("""COMPUTED_VALUE"""),42436.0)</f>
        <v>42436</v>
      </c>
      <c r="C64" s="19">
        <f>IFERROR(__xludf.DUMMYFUNCTION("""COMPUTED_VALUE"""),42442.0)</f>
        <v>42442</v>
      </c>
      <c r="D64" s="17">
        <f>IFERROR(__xludf.DUMMYFUNCTION("""COMPUTED_VALUE"""),10.0)</f>
        <v>10</v>
      </c>
      <c r="E64" s="17">
        <f>IFERROR(__xludf.DUMMYFUNCTION("""COMPUTED_VALUE"""),14351.0)</f>
        <v>14351</v>
      </c>
      <c r="F64" s="17">
        <f>IFERROR(__xludf.DUMMYFUNCTION("""COMPUTED_VALUE"""),0.0)</f>
        <v>0</v>
      </c>
      <c r="G64" s="17"/>
      <c r="H64" s="21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tr">
        <f>IFERROR(__xludf.DUMMYFUNCTION("""COMPUTED_VALUE"""),"Mexico")</f>
        <v>Mexico</v>
      </c>
      <c r="B65" s="54">
        <f>IFERROR(__xludf.DUMMYFUNCTION("""COMPUTED_VALUE"""),42443.0)</f>
        <v>42443</v>
      </c>
      <c r="C65" s="19">
        <f>IFERROR(__xludf.DUMMYFUNCTION("""COMPUTED_VALUE"""),42449.0)</f>
        <v>42449</v>
      </c>
      <c r="D65" s="17">
        <f>IFERROR(__xludf.DUMMYFUNCTION("""COMPUTED_VALUE"""),11.0)</f>
        <v>11</v>
      </c>
      <c r="E65" s="17">
        <f>IFERROR(__xludf.DUMMYFUNCTION("""COMPUTED_VALUE"""),14025.0)</f>
        <v>14025</v>
      </c>
      <c r="F65" s="17">
        <f>IFERROR(__xludf.DUMMYFUNCTION("""COMPUTED_VALUE"""),0.0)</f>
        <v>0</v>
      </c>
      <c r="G65" s="17"/>
      <c r="H65" s="21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tr">
        <f>IFERROR(__xludf.DUMMYFUNCTION("""COMPUTED_VALUE"""),"Mexico")</f>
        <v>Mexico</v>
      </c>
      <c r="B66" s="54">
        <f>IFERROR(__xludf.DUMMYFUNCTION("""COMPUTED_VALUE"""),42450.0)</f>
        <v>42450</v>
      </c>
      <c r="C66" s="19">
        <f>IFERROR(__xludf.DUMMYFUNCTION("""COMPUTED_VALUE"""),42456.0)</f>
        <v>42456</v>
      </c>
      <c r="D66" s="17">
        <f>IFERROR(__xludf.DUMMYFUNCTION("""COMPUTED_VALUE"""),12.0)</f>
        <v>12</v>
      </c>
      <c r="E66" s="17">
        <f>IFERROR(__xludf.DUMMYFUNCTION("""COMPUTED_VALUE"""),13418.0)</f>
        <v>13418</v>
      </c>
      <c r="F66" s="17">
        <f>IFERROR(__xludf.DUMMYFUNCTION("""COMPUTED_VALUE"""),0.0)</f>
        <v>0</v>
      </c>
      <c r="G66" s="17"/>
      <c r="H66" s="21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tr">
        <f>IFERROR(__xludf.DUMMYFUNCTION("""COMPUTED_VALUE"""),"Mexico")</f>
        <v>Mexico</v>
      </c>
      <c r="B67" s="54">
        <f>IFERROR(__xludf.DUMMYFUNCTION("""COMPUTED_VALUE"""),42457.0)</f>
        <v>42457</v>
      </c>
      <c r="C67" s="19">
        <f>IFERROR(__xludf.DUMMYFUNCTION("""COMPUTED_VALUE"""),42463.0)</f>
        <v>42463</v>
      </c>
      <c r="D67" s="17">
        <f>IFERROR(__xludf.DUMMYFUNCTION("""COMPUTED_VALUE"""),13.0)</f>
        <v>13</v>
      </c>
      <c r="E67" s="17">
        <f>IFERROR(__xludf.DUMMYFUNCTION("""COMPUTED_VALUE"""),13411.0)</f>
        <v>13411</v>
      </c>
      <c r="F67" s="17">
        <f>IFERROR(__xludf.DUMMYFUNCTION("""COMPUTED_VALUE"""),0.0)</f>
        <v>0</v>
      </c>
      <c r="G67" s="17"/>
      <c r="H67" s="21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tr">
        <f>IFERROR(__xludf.DUMMYFUNCTION("""COMPUTED_VALUE"""),"Mexico")</f>
        <v>Mexico</v>
      </c>
      <c r="B68" s="54">
        <f>IFERROR(__xludf.DUMMYFUNCTION("""COMPUTED_VALUE"""),42464.0)</f>
        <v>42464</v>
      </c>
      <c r="C68" s="19">
        <f>IFERROR(__xludf.DUMMYFUNCTION("""COMPUTED_VALUE"""),42470.0)</f>
        <v>42470</v>
      </c>
      <c r="D68" s="17">
        <f>IFERROR(__xludf.DUMMYFUNCTION("""COMPUTED_VALUE"""),14.0)</f>
        <v>14</v>
      </c>
      <c r="E68" s="17">
        <f>IFERROR(__xludf.DUMMYFUNCTION("""COMPUTED_VALUE"""),12710.0)</f>
        <v>12710</v>
      </c>
      <c r="F68" s="17">
        <f>IFERROR(__xludf.DUMMYFUNCTION("""COMPUTED_VALUE"""),0.0)</f>
        <v>0</v>
      </c>
      <c r="G68" s="17"/>
      <c r="H68" s="21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tr">
        <f>IFERROR(__xludf.DUMMYFUNCTION("""COMPUTED_VALUE"""),"Mexico")</f>
        <v>Mexico</v>
      </c>
      <c r="B69" s="54">
        <f>IFERROR(__xludf.DUMMYFUNCTION("""COMPUTED_VALUE"""),42471.0)</f>
        <v>42471</v>
      </c>
      <c r="C69" s="19">
        <f>IFERROR(__xludf.DUMMYFUNCTION("""COMPUTED_VALUE"""),42477.0)</f>
        <v>42477</v>
      </c>
      <c r="D69" s="17">
        <f>IFERROR(__xludf.DUMMYFUNCTION("""COMPUTED_VALUE"""),15.0)</f>
        <v>15</v>
      </c>
      <c r="E69" s="17">
        <f>IFERROR(__xludf.DUMMYFUNCTION("""COMPUTED_VALUE"""),12422.0)</f>
        <v>12422</v>
      </c>
      <c r="F69" s="17">
        <f>IFERROR(__xludf.DUMMYFUNCTION("""COMPUTED_VALUE"""),0.0)</f>
        <v>0</v>
      </c>
      <c r="G69" s="17"/>
      <c r="H69" s="21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tr">
        <f>IFERROR(__xludf.DUMMYFUNCTION("""COMPUTED_VALUE"""),"Mexico")</f>
        <v>Mexico</v>
      </c>
      <c r="B70" s="54">
        <f>IFERROR(__xludf.DUMMYFUNCTION("""COMPUTED_VALUE"""),42478.0)</f>
        <v>42478</v>
      </c>
      <c r="C70" s="19">
        <f>IFERROR(__xludf.DUMMYFUNCTION("""COMPUTED_VALUE"""),42484.0)</f>
        <v>42484</v>
      </c>
      <c r="D70" s="17">
        <f>IFERROR(__xludf.DUMMYFUNCTION("""COMPUTED_VALUE"""),16.0)</f>
        <v>16</v>
      </c>
      <c r="E70" s="17">
        <f>IFERROR(__xludf.DUMMYFUNCTION("""COMPUTED_VALUE"""),11939.0)</f>
        <v>11939</v>
      </c>
      <c r="F70" s="17">
        <f>IFERROR(__xludf.DUMMYFUNCTION("""COMPUTED_VALUE"""),0.0)</f>
        <v>0</v>
      </c>
      <c r="G70" s="17"/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tr">
        <f>IFERROR(__xludf.DUMMYFUNCTION("""COMPUTED_VALUE"""),"Mexico")</f>
        <v>Mexico</v>
      </c>
      <c r="B71" s="54">
        <f>IFERROR(__xludf.DUMMYFUNCTION("""COMPUTED_VALUE"""),42485.0)</f>
        <v>42485</v>
      </c>
      <c r="C71" s="19">
        <f>IFERROR(__xludf.DUMMYFUNCTION("""COMPUTED_VALUE"""),42491.0)</f>
        <v>42491</v>
      </c>
      <c r="D71" s="17">
        <f>IFERROR(__xludf.DUMMYFUNCTION("""COMPUTED_VALUE"""),17.0)</f>
        <v>17</v>
      </c>
      <c r="E71" s="17">
        <f>IFERROR(__xludf.DUMMYFUNCTION("""COMPUTED_VALUE"""),12481.0)</f>
        <v>12481</v>
      </c>
      <c r="F71" s="17">
        <f>IFERROR(__xludf.DUMMYFUNCTION("""COMPUTED_VALUE"""),0.0)</f>
        <v>0</v>
      </c>
      <c r="G71" s="17"/>
      <c r="H71" s="21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tr">
        <f>IFERROR(__xludf.DUMMYFUNCTION("""COMPUTED_VALUE"""),"Mexico")</f>
        <v>Mexico</v>
      </c>
      <c r="B72" s="54">
        <f>IFERROR(__xludf.DUMMYFUNCTION("""COMPUTED_VALUE"""),42492.0)</f>
        <v>42492</v>
      </c>
      <c r="C72" s="19">
        <f>IFERROR(__xludf.DUMMYFUNCTION("""COMPUTED_VALUE"""),42498.0)</f>
        <v>42498</v>
      </c>
      <c r="D72" s="17">
        <f>IFERROR(__xludf.DUMMYFUNCTION("""COMPUTED_VALUE"""),18.0)</f>
        <v>18</v>
      </c>
      <c r="E72" s="17">
        <f>IFERROR(__xludf.DUMMYFUNCTION("""COMPUTED_VALUE"""),12723.0)</f>
        <v>12723</v>
      </c>
      <c r="F72" s="17">
        <f>IFERROR(__xludf.DUMMYFUNCTION("""COMPUTED_VALUE"""),0.0)</f>
        <v>0</v>
      </c>
      <c r="G72" s="17"/>
      <c r="H72" s="21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tr">
        <f>IFERROR(__xludf.DUMMYFUNCTION("""COMPUTED_VALUE"""),"Mexico")</f>
        <v>Mexico</v>
      </c>
      <c r="B73" s="54">
        <f>IFERROR(__xludf.DUMMYFUNCTION("""COMPUTED_VALUE"""),42499.0)</f>
        <v>42499</v>
      </c>
      <c r="C73" s="19">
        <f>IFERROR(__xludf.DUMMYFUNCTION("""COMPUTED_VALUE"""),42505.0)</f>
        <v>42505</v>
      </c>
      <c r="D73" s="17">
        <f>IFERROR(__xludf.DUMMYFUNCTION("""COMPUTED_VALUE"""),19.0)</f>
        <v>19</v>
      </c>
      <c r="E73" s="17">
        <f>IFERROR(__xludf.DUMMYFUNCTION("""COMPUTED_VALUE"""),12478.0)</f>
        <v>12478</v>
      </c>
      <c r="F73" s="17">
        <f>IFERROR(__xludf.DUMMYFUNCTION("""COMPUTED_VALUE"""),0.0)</f>
        <v>0</v>
      </c>
      <c r="G73" s="17"/>
      <c r="H73" s="21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tr">
        <f>IFERROR(__xludf.DUMMYFUNCTION("""COMPUTED_VALUE"""),"Mexico")</f>
        <v>Mexico</v>
      </c>
      <c r="B74" s="54">
        <f>IFERROR(__xludf.DUMMYFUNCTION("""COMPUTED_VALUE"""),42506.0)</f>
        <v>42506</v>
      </c>
      <c r="C74" s="19">
        <f>IFERROR(__xludf.DUMMYFUNCTION("""COMPUTED_VALUE"""),42512.0)</f>
        <v>42512</v>
      </c>
      <c r="D74" s="17">
        <f>IFERROR(__xludf.DUMMYFUNCTION("""COMPUTED_VALUE"""),20.0)</f>
        <v>20</v>
      </c>
      <c r="E74" s="17">
        <f>IFERROR(__xludf.DUMMYFUNCTION("""COMPUTED_VALUE"""),12483.0)</f>
        <v>12483</v>
      </c>
      <c r="F74" s="17">
        <f>IFERROR(__xludf.DUMMYFUNCTION("""COMPUTED_VALUE"""),0.0)</f>
        <v>0</v>
      </c>
      <c r="G74" s="17"/>
      <c r="H74" s="21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tr">
        <f>IFERROR(__xludf.DUMMYFUNCTION("""COMPUTED_VALUE"""),"Mexico")</f>
        <v>Mexico</v>
      </c>
      <c r="B75" s="54">
        <f>IFERROR(__xludf.DUMMYFUNCTION("""COMPUTED_VALUE"""),42513.0)</f>
        <v>42513</v>
      </c>
      <c r="C75" s="19">
        <f>IFERROR(__xludf.DUMMYFUNCTION("""COMPUTED_VALUE"""),42519.0)</f>
        <v>42519</v>
      </c>
      <c r="D75" s="17">
        <f>IFERROR(__xludf.DUMMYFUNCTION("""COMPUTED_VALUE"""),21.0)</f>
        <v>21</v>
      </c>
      <c r="E75" s="17">
        <f>IFERROR(__xludf.DUMMYFUNCTION("""COMPUTED_VALUE"""),13019.0)</f>
        <v>13019</v>
      </c>
      <c r="F75" s="17">
        <f>IFERROR(__xludf.DUMMYFUNCTION("""COMPUTED_VALUE"""),0.0)</f>
        <v>0</v>
      </c>
      <c r="G75" s="17"/>
      <c r="H75" s="21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tr">
        <f>IFERROR(__xludf.DUMMYFUNCTION("""COMPUTED_VALUE"""),"Mexico")</f>
        <v>Mexico</v>
      </c>
      <c r="B76" s="54">
        <f>IFERROR(__xludf.DUMMYFUNCTION("""COMPUTED_VALUE"""),42520.0)</f>
        <v>42520</v>
      </c>
      <c r="C76" s="19">
        <f>IFERROR(__xludf.DUMMYFUNCTION("""COMPUTED_VALUE"""),42526.0)</f>
        <v>42526</v>
      </c>
      <c r="D76" s="17">
        <f>IFERROR(__xludf.DUMMYFUNCTION("""COMPUTED_VALUE"""),22.0)</f>
        <v>22</v>
      </c>
      <c r="E76" s="17">
        <f>IFERROR(__xludf.DUMMYFUNCTION("""COMPUTED_VALUE"""),12222.0)</f>
        <v>12222</v>
      </c>
      <c r="F76" s="17">
        <f>IFERROR(__xludf.DUMMYFUNCTION("""COMPUTED_VALUE"""),0.0)</f>
        <v>0</v>
      </c>
      <c r="G76" s="17"/>
      <c r="H76" s="21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tr">
        <f>IFERROR(__xludf.DUMMYFUNCTION("""COMPUTED_VALUE"""),"Mexico")</f>
        <v>Mexico</v>
      </c>
      <c r="B77" s="54">
        <f>IFERROR(__xludf.DUMMYFUNCTION("""COMPUTED_VALUE"""),42527.0)</f>
        <v>42527</v>
      </c>
      <c r="C77" s="19">
        <f>IFERROR(__xludf.DUMMYFUNCTION("""COMPUTED_VALUE"""),42533.0)</f>
        <v>42533</v>
      </c>
      <c r="D77" s="17">
        <f>IFERROR(__xludf.DUMMYFUNCTION("""COMPUTED_VALUE"""),23.0)</f>
        <v>23</v>
      </c>
      <c r="E77" s="17">
        <f>IFERROR(__xludf.DUMMYFUNCTION("""COMPUTED_VALUE"""),12011.0)</f>
        <v>12011</v>
      </c>
      <c r="F77" s="17">
        <f>IFERROR(__xludf.DUMMYFUNCTION("""COMPUTED_VALUE"""),0.0)</f>
        <v>0</v>
      </c>
      <c r="G77" s="17"/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tr">
        <f>IFERROR(__xludf.DUMMYFUNCTION("""COMPUTED_VALUE"""),"Mexico")</f>
        <v>Mexico</v>
      </c>
      <c r="B78" s="54">
        <f>IFERROR(__xludf.DUMMYFUNCTION("""COMPUTED_VALUE"""),42534.0)</f>
        <v>42534</v>
      </c>
      <c r="C78" s="19">
        <f>IFERROR(__xludf.DUMMYFUNCTION("""COMPUTED_VALUE"""),42540.0)</f>
        <v>42540</v>
      </c>
      <c r="D78" s="17">
        <f>IFERROR(__xludf.DUMMYFUNCTION("""COMPUTED_VALUE"""),24.0)</f>
        <v>24</v>
      </c>
      <c r="E78" s="17">
        <f>IFERROR(__xludf.DUMMYFUNCTION("""COMPUTED_VALUE"""),11994.0)</f>
        <v>11994</v>
      </c>
      <c r="F78" s="17">
        <f>IFERROR(__xludf.DUMMYFUNCTION("""COMPUTED_VALUE"""),0.0)</f>
        <v>0</v>
      </c>
      <c r="G78" s="17"/>
      <c r="H78" s="21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tr">
        <f>IFERROR(__xludf.DUMMYFUNCTION("""COMPUTED_VALUE"""),"Mexico")</f>
        <v>Mexico</v>
      </c>
      <c r="B79" s="54">
        <f>IFERROR(__xludf.DUMMYFUNCTION("""COMPUTED_VALUE"""),42541.0)</f>
        <v>42541</v>
      </c>
      <c r="C79" s="19">
        <f>IFERROR(__xludf.DUMMYFUNCTION("""COMPUTED_VALUE"""),42547.0)</f>
        <v>42547</v>
      </c>
      <c r="D79" s="17">
        <f>IFERROR(__xludf.DUMMYFUNCTION("""COMPUTED_VALUE"""),25.0)</f>
        <v>25</v>
      </c>
      <c r="E79" s="17">
        <f>IFERROR(__xludf.DUMMYFUNCTION("""COMPUTED_VALUE"""),12117.0)</f>
        <v>12117</v>
      </c>
      <c r="F79" s="17">
        <f>IFERROR(__xludf.DUMMYFUNCTION("""COMPUTED_VALUE"""),0.0)</f>
        <v>0</v>
      </c>
      <c r="G79" s="17"/>
      <c r="H79" s="21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tr">
        <f>IFERROR(__xludf.DUMMYFUNCTION("""COMPUTED_VALUE"""),"Mexico")</f>
        <v>Mexico</v>
      </c>
      <c r="B80" s="54">
        <f>IFERROR(__xludf.DUMMYFUNCTION("""COMPUTED_VALUE"""),42548.0)</f>
        <v>42548</v>
      </c>
      <c r="C80" s="19">
        <f>IFERROR(__xludf.DUMMYFUNCTION("""COMPUTED_VALUE"""),42554.0)</f>
        <v>42554</v>
      </c>
      <c r="D80" s="17">
        <f>IFERROR(__xludf.DUMMYFUNCTION("""COMPUTED_VALUE"""),26.0)</f>
        <v>26</v>
      </c>
      <c r="E80" s="17">
        <f>IFERROR(__xludf.DUMMYFUNCTION("""COMPUTED_VALUE"""),12203.0)</f>
        <v>12203</v>
      </c>
      <c r="F80" s="17">
        <f>IFERROR(__xludf.DUMMYFUNCTION("""COMPUTED_VALUE"""),0.0)</f>
        <v>0</v>
      </c>
      <c r="G80" s="17"/>
      <c r="H80" s="21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tr">
        <f>IFERROR(__xludf.DUMMYFUNCTION("""COMPUTED_VALUE"""),"Mexico")</f>
        <v>Mexico</v>
      </c>
      <c r="B81" s="54">
        <f>IFERROR(__xludf.DUMMYFUNCTION("""COMPUTED_VALUE"""),42555.0)</f>
        <v>42555</v>
      </c>
      <c r="C81" s="19">
        <f>IFERROR(__xludf.DUMMYFUNCTION("""COMPUTED_VALUE"""),42561.0)</f>
        <v>42561</v>
      </c>
      <c r="D81" s="17">
        <f>IFERROR(__xludf.DUMMYFUNCTION("""COMPUTED_VALUE"""),27.0)</f>
        <v>27</v>
      </c>
      <c r="E81" s="17">
        <f>IFERROR(__xludf.DUMMYFUNCTION("""COMPUTED_VALUE"""),12439.0)</f>
        <v>12439</v>
      </c>
      <c r="F81" s="17">
        <f>IFERROR(__xludf.DUMMYFUNCTION("""COMPUTED_VALUE"""),0.0)</f>
        <v>0</v>
      </c>
      <c r="G81" s="17"/>
      <c r="H81" s="21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tr">
        <f>IFERROR(__xludf.DUMMYFUNCTION("""COMPUTED_VALUE"""),"Mexico")</f>
        <v>Mexico</v>
      </c>
      <c r="B82" s="54">
        <f>IFERROR(__xludf.DUMMYFUNCTION("""COMPUTED_VALUE"""),42562.0)</f>
        <v>42562</v>
      </c>
      <c r="C82" s="19">
        <f>IFERROR(__xludf.DUMMYFUNCTION("""COMPUTED_VALUE"""),42568.0)</f>
        <v>42568</v>
      </c>
      <c r="D82" s="17">
        <f>IFERROR(__xludf.DUMMYFUNCTION("""COMPUTED_VALUE"""),28.0)</f>
        <v>28</v>
      </c>
      <c r="E82" s="17">
        <f>IFERROR(__xludf.DUMMYFUNCTION("""COMPUTED_VALUE"""),12241.0)</f>
        <v>12241</v>
      </c>
      <c r="F82" s="17">
        <f>IFERROR(__xludf.DUMMYFUNCTION("""COMPUTED_VALUE"""),0.0)</f>
        <v>0</v>
      </c>
      <c r="G82" s="17"/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tr">
        <f>IFERROR(__xludf.DUMMYFUNCTION("""COMPUTED_VALUE"""),"Mexico")</f>
        <v>Mexico</v>
      </c>
      <c r="B83" s="54">
        <f>IFERROR(__xludf.DUMMYFUNCTION("""COMPUTED_VALUE"""),42569.0)</f>
        <v>42569</v>
      </c>
      <c r="C83" s="19">
        <f>IFERROR(__xludf.DUMMYFUNCTION("""COMPUTED_VALUE"""),42575.0)</f>
        <v>42575</v>
      </c>
      <c r="D83" s="17">
        <f>IFERROR(__xludf.DUMMYFUNCTION("""COMPUTED_VALUE"""),29.0)</f>
        <v>29</v>
      </c>
      <c r="E83" s="17">
        <f>IFERROR(__xludf.DUMMYFUNCTION("""COMPUTED_VALUE"""),12316.0)</f>
        <v>12316</v>
      </c>
      <c r="F83" s="17">
        <f>IFERROR(__xludf.DUMMYFUNCTION("""COMPUTED_VALUE"""),0.0)</f>
        <v>0</v>
      </c>
      <c r="G83" s="17"/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tr">
        <f>IFERROR(__xludf.DUMMYFUNCTION("""COMPUTED_VALUE"""),"Mexico")</f>
        <v>Mexico</v>
      </c>
      <c r="B84" s="54">
        <f>IFERROR(__xludf.DUMMYFUNCTION("""COMPUTED_VALUE"""),42576.0)</f>
        <v>42576</v>
      </c>
      <c r="C84" s="19">
        <f>IFERROR(__xludf.DUMMYFUNCTION("""COMPUTED_VALUE"""),42582.0)</f>
        <v>42582</v>
      </c>
      <c r="D84" s="17">
        <f>IFERROR(__xludf.DUMMYFUNCTION("""COMPUTED_VALUE"""),30.0)</f>
        <v>30</v>
      </c>
      <c r="E84" s="17">
        <f>IFERROR(__xludf.DUMMYFUNCTION("""COMPUTED_VALUE"""),12141.0)</f>
        <v>12141</v>
      </c>
      <c r="F84" s="17">
        <f>IFERROR(__xludf.DUMMYFUNCTION("""COMPUTED_VALUE"""),0.0)</f>
        <v>0</v>
      </c>
      <c r="G84" s="17"/>
      <c r="H84" s="21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tr">
        <f>IFERROR(__xludf.DUMMYFUNCTION("""COMPUTED_VALUE"""),"Mexico")</f>
        <v>Mexico</v>
      </c>
      <c r="B85" s="54">
        <f>IFERROR(__xludf.DUMMYFUNCTION("""COMPUTED_VALUE"""),42583.0)</f>
        <v>42583</v>
      </c>
      <c r="C85" s="19">
        <f>IFERROR(__xludf.DUMMYFUNCTION("""COMPUTED_VALUE"""),42589.0)</f>
        <v>42589</v>
      </c>
      <c r="D85" s="17">
        <f>IFERROR(__xludf.DUMMYFUNCTION("""COMPUTED_VALUE"""),31.0)</f>
        <v>31</v>
      </c>
      <c r="E85" s="17">
        <f>IFERROR(__xludf.DUMMYFUNCTION("""COMPUTED_VALUE"""),12456.0)</f>
        <v>12456</v>
      </c>
      <c r="F85" s="17">
        <f>IFERROR(__xludf.DUMMYFUNCTION("""COMPUTED_VALUE"""),0.0)</f>
        <v>0</v>
      </c>
      <c r="G85" s="17"/>
      <c r="H85" s="21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tr">
        <f>IFERROR(__xludf.DUMMYFUNCTION("""COMPUTED_VALUE"""),"Mexico")</f>
        <v>Mexico</v>
      </c>
      <c r="B86" s="54">
        <f>IFERROR(__xludf.DUMMYFUNCTION("""COMPUTED_VALUE"""),42590.0)</f>
        <v>42590</v>
      </c>
      <c r="C86" s="19">
        <f>IFERROR(__xludf.DUMMYFUNCTION("""COMPUTED_VALUE"""),42596.0)</f>
        <v>42596</v>
      </c>
      <c r="D86" s="17">
        <f>IFERROR(__xludf.DUMMYFUNCTION("""COMPUTED_VALUE"""),32.0)</f>
        <v>32</v>
      </c>
      <c r="E86" s="17">
        <f>IFERROR(__xludf.DUMMYFUNCTION("""COMPUTED_VALUE"""),12173.0)</f>
        <v>12173</v>
      </c>
      <c r="F86" s="17">
        <f>IFERROR(__xludf.DUMMYFUNCTION("""COMPUTED_VALUE"""),0.0)</f>
        <v>0</v>
      </c>
      <c r="G86" s="17"/>
      <c r="H86" s="21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tr">
        <f>IFERROR(__xludf.DUMMYFUNCTION("""COMPUTED_VALUE"""),"Mexico")</f>
        <v>Mexico</v>
      </c>
      <c r="B87" s="54">
        <f>IFERROR(__xludf.DUMMYFUNCTION("""COMPUTED_VALUE"""),42597.0)</f>
        <v>42597</v>
      </c>
      <c r="C87" s="19">
        <f>IFERROR(__xludf.DUMMYFUNCTION("""COMPUTED_VALUE"""),42603.0)</f>
        <v>42603</v>
      </c>
      <c r="D87" s="17">
        <f>IFERROR(__xludf.DUMMYFUNCTION("""COMPUTED_VALUE"""),33.0)</f>
        <v>33</v>
      </c>
      <c r="E87" s="17">
        <f>IFERROR(__xludf.DUMMYFUNCTION("""COMPUTED_VALUE"""),12261.0)</f>
        <v>12261</v>
      </c>
      <c r="F87" s="17">
        <f>IFERROR(__xludf.DUMMYFUNCTION("""COMPUTED_VALUE"""),0.0)</f>
        <v>0</v>
      </c>
      <c r="G87" s="17"/>
      <c r="H87" s="21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tr">
        <f>IFERROR(__xludf.DUMMYFUNCTION("""COMPUTED_VALUE"""),"Mexico")</f>
        <v>Mexico</v>
      </c>
      <c r="B88" s="54">
        <f>IFERROR(__xludf.DUMMYFUNCTION("""COMPUTED_VALUE"""),42604.0)</f>
        <v>42604</v>
      </c>
      <c r="C88" s="19">
        <f>IFERROR(__xludf.DUMMYFUNCTION("""COMPUTED_VALUE"""),42610.0)</f>
        <v>42610</v>
      </c>
      <c r="D88" s="17">
        <f>IFERROR(__xludf.DUMMYFUNCTION("""COMPUTED_VALUE"""),34.0)</f>
        <v>34</v>
      </c>
      <c r="E88" s="17">
        <f>IFERROR(__xludf.DUMMYFUNCTION("""COMPUTED_VALUE"""),12245.0)</f>
        <v>12245</v>
      </c>
      <c r="F88" s="17">
        <f>IFERROR(__xludf.DUMMYFUNCTION("""COMPUTED_VALUE"""),0.0)</f>
        <v>0</v>
      </c>
      <c r="G88" s="17"/>
      <c r="H88" s="21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tr">
        <f>IFERROR(__xludf.DUMMYFUNCTION("""COMPUTED_VALUE"""),"Mexico")</f>
        <v>Mexico</v>
      </c>
      <c r="B89" s="54">
        <f>IFERROR(__xludf.DUMMYFUNCTION("""COMPUTED_VALUE"""),42611.0)</f>
        <v>42611</v>
      </c>
      <c r="C89" s="19">
        <f>IFERROR(__xludf.DUMMYFUNCTION("""COMPUTED_VALUE"""),42617.0)</f>
        <v>42617</v>
      </c>
      <c r="D89" s="17">
        <f>IFERROR(__xludf.DUMMYFUNCTION("""COMPUTED_VALUE"""),35.0)</f>
        <v>35</v>
      </c>
      <c r="E89" s="17">
        <f>IFERROR(__xludf.DUMMYFUNCTION("""COMPUTED_VALUE"""),12137.0)</f>
        <v>12137</v>
      </c>
      <c r="F89" s="17">
        <f>IFERROR(__xludf.DUMMYFUNCTION("""COMPUTED_VALUE"""),0.0)</f>
        <v>0</v>
      </c>
      <c r="G89" s="17"/>
      <c r="H89" s="21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tr">
        <f>IFERROR(__xludf.DUMMYFUNCTION("""COMPUTED_VALUE"""),"Mexico")</f>
        <v>Mexico</v>
      </c>
      <c r="B90" s="54">
        <f>IFERROR(__xludf.DUMMYFUNCTION("""COMPUTED_VALUE"""),42618.0)</f>
        <v>42618</v>
      </c>
      <c r="C90" s="19">
        <f>IFERROR(__xludf.DUMMYFUNCTION("""COMPUTED_VALUE"""),42624.0)</f>
        <v>42624</v>
      </c>
      <c r="D90" s="17">
        <f>IFERROR(__xludf.DUMMYFUNCTION("""COMPUTED_VALUE"""),36.0)</f>
        <v>36</v>
      </c>
      <c r="E90" s="17">
        <f>IFERROR(__xludf.DUMMYFUNCTION("""COMPUTED_VALUE"""),12285.0)</f>
        <v>12285</v>
      </c>
      <c r="F90" s="17">
        <f>IFERROR(__xludf.DUMMYFUNCTION("""COMPUTED_VALUE"""),0.0)</f>
        <v>0</v>
      </c>
      <c r="G90" s="17"/>
      <c r="H90" s="21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tr">
        <f>IFERROR(__xludf.DUMMYFUNCTION("""COMPUTED_VALUE"""),"Mexico")</f>
        <v>Mexico</v>
      </c>
      <c r="B91" s="54">
        <f>IFERROR(__xludf.DUMMYFUNCTION("""COMPUTED_VALUE"""),42625.0)</f>
        <v>42625</v>
      </c>
      <c r="C91" s="19">
        <f>IFERROR(__xludf.DUMMYFUNCTION("""COMPUTED_VALUE"""),42631.0)</f>
        <v>42631</v>
      </c>
      <c r="D91" s="17">
        <f>IFERROR(__xludf.DUMMYFUNCTION("""COMPUTED_VALUE"""),37.0)</f>
        <v>37</v>
      </c>
      <c r="E91" s="17">
        <f>IFERROR(__xludf.DUMMYFUNCTION("""COMPUTED_VALUE"""),12491.0)</f>
        <v>12491</v>
      </c>
      <c r="F91" s="17">
        <f>IFERROR(__xludf.DUMMYFUNCTION("""COMPUTED_VALUE"""),0.0)</f>
        <v>0</v>
      </c>
      <c r="G91" s="17"/>
      <c r="H91" s="21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tr">
        <f>IFERROR(__xludf.DUMMYFUNCTION("""COMPUTED_VALUE"""),"Mexico")</f>
        <v>Mexico</v>
      </c>
      <c r="B92" s="54">
        <f>IFERROR(__xludf.DUMMYFUNCTION("""COMPUTED_VALUE"""),42632.0)</f>
        <v>42632</v>
      </c>
      <c r="C92" s="19">
        <f>IFERROR(__xludf.DUMMYFUNCTION("""COMPUTED_VALUE"""),42638.0)</f>
        <v>42638</v>
      </c>
      <c r="D92" s="17">
        <f>IFERROR(__xludf.DUMMYFUNCTION("""COMPUTED_VALUE"""),38.0)</f>
        <v>38</v>
      </c>
      <c r="E92" s="17">
        <f>IFERROR(__xludf.DUMMYFUNCTION("""COMPUTED_VALUE"""),12203.0)</f>
        <v>12203</v>
      </c>
      <c r="F92" s="17">
        <f>IFERROR(__xludf.DUMMYFUNCTION("""COMPUTED_VALUE"""),0.0)</f>
        <v>0</v>
      </c>
      <c r="G92" s="17"/>
      <c r="H92" s="21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tr">
        <f>IFERROR(__xludf.DUMMYFUNCTION("""COMPUTED_VALUE"""),"Mexico")</f>
        <v>Mexico</v>
      </c>
      <c r="B93" s="54">
        <f>IFERROR(__xludf.DUMMYFUNCTION("""COMPUTED_VALUE"""),42639.0)</f>
        <v>42639</v>
      </c>
      <c r="C93" s="19">
        <f>IFERROR(__xludf.DUMMYFUNCTION("""COMPUTED_VALUE"""),42645.0)</f>
        <v>42645</v>
      </c>
      <c r="D93" s="17">
        <f>IFERROR(__xludf.DUMMYFUNCTION("""COMPUTED_VALUE"""),39.0)</f>
        <v>39</v>
      </c>
      <c r="E93" s="17">
        <f>IFERROR(__xludf.DUMMYFUNCTION("""COMPUTED_VALUE"""),12300.0)</f>
        <v>12300</v>
      </c>
      <c r="F93" s="17">
        <f>IFERROR(__xludf.DUMMYFUNCTION("""COMPUTED_VALUE"""),0.0)</f>
        <v>0</v>
      </c>
      <c r="G93" s="17"/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tr">
        <f>IFERROR(__xludf.DUMMYFUNCTION("""COMPUTED_VALUE"""),"Mexico")</f>
        <v>Mexico</v>
      </c>
      <c r="B94" s="54">
        <f>IFERROR(__xludf.DUMMYFUNCTION("""COMPUTED_VALUE"""),42646.0)</f>
        <v>42646</v>
      </c>
      <c r="C94" s="19">
        <f>IFERROR(__xludf.DUMMYFUNCTION("""COMPUTED_VALUE"""),42652.0)</f>
        <v>42652</v>
      </c>
      <c r="D94" s="17">
        <f>IFERROR(__xludf.DUMMYFUNCTION("""COMPUTED_VALUE"""),40.0)</f>
        <v>40</v>
      </c>
      <c r="E94" s="17">
        <f>IFERROR(__xludf.DUMMYFUNCTION("""COMPUTED_VALUE"""),12500.0)</f>
        <v>12500</v>
      </c>
      <c r="F94" s="17">
        <f>IFERROR(__xludf.DUMMYFUNCTION("""COMPUTED_VALUE"""),0.0)</f>
        <v>0</v>
      </c>
      <c r="G94" s="17"/>
      <c r="H94" s="21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tr">
        <f>IFERROR(__xludf.DUMMYFUNCTION("""COMPUTED_VALUE"""),"Mexico")</f>
        <v>Mexico</v>
      </c>
      <c r="B95" s="54">
        <f>IFERROR(__xludf.DUMMYFUNCTION("""COMPUTED_VALUE"""),42653.0)</f>
        <v>42653</v>
      </c>
      <c r="C95" s="19">
        <f>IFERROR(__xludf.DUMMYFUNCTION("""COMPUTED_VALUE"""),42659.0)</f>
        <v>42659</v>
      </c>
      <c r="D95" s="17">
        <f>IFERROR(__xludf.DUMMYFUNCTION("""COMPUTED_VALUE"""),41.0)</f>
        <v>41</v>
      </c>
      <c r="E95" s="17">
        <f>IFERROR(__xludf.DUMMYFUNCTION("""COMPUTED_VALUE"""),12201.0)</f>
        <v>12201</v>
      </c>
      <c r="F95" s="17">
        <f>IFERROR(__xludf.DUMMYFUNCTION("""COMPUTED_VALUE"""),0.0)</f>
        <v>0</v>
      </c>
      <c r="G95" s="17"/>
      <c r="H95" s="21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tr">
        <f>IFERROR(__xludf.DUMMYFUNCTION("""COMPUTED_VALUE"""),"Mexico")</f>
        <v>Mexico</v>
      </c>
      <c r="B96" s="54">
        <f>IFERROR(__xludf.DUMMYFUNCTION("""COMPUTED_VALUE"""),42660.0)</f>
        <v>42660</v>
      </c>
      <c r="C96" s="19">
        <f>IFERROR(__xludf.DUMMYFUNCTION("""COMPUTED_VALUE"""),42666.0)</f>
        <v>42666</v>
      </c>
      <c r="D96" s="17">
        <f>IFERROR(__xludf.DUMMYFUNCTION("""COMPUTED_VALUE"""),42.0)</f>
        <v>42</v>
      </c>
      <c r="E96" s="17">
        <f>IFERROR(__xludf.DUMMYFUNCTION("""COMPUTED_VALUE"""),12365.0)</f>
        <v>12365</v>
      </c>
      <c r="F96" s="17">
        <f>IFERROR(__xludf.DUMMYFUNCTION("""COMPUTED_VALUE"""),0.0)</f>
        <v>0</v>
      </c>
      <c r="G96" s="17"/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tr">
        <f>IFERROR(__xludf.DUMMYFUNCTION("""COMPUTED_VALUE"""),"Mexico")</f>
        <v>Mexico</v>
      </c>
      <c r="B97" s="54">
        <f>IFERROR(__xludf.DUMMYFUNCTION("""COMPUTED_VALUE"""),42667.0)</f>
        <v>42667</v>
      </c>
      <c r="C97" s="19">
        <f>IFERROR(__xludf.DUMMYFUNCTION("""COMPUTED_VALUE"""),42673.0)</f>
        <v>42673</v>
      </c>
      <c r="D97" s="17">
        <f>IFERROR(__xludf.DUMMYFUNCTION("""COMPUTED_VALUE"""),43.0)</f>
        <v>43</v>
      </c>
      <c r="E97" s="17">
        <f>IFERROR(__xludf.DUMMYFUNCTION("""COMPUTED_VALUE"""),12506.0)</f>
        <v>12506</v>
      </c>
      <c r="F97" s="17">
        <f>IFERROR(__xludf.DUMMYFUNCTION("""COMPUTED_VALUE"""),0.0)</f>
        <v>0</v>
      </c>
      <c r="G97" s="17"/>
      <c r="H97" s="21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tr">
        <f>IFERROR(__xludf.DUMMYFUNCTION("""COMPUTED_VALUE"""),"Mexico")</f>
        <v>Mexico</v>
      </c>
      <c r="B98" s="54">
        <f>IFERROR(__xludf.DUMMYFUNCTION("""COMPUTED_VALUE"""),42674.0)</f>
        <v>42674</v>
      </c>
      <c r="C98" s="19">
        <f>IFERROR(__xludf.DUMMYFUNCTION("""COMPUTED_VALUE"""),42680.0)</f>
        <v>42680</v>
      </c>
      <c r="D98" s="17">
        <f>IFERROR(__xludf.DUMMYFUNCTION("""COMPUTED_VALUE"""),44.0)</f>
        <v>44</v>
      </c>
      <c r="E98" s="17">
        <f>IFERROR(__xludf.DUMMYFUNCTION("""COMPUTED_VALUE"""),12735.0)</f>
        <v>12735</v>
      </c>
      <c r="F98" s="17">
        <f>IFERROR(__xludf.DUMMYFUNCTION("""COMPUTED_VALUE"""),0.0)</f>
        <v>0</v>
      </c>
      <c r="G98" s="17"/>
      <c r="H98" s="21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tr">
        <f>IFERROR(__xludf.DUMMYFUNCTION("""COMPUTED_VALUE"""),"Mexico")</f>
        <v>Mexico</v>
      </c>
      <c r="B99" s="54">
        <f>IFERROR(__xludf.DUMMYFUNCTION("""COMPUTED_VALUE"""),42681.0)</f>
        <v>42681</v>
      </c>
      <c r="C99" s="19">
        <f>IFERROR(__xludf.DUMMYFUNCTION("""COMPUTED_VALUE"""),42687.0)</f>
        <v>42687</v>
      </c>
      <c r="D99" s="17">
        <f>IFERROR(__xludf.DUMMYFUNCTION("""COMPUTED_VALUE"""),45.0)</f>
        <v>45</v>
      </c>
      <c r="E99" s="17">
        <f>IFERROR(__xludf.DUMMYFUNCTION("""COMPUTED_VALUE"""),12478.0)</f>
        <v>12478</v>
      </c>
      <c r="F99" s="17">
        <f>IFERROR(__xludf.DUMMYFUNCTION("""COMPUTED_VALUE"""),0.0)</f>
        <v>0</v>
      </c>
      <c r="G99" s="17"/>
      <c r="H99" s="21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tr">
        <f>IFERROR(__xludf.DUMMYFUNCTION("""COMPUTED_VALUE"""),"Mexico")</f>
        <v>Mexico</v>
      </c>
      <c r="B100" s="54">
        <f>IFERROR(__xludf.DUMMYFUNCTION("""COMPUTED_VALUE"""),42688.0)</f>
        <v>42688</v>
      </c>
      <c r="C100" s="19">
        <f>IFERROR(__xludf.DUMMYFUNCTION("""COMPUTED_VALUE"""),42694.0)</f>
        <v>42694</v>
      </c>
      <c r="D100" s="17">
        <f>IFERROR(__xludf.DUMMYFUNCTION("""COMPUTED_VALUE"""),46.0)</f>
        <v>46</v>
      </c>
      <c r="E100" s="17">
        <f>IFERROR(__xludf.DUMMYFUNCTION("""COMPUTED_VALUE"""),12837.0)</f>
        <v>12837</v>
      </c>
      <c r="F100" s="17">
        <f>IFERROR(__xludf.DUMMYFUNCTION("""COMPUTED_VALUE"""),0.0)</f>
        <v>0</v>
      </c>
      <c r="G100" s="17"/>
      <c r="H100" s="21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tr">
        <f>IFERROR(__xludf.DUMMYFUNCTION("""COMPUTED_VALUE"""),"Mexico")</f>
        <v>Mexico</v>
      </c>
      <c r="B101" s="54">
        <f>IFERROR(__xludf.DUMMYFUNCTION("""COMPUTED_VALUE"""),42695.0)</f>
        <v>42695</v>
      </c>
      <c r="C101" s="19">
        <f>IFERROR(__xludf.DUMMYFUNCTION("""COMPUTED_VALUE"""),42701.0)</f>
        <v>42701</v>
      </c>
      <c r="D101" s="17">
        <f>IFERROR(__xludf.DUMMYFUNCTION("""COMPUTED_VALUE"""),47.0)</f>
        <v>47</v>
      </c>
      <c r="E101" s="17">
        <f>IFERROR(__xludf.DUMMYFUNCTION("""COMPUTED_VALUE"""),13616.0)</f>
        <v>13616</v>
      </c>
      <c r="F101" s="17">
        <f>IFERROR(__xludf.DUMMYFUNCTION("""COMPUTED_VALUE"""),0.0)</f>
        <v>0</v>
      </c>
      <c r="G101" s="17"/>
      <c r="H101" s="21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tr">
        <f>IFERROR(__xludf.DUMMYFUNCTION("""COMPUTED_VALUE"""),"Mexico")</f>
        <v>Mexico</v>
      </c>
      <c r="B102" s="54">
        <f>IFERROR(__xludf.DUMMYFUNCTION("""COMPUTED_VALUE"""),42702.0)</f>
        <v>42702</v>
      </c>
      <c r="C102" s="19">
        <f>IFERROR(__xludf.DUMMYFUNCTION("""COMPUTED_VALUE"""),42708.0)</f>
        <v>42708</v>
      </c>
      <c r="D102" s="17">
        <f>IFERROR(__xludf.DUMMYFUNCTION("""COMPUTED_VALUE"""),48.0)</f>
        <v>48</v>
      </c>
      <c r="E102" s="17">
        <f>IFERROR(__xludf.DUMMYFUNCTION("""COMPUTED_VALUE"""),13678.0)</f>
        <v>13678</v>
      </c>
      <c r="F102" s="17">
        <f>IFERROR(__xludf.DUMMYFUNCTION("""COMPUTED_VALUE"""),0.0)</f>
        <v>0</v>
      </c>
      <c r="G102" s="17"/>
      <c r="H102" s="21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tr">
        <f>IFERROR(__xludf.DUMMYFUNCTION("""COMPUTED_VALUE"""),"Mexico")</f>
        <v>Mexico</v>
      </c>
      <c r="B103" s="54">
        <f>IFERROR(__xludf.DUMMYFUNCTION("""COMPUTED_VALUE"""),42709.0)</f>
        <v>42709</v>
      </c>
      <c r="C103" s="19">
        <f>IFERROR(__xludf.DUMMYFUNCTION("""COMPUTED_VALUE"""),42715.0)</f>
        <v>42715</v>
      </c>
      <c r="D103" s="17">
        <f>IFERROR(__xludf.DUMMYFUNCTION("""COMPUTED_VALUE"""),49.0)</f>
        <v>49</v>
      </c>
      <c r="E103" s="17">
        <f>IFERROR(__xludf.DUMMYFUNCTION("""COMPUTED_VALUE"""),13396.0)</f>
        <v>13396</v>
      </c>
      <c r="F103" s="17">
        <f>IFERROR(__xludf.DUMMYFUNCTION("""COMPUTED_VALUE"""),0.0)</f>
        <v>0</v>
      </c>
      <c r="G103" s="17"/>
      <c r="H103" s="21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tr">
        <f>IFERROR(__xludf.DUMMYFUNCTION("""COMPUTED_VALUE"""),"Mexico")</f>
        <v>Mexico</v>
      </c>
      <c r="B104" s="54">
        <f>IFERROR(__xludf.DUMMYFUNCTION("""COMPUTED_VALUE"""),42716.0)</f>
        <v>42716</v>
      </c>
      <c r="C104" s="19">
        <f>IFERROR(__xludf.DUMMYFUNCTION("""COMPUTED_VALUE"""),42722.0)</f>
        <v>42722</v>
      </c>
      <c r="D104" s="17">
        <f>IFERROR(__xludf.DUMMYFUNCTION("""COMPUTED_VALUE"""),50.0)</f>
        <v>50</v>
      </c>
      <c r="E104" s="17">
        <f>IFERROR(__xludf.DUMMYFUNCTION("""COMPUTED_VALUE"""),13697.0)</f>
        <v>13697</v>
      </c>
      <c r="F104" s="17">
        <f>IFERROR(__xludf.DUMMYFUNCTION("""COMPUTED_VALUE"""),0.0)</f>
        <v>0</v>
      </c>
      <c r="G104" s="17"/>
      <c r="H104" s="21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tr">
        <f>IFERROR(__xludf.DUMMYFUNCTION("""COMPUTED_VALUE"""),"Mexico")</f>
        <v>Mexico</v>
      </c>
      <c r="B105" s="54">
        <f>IFERROR(__xludf.DUMMYFUNCTION("""COMPUTED_VALUE"""),42723.0)</f>
        <v>42723</v>
      </c>
      <c r="C105" s="19">
        <f>IFERROR(__xludf.DUMMYFUNCTION("""COMPUTED_VALUE"""),42729.0)</f>
        <v>42729</v>
      </c>
      <c r="D105" s="17">
        <f>IFERROR(__xludf.DUMMYFUNCTION("""COMPUTED_VALUE"""),51.0)</f>
        <v>51</v>
      </c>
      <c r="E105" s="17">
        <f>IFERROR(__xludf.DUMMYFUNCTION("""COMPUTED_VALUE"""),13784.0)</f>
        <v>13784</v>
      </c>
      <c r="F105" s="17">
        <f>IFERROR(__xludf.DUMMYFUNCTION("""COMPUTED_VALUE"""),0.0)</f>
        <v>0</v>
      </c>
      <c r="G105" s="17"/>
      <c r="H105" s="21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tr">
        <f>IFERROR(__xludf.DUMMYFUNCTION("""COMPUTED_VALUE"""),"Mexico")</f>
        <v>Mexico</v>
      </c>
      <c r="B106" s="54">
        <f>IFERROR(__xludf.DUMMYFUNCTION("""COMPUTED_VALUE"""),42730.0)</f>
        <v>42730</v>
      </c>
      <c r="C106" s="19">
        <f>IFERROR(__xludf.DUMMYFUNCTION("""COMPUTED_VALUE"""),42736.0)</f>
        <v>42736</v>
      </c>
      <c r="D106" s="56">
        <f>IFERROR(__xludf.DUMMYFUNCTION("""COMPUTED_VALUE"""),52.0)</f>
        <v>52</v>
      </c>
      <c r="E106" s="17">
        <f>IFERROR(__xludf.DUMMYFUNCTION("""COMPUTED_VALUE"""),14313.0)</f>
        <v>14313</v>
      </c>
      <c r="F106" s="17">
        <f>IFERROR(__xludf.DUMMYFUNCTION("""COMPUTED_VALUE"""),0.0)</f>
        <v>0</v>
      </c>
      <c r="G106" s="17"/>
      <c r="H106" s="21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tr">
        <f>IFERROR(__xludf.DUMMYFUNCTION("""COMPUTED_VALUE"""),"Mexico")</f>
        <v>Mexico</v>
      </c>
      <c r="B107" s="54">
        <f>IFERROR(__xludf.DUMMYFUNCTION("""COMPUTED_VALUE"""),42737.0)</f>
        <v>42737</v>
      </c>
      <c r="C107" s="19">
        <f>IFERROR(__xludf.DUMMYFUNCTION("""COMPUTED_VALUE"""),42743.0)</f>
        <v>42743</v>
      </c>
      <c r="D107" s="17">
        <f>IFERROR(__xludf.DUMMYFUNCTION("""COMPUTED_VALUE"""),1.0)</f>
        <v>1</v>
      </c>
      <c r="E107" s="17">
        <f>IFERROR(__xludf.DUMMYFUNCTION("""COMPUTED_VALUE"""),14312.0)</f>
        <v>14312</v>
      </c>
      <c r="F107" s="17">
        <f>IFERROR(__xludf.DUMMYFUNCTION("""COMPUTED_VALUE"""),0.0)</f>
        <v>0</v>
      </c>
      <c r="G107" s="17"/>
      <c r="H107" s="21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tr">
        <f>IFERROR(__xludf.DUMMYFUNCTION("""COMPUTED_VALUE"""),"Mexico")</f>
        <v>Mexico</v>
      </c>
      <c r="B108" s="54">
        <f>IFERROR(__xludf.DUMMYFUNCTION("""COMPUTED_VALUE"""),42744.0)</f>
        <v>42744</v>
      </c>
      <c r="C108" s="19">
        <f>IFERROR(__xludf.DUMMYFUNCTION("""COMPUTED_VALUE"""),42750.0)</f>
        <v>42750</v>
      </c>
      <c r="D108" s="17">
        <f>IFERROR(__xludf.DUMMYFUNCTION("""COMPUTED_VALUE"""),2.0)</f>
        <v>2</v>
      </c>
      <c r="E108" s="17">
        <f>IFERROR(__xludf.DUMMYFUNCTION("""COMPUTED_VALUE"""),14583.0)</f>
        <v>14583</v>
      </c>
      <c r="F108" s="17">
        <f>IFERROR(__xludf.DUMMYFUNCTION("""COMPUTED_VALUE"""),0.0)</f>
        <v>0</v>
      </c>
      <c r="G108" s="17"/>
      <c r="H108" s="21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tr">
        <f>IFERROR(__xludf.DUMMYFUNCTION("""COMPUTED_VALUE"""),"Mexico")</f>
        <v>Mexico</v>
      </c>
      <c r="B109" s="54">
        <f>IFERROR(__xludf.DUMMYFUNCTION("""COMPUTED_VALUE"""),42751.0)</f>
        <v>42751</v>
      </c>
      <c r="C109" s="19">
        <f>IFERROR(__xludf.DUMMYFUNCTION("""COMPUTED_VALUE"""),42757.0)</f>
        <v>42757</v>
      </c>
      <c r="D109" s="17">
        <f>IFERROR(__xludf.DUMMYFUNCTION("""COMPUTED_VALUE"""),3.0)</f>
        <v>3</v>
      </c>
      <c r="E109" s="17">
        <f>IFERROR(__xludf.DUMMYFUNCTION("""COMPUTED_VALUE"""),14163.0)</f>
        <v>14163</v>
      </c>
      <c r="F109" s="17">
        <f>IFERROR(__xludf.DUMMYFUNCTION("""COMPUTED_VALUE"""),0.0)</f>
        <v>0</v>
      </c>
      <c r="G109" s="17"/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tr">
        <f>IFERROR(__xludf.DUMMYFUNCTION("""COMPUTED_VALUE"""),"Mexico")</f>
        <v>Mexico</v>
      </c>
      <c r="B110" s="54">
        <f>IFERROR(__xludf.DUMMYFUNCTION("""COMPUTED_VALUE"""),42758.0)</f>
        <v>42758</v>
      </c>
      <c r="C110" s="19">
        <f>IFERROR(__xludf.DUMMYFUNCTION("""COMPUTED_VALUE"""),42764.0)</f>
        <v>42764</v>
      </c>
      <c r="D110" s="17">
        <f>IFERROR(__xludf.DUMMYFUNCTION("""COMPUTED_VALUE"""),4.0)</f>
        <v>4</v>
      </c>
      <c r="E110" s="17">
        <f>IFERROR(__xludf.DUMMYFUNCTION("""COMPUTED_VALUE"""),14118.0)</f>
        <v>14118</v>
      </c>
      <c r="F110" s="17">
        <f>IFERROR(__xludf.DUMMYFUNCTION("""COMPUTED_VALUE"""),0.0)</f>
        <v>0</v>
      </c>
      <c r="G110" s="17"/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tr">
        <f>IFERROR(__xludf.DUMMYFUNCTION("""COMPUTED_VALUE"""),"Mexico")</f>
        <v>Mexico</v>
      </c>
      <c r="B111" s="54">
        <f>IFERROR(__xludf.DUMMYFUNCTION("""COMPUTED_VALUE"""),42765.0)</f>
        <v>42765</v>
      </c>
      <c r="C111" s="19">
        <f>IFERROR(__xludf.DUMMYFUNCTION("""COMPUTED_VALUE"""),42771.0)</f>
        <v>42771</v>
      </c>
      <c r="D111" s="17">
        <f>IFERROR(__xludf.DUMMYFUNCTION("""COMPUTED_VALUE"""),5.0)</f>
        <v>5</v>
      </c>
      <c r="E111" s="17">
        <f>IFERROR(__xludf.DUMMYFUNCTION("""COMPUTED_VALUE"""),14444.0)</f>
        <v>14444</v>
      </c>
      <c r="F111" s="17">
        <f>IFERROR(__xludf.DUMMYFUNCTION("""COMPUTED_VALUE"""),0.0)</f>
        <v>0</v>
      </c>
      <c r="G111" s="17"/>
      <c r="H111" s="21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tr">
        <f>IFERROR(__xludf.DUMMYFUNCTION("""COMPUTED_VALUE"""),"Mexico")</f>
        <v>Mexico</v>
      </c>
      <c r="B112" s="54">
        <f>IFERROR(__xludf.DUMMYFUNCTION("""COMPUTED_VALUE"""),42772.0)</f>
        <v>42772</v>
      </c>
      <c r="C112" s="19">
        <f>IFERROR(__xludf.DUMMYFUNCTION("""COMPUTED_VALUE"""),42778.0)</f>
        <v>42778</v>
      </c>
      <c r="D112" s="17">
        <f>IFERROR(__xludf.DUMMYFUNCTION("""COMPUTED_VALUE"""),6.0)</f>
        <v>6</v>
      </c>
      <c r="E112" s="17">
        <f>IFERROR(__xludf.DUMMYFUNCTION("""COMPUTED_VALUE"""),14330.0)</f>
        <v>14330</v>
      </c>
      <c r="F112" s="17">
        <f>IFERROR(__xludf.DUMMYFUNCTION("""COMPUTED_VALUE"""),0.0)</f>
        <v>0</v>
      </c>
      <c r="G112" s="17"/>
      <c r="H112" s="21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tr">
        <f>IFERROR(__xludf.DUMMYFUNCTION("""COMPUTED_VALUE"""),"Mexico")</f>
        <v>Mexico</v>
      </c>
      <c r="B113" s="54">
        <f>IFERROR(__xludf.DUMMYFUNCTION("""COMPUTED_VALUE"""),42779.0)</f>
        <v>42779</v>
      </c>
      <c r="C113" s="19">
        <f>IFERROR(__xludf.DUMMYFUNCTION("""COMPUTED_VALUE"""),42785.0)</f>
        <v>42785</v>
      </c>
      <c r="D113" s="17">
        <f>IFERROR(__xludf.DUMMYFUNCTION("""COMPUTED_VALUE"""),7.0)</f>
        <v>7</v>
      </c>
      <c r="E113" s="17">
        <f>IFERROR(__xludf.DUMMYFUNCTION("""COMPUTED_VALUE"""),14165.0)</f>
        <v>14165</v>
      </c>
      <c r="F113" s="17">
        <f>IFERROR(__xludf.DUMMYFUNCTION("""COMPUTED_VALUE"""),0.0)</f>
        <v>0</v>
      </c>
      <c r="G113" s="17"/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tr">
        <f>IFERROR(__xludf.DUMMYFUNCTION("""COMPUTED_VALUE"""),"Mexico")</f>
        <v>Mexico</v>
      </c>
      <c r="B114" s="54">
        <f>IFERROR(__xludf.DUMMYFUNCTION("""COMPUTED_VALUE"""),42786.0)</f>
        <v>42786</v>
      </c>
      <c r="C114" s="19">
        <f>IFERROR(__xludf.DUMMYFUNCTION("""COMPUTED_VALUE"""),42792.0)</f>
        <v>42792</v>
      </c>
      <c r="D114" s="17">
        <f>IFERROR(__xludf.DUMMYFUNCTION("""COMPUTED_VALUE"""),8.0)</f>
        <v>8</v>
      </c>
      <c r="E114" s="17">
        <f>IFERROR(__xludf.DUMMYFUNCTION("""COMPUTED_VALUE"""),14278.0)</f>
        <v>14278</v>
      </c>
      <c r="F114" s="17">
        <f>IFERROR(__xludf.DUMMYFUNCTION("""COMPUTED_VALUE"""),0.0)</f>
        <v>0</v>
      </c>
      <c r="G114" s="17"/>
      <c r="H114" s="21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tr">
        <f>IFERROR(__xludf.DUMMYFUNCTION("""COMPUTED_VALUE"""),"Mexico")</f>
        <v>Mexico</v>
      </c>
      <c r="B115" s="54">
        <f>IFERROR(__xludf.DUMMYFUNCTION("""COMPUTED_VALUE"""),42793.0)</f>
        <v>42793</v>
      </c>
      <c r="C115" s="19">
        <f>IFERROR(__xludf.DUMMYFUNCTION("""COMPUTED_VALUE"""),42799.0)</f>
        <v>42799</v>
      </c>
      <c r="D115" s="17">
        <f>IFERROR(__xludf.DUMMYFUNCTION("""COMPUTED_VALUE"""),9.0)</f>
        <v>9</v>
      </c>
      <c r="E115" s="17">
        <f>IFERROR(__xludf.DUMMYFUNCTION("""COMPUTED_VALUE"""),14456.0)</f>
        <v>14456</v>
      </c>
      <c r="F115" s="17">
        <f>IFERROR(__xludf.DUMMYFUNCTION("""COMPUTED_VALUE"""),0.0)</f>
        <v>0</v>
      </c>
      <c r="G115" s="17"/>
      <c r="H115" s="21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tr">
        <f>IFERROR(__xludf.DUMMYFUNCTION("""COMPUTED_VALUE"""),"Mexico")</f>
        <v>Mexico</v>
      </c>
      <c r="B116" s="54">
        <f>IFERROR(__xludf.DUMMYFUNCTION("""COMPUTED_VALUE"""),42800.0)</f>
        <v>42800</v>
      </c>
      <c r="C116" s="19">
        <f>IFERROR(__xludf.DUMMYFUNCTION("""COMPUTED_VALUE"""),42806.0)</f>
        <v>42806</v>
      </c>
      <c r="D116" s="17">
        <f>IFERROR(__xludf.DUMMYFUNCTION("""COMPUTED_VALUE"""),10.0)</f>
        <v>10</v>
      </c>
      <c r="E116" s="17">
        <f>IFERROR(__xludf.DUMMYFUNCTION("""COMPUTED_VALUE"""),13844.0)</f>
        <v>13844</v>
      </c>
      <c r="F116" s="17">
        <f>IFERROR(__xludf.DUMMYFUNCTION("""COMPUTED_VALUE"""),0.0)</f>
        <v>0</v>
      </c>
      <c r="G116" s="17"/>
      <c r="H116" s="21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tr">
        <f>IFERROR(__xludf.DUMMYFUNCTION("""COMPUTED_VALUE"""),"Mexico")</f>
        <v>Mexico</v>
      </c>
      <c r="B117" s="54">
        <f>IFERROR(__xludf.DUMMYFUNCTION("""COMPUTED_VALUE"""),42807.0)</f>
        <v>42807</v>
      </c>
      <c r="C117" s="19">
        <f>IFERROR(__xludf.DUMMYFUNCTION("""COMPUTED_VALUE"""),42813.0)</f>
        <v>42813</v>
      </c>
      <c r="D117" s="17">
        <f>IFERROR(__xludf.DUMMYFUNCTION("""COMPUTED_VALUE"""),11.0)</f>
        <v>11</v>
      </c>
      <c r="E117" s="17">
        <f>IFERROR(__xludf.DUMMYFUNCTION("""COMPUTED_VALUE"""),13948.0)</f>
        <v>13948</v>
      </c>
      <c r="F117" s="17">
        <f>IFERROR(__xludf.DUMMYFUNCTION("""COMPUTED_VALUE"""),0.0)</f>
        <v>0</v>
      </c>
      <c r="G117" s="17"/>
      <c r="H117" s="21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tr">
        <f>IFERROR(__xludf.DUMMYFUNCTION("""COMPUTED_VALUE"""),"Mexico")</f>
        <v>Mexico</v>
      </c>
      <c r="B118" s="54">
        <f>IFERROR(__xludf.DUMMYFUNCTION("""COMPUTED_VALUE"""),42814.0)</f>
        <v>42814</v>
      </c>
      <c r="C118" s="19">
        <f>IFERROR(__xludf.DUMMYFUNCTION("""COMPUTED_VALUE"""),42820.0)</f>
        <v>42820</v>
      </c>
      <c r="D118" s="17">
        <f>IFERROR(__xludf.DUMMYFUNCTION("""COMPUTED_VALUE"""),12.0)</f>
        <v>12</v>
      </c>
      <c r="E118" s="17">
        <f>IFERROR(__xludf.DUMMYFUNCTION("""COMPUTED_VALUE"""),13878.0)</f>
        <v>13878</v>
      </c>
      <c r="F118" s="17">
        <f>IFERROR(__xludf.DUMMYFUNCTION("""COMPUTED_VALUE"""),0.0)</f>
        <v>0</v>
      </c>
      <c r="G118" s="17"/>
      <c r="H118" s="21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tr">
        <f>IFERROR(__xludf.DUMMYFUNCTION("""COMPUTED_VALUE"""),"Mexico")</f>
        <v>Mexico</v>
      </c>
      <c r="B119" s="54">
        <f>IFERROR(__xludf.DUMMYFUNCTION("""COMPUTED_VALUE"""),42821.0)</f>
        <v>42821</v>
      </c>
      <c r="C119" s="19">
        <f>IFERROR(__xludf.DUMMYFUNCTION("""COMPUTED_VALUE"""),42827.0)</f>
        <v>42827</v>
      </c>
      <c r="D119" s="17">
        <f>IFERROR(__xludf.DUMMYFUNCTION("""COMPUTED_VALUE"""),13.0)</f>
        <v>13</v>
      </c>
      <c r="E119" s="17">
        <f>IFERROR(__xludf.DUMMYFUNCTION("""COMPUTED_VALUE"""),13307.0)</f>
        <v>13307</v>
      </c>
      <c r="F119" s="17">
        <f>IFERROR(__xludf.DUMMYFUNCTION("""COMPUTED_VALUE"""),0.0)</f>
        <v>0</v>
      </c>
      <c r="G119" s="17"/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tr">
        <f>IFERROR(__xludf.DUMMYFUNCTION("""COMPUTED_VALUE"""),"Mexico")</f>
        <v>Mexico</v>
      </c>
      <c r="B120" s="54">
        <f>IFERROR(__xludf.DUMMYFUNCTION("""COMPUTED_VALUE"""),42828.0)</f>
        <v>42828</v>
      </c>
      <c r="C120" s="19">
        <f>IFERROR(__xludf.DUMMYFUNCTION("""COMPUTED_VALUE"""),42834.0)</f>
        <v>42834</v>
      </c>
      <c r="D120" s="17">
        <f>IFERROR(__xludf.DUMMYFUNCTION("""COMPUTED_VALUE"""),14.0)</f>
        <v>14</v>
      </c>
      <c r="E120" s="17">
        <f>IFERROR(__xludf.DUMMYFUNCTION("""COMPUTED_VALUE"""),13470.0)</f>
        <v>13470</v>
      </c>
      <c r="F120" s="17">
        <f>IFERROR(__xludf.DUMMYFUNCTION("""COMPUTED_VALUE"""),0.0)</f>
        <v>0</v>
      </c>
      <c r="G120" s="17"/>
      <c r="H120" s="21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tr">
        <f>IFERROR(__xludf.DUMMYFUNCTION("""COMPUTED_VALUE"""),"Mexico")</f>
        <v>Mexico</v>
      </c>
      <c r="B121" s="54">
        <f>IFERROR(__xludf.DUMMYFUNCTION("""COMPUTED_VALUE"""),42835.0)</f>
        <v>42835</v>
      </c>
      <c r="C121" s="19">
        <f>IFERROR(__xludf.DUMMYFUNCTION("""COMPUTED_VALUE"""),42841.0)</f>
        <v>42841</v>
      </c>
      <c r="D121" s="17">
        <f>IFERROR(__xludf.DUMMYFUNCTION("""COMPUTED_VALUE"""),15.0)</f>
        <v>15</v>
      </c>
      <c r="E121" s="17">
        <f>IFERROR(__xludf.DUMMYFUNCTION("""COMPUTED_VALUE"""),13210.0)</f>
        <v>13210</v>
      </c>
      <c r="F121" s="17">
        <f>IFERROR(__xludf.DUMMYFUNCTION("""COMPUTED_VALUE"""),0.0)</f>
        <v>0</v>
      </c>
      <c r="G121" s="17"/>
      <c r="H121" s="21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tr">
        <f>IFERROR(__xludf.DUMMYFUNCTION("""COMPUTED_VALUE"""),"Mexico")</f>
        <v>Mexico</v>
      </c>
      <c r="B122" s="54">
        <f>IFERROR(__xludf.DUMMYFUNCTION("""COMPUTED_VALUE"""),42842.0)</f>
        <v>42842</v>
      </c>
      <c r="C122" s="19">
        <f>IFERROR(__xludf.DUMMYFUNCTION("""COMPUTED_VALUE"""),42848.0)</f>
        <v>42848</v>
      </c>
      <c r="D122" s="17">
        <f>IFERROR(__xludf.DUMMYFUNCTION("""COMPUTED_VALUE"""),16.0)</f>
        <v>16</v>
      </c>
      <c r="E122" s="17">
        <f>IFERROR(__xludf.DUMMYFUNCTION("""COMPUTED_VALUE"""),13212.0)</f>
        <v>13212</v>
      </c>
      <c r="F122" s="17">
        <f>IFERROR(__xludf.DUMMYFUNCTION("""COMPUTED_VALUE"""),0.0)</f>
        <v>0</v>
      </c>
      <c r="G122" s="17"/>
      <c r="H122" s="21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tr">
        <f>IFERROR(__xludf.DUMMYFUNCTION("""COMPUTED_VALUE"""),"Mexico")</f>
        <v>Mexico</v>
      </c>
      <c r="B123" s="54">
        <f>IFERROR(__xludf.DUMMYFUNCTION("""COMPUTED_VALUE"""),42849.0)</f>
        <v>42849</v>
      </c>
      <c r="C123" s="19">
        <f>IFERROR(__xludf.DUMMYFUNCTION("""COMPUTED_VALUE"""),42855.0)</f>
        <v>42855</v>
      </c>
      <c r="D123" s="17">
        <f>IFERROR(__xludf.DUMMYFUNCTION("""COMPUTED_VALUE"""),17.0)</f>
        <v>17</v>
      </c>
      <c r="E123" s="17">
        <f>IFERROR(__xludf.DUMMYFUNCTION("""COMPUTED_VALUE"""),13363.0)</f>
        <v>13363</v>
      </c>
      <c r="F123" s="17">
        <f>IFERROR(__xludf.DUMMYFUNCTION("""COMPUTED_VALUE"""),0.0)</f>
        <v>0</v>
      </c>
      <c r="G123" s="17"/>
      <c r="H123" s="21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tr">
        <f>IFERROR(__xludf.DUMMYFUNCTION("""COMPUTED_VALUE"""),"Mexico")</f>
        <v>Mexico</v>
      </c>
      <c r="B124" s="54">
        <f>IFERROR(__xludf.DUMMYFUNCTION("""COMPUTED_VALUE"""),42856.0)</f>
        <v>42856</v>
      </c>
      <c r="C124" s="19">
        <f>IFERROR(__xludf.DUMMYFUNCTION("""COMPUTED_VALUE"""),42862.0)</f>
        <v>42862</v>
      </c>
      <c r="D124" s="17">
        <f>IFERROR(__xludf.DUMMYFUNCTION("""COMPUTED_VALUE"""),18.0)</f>
        <v>18</v>
      </c>
      <c r="E124" s="17">
        <f>IFERROR(__xludf.DUMMYFUNCTION("""COMPUTED_VALUE"""),13016.0)</f>
        <v>13016</v>
      </c>
      <c r="F124" s="17">
        <f>IFERROR(__xludf.DUMMYFUNCTION("""COMPUTED_VALUE"""),0.0)</f>
        <v>0</v>
      </c>
      <c r="G124" s="17"/>
      <c r="H124" s="21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tr">
        <f>IFERROR(__xludf.DUMMYFUNCTION("""COMPUTED_VALUE"""),"Mexico")</f>
        <v>Mexico</v>
      </c>
      <c r="B125" s="54">
        <f>IFERROR(__xludf.DUMMYFUNCTION("""COMPUTED_VALUE"""),42863.0)</f>
        <v>42863</v>
      </c>
      <c r="C125" s="19">
        <f>IFERROR(__xludf.DUMMYFUNCTION("""COMPUTED_VALUE"""),42869.0)</f>
        <v>42869</v>
      </c>
      <c r="D125" s="17">
        <f>IFERROR(__xludf.DUMMYFUNCTION("""COMPUTED_VALUE"""),19.0)</f>
        <v>19</v>
      </c>
      <c r="E125" s="17">
        <f>IFERROR(__xludf.DUMMYFUNCTION("""COMPUTED_VALUE"""),12868.0)</f>
        <v>12868</v>
      </c>
      <c r="F125" s="17">
        <f>IFERROR(__xludf.DUMMYFUNCTION("""COMPUTED_VALUE"""),0.0)</f>
        <v>0</v>
      </c>
      <c r="G125" s="17"/>
      <c r="H125" s="21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tr">
        <f>IFERROR(__xludf.DUMMYFUNCTION("""COMPUTED_VALUE"""),"Mexico")</f>
        <v>Mexico</v>
      </c>
      <c r="B126" s="54">
        <f>IFERROR(__xludf.DUMMYFUNCTION("""COMPUTED_VALUE"""),42870.0)</f>
        <v>42870</v>
      </c>
      <c r="C126" s="19">
        <f>IFERROR(__xludf.DUMMYFUNCTION("""COMPUTED_VALUE"""),42876.0)</f>
        <v>42876</v>
      </c>
      <c r="D126" s="17">
        <f>IFERROR(__xludf.DUMMYFUNCTION("""COMPUTED_VALUE"""),20.0)</f>
        <v>20</v>
      </c>
      <c r="E126" s="17">
        <f>IFERROR(__xludf.DUMMYFUNCTION("""COMPUTED_VALUE"""),13361.0)</f>
        <v>13361</v>
      </c>
      <c r="F126" s="17">
        <f>IFERROR(__xludf.DUMMYFUNCTION("""COMPUTED_VALUE"""),0.0)</f>
        <v>0</v>
      </c>
      <c r="G126" s="17"/>
      <c r="H126" s="21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tr">
        <f>IFERROR(__xludf.DUMMYFUNCTION("""COMPUTED_VALUE"""),"Mexico")</f>
        <v>Mexico</v>
      </c>
      <c r="B127" s="54">
        <f>IFERROR(__xludf.DUMMYFUNCTION("""COMPUTED_VALUE"""),42877.0)</f>
        <v>42877</v>
      </c>
      <c r="C127" s="19">
        <f>IFERROR(__xludf.DUMMYFUNCTION("""COMPUTED_VALUE"""),42883.0)</f>
        <v>42883</v>
      </c>
      <c r="D127" s="17">
        <f>IFERROR(__xludf.DUMMYFUNCTION("""COMPUTED_VALUE"""),21.0)</f>
        <v>21</v>
      </c>
      <c r="E127" s="17">
        <f>IFERROR(__xludf.DUMMYFUNCTION("""COMPUTED_VALUE"""),13165.0)</f>
        <v>13165</v>
      </c>
      <c r="F127" s="17">
        <f>IFERROR(__xludf.DUMMYFUNCTION("""COMPUTED_VALUE"""),0.0)</f>
        <v>0</v>
      </c>
      <c r="G127" s="17"/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tr">
        <f>IFERROR(__xludf.DUMMYFUNCTION("""COMPUTED_VALUE"""),"Mexico")</f>
        <v>Mexico</v>
      </c>
      <c r="B128" s="54">
        <f>IFERROR(__xludf.DUMMYFUNCTION("""COMPUTED_VALUE"""),42884.0)</f>
        <v>42884</v>
      </c>
      <c r="C128" s="19">
        <f>IFERROR(__xludf.DUMMYFUNCTION("""COMPUTED_VALUE"""),42890.0)</f>
        <v>42890</v>
      </c>
      <c r="D128" s="17">
        <f>IFERROR(__xludf.DUMMYFUNCTION("""COMPUTED_VALUE"""),22.0)</f>
        <v>22</v>
      </c>
      <c r="E128" s="17">
        <f>IFERROR(__xludf.DUMMYFUNCTION("""COMPUTED_VALUE"""),12510.0)</f>
        <v>12510</v>
      </c>
      <c r="F128" s="17">
        <f>IFERROR(__xludf.DUMMYFUNCTION("""COMPUTED_VALUE"""),0.0)</f>
        <v>0</v>
      </c>
      <c r="G128" s="17"/>
      <c r="H128" s="21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tr">
        <f>IFERROR(__xludf.DUMMYFUNCTION("""COMPUTED_VALUE"""),"Mexico")</f>
        <v>Mexico</v>
      </c>
      <c r="B129" s="54">
        <f>IFERROR(__xludf.DUMMYFUNCTION("""COMPUTED_VALUE"""),42891.0)</f>
        <v>42891</v>
      </c>
      <c r="C129" s="19">
        <f>IFERROR(__xludf.DUMMYFUNCTION("""COMPUTED_VALUE"""),42897.0)</f>
        <v>42897</v>
      </c>
      <c r="D129" s="17">
        <f>IFERROR(__xludf.DUMMYFUNCTION("""COMPUTED_VALUE"""),23.0)</f>
        <v>23</v>
      </c>
      <c r="E129" s="17">
        <f>IFERROR(__xludf.DUMMYFUNCTION("""COMPUTED_VALUE"""),12753.0)</f>
        <v>12753</v>
      </c>
      <c r="F129" s="17">
        <f>IFERROR(__xludf.DUMMYFUNCTION("""COMPUTED_VALUE"""),0.0)</f>
        <v>0</v>
      </c>
      <c r="G129" s="17"/>
      <c r="H129" s="21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tr">
        <f>IFERROR(__xludf.DUMMYFUNCTION("""COMPUTED_VALUE"""),"Mexico")</f>
        <v>Mexico</v>
      </c>
      <c r="B130" s="54">
        <f>IFERROR(__xludf.DUMMYFUNCTION("""COMPUTED_VALUE"""),42898.0)</f>
        <v>42898</v>
      </c>
      <c r="C130" s="19">
        <f>IFERROR(__xludf.DUMMYFUNCTION("""COMPUTED_VALUE"""),42904.0)</f>
        <v>42904</v>
      </c>
      <c r="D130" s="17">
        <f>IFERROR(__xludf.DUMMYFUNCTION("""COMPUTED_VALUE"""),24.0)</f>
        <v>24</v>
      </c>
      <c r="E130" s="17">
        <f>IFERROR(__xludf.DUMMYFUNCTION("""COMPUTED_VALUE"""),12724.0)</f>
        <v>12724</v>
      </c>
      <c r="F130" s="17">
        <f>IFERROR(__xludf.DUMMYFUNCTION("""COMPUTED_VALUE"""),0.0)</f>
        <v>0</v>
      </c>
      <c r="G130" s="17"/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tr">
        <f>IFERROR(__xludf.DUMMYFUNCTION("""COMPUTED_VALUE"""),"Mexico")</f>
        <v>Mexico</v>
      </c>
      <c r="B131" s="54">
        <f>IFERROR(__xludf.DUMMYFUNCTION("""COMPUTED_VALUE"""),42905.0)</f>
        <v>42905</v>
      </c>
      <c r="C131" s="19">
        <f>IFERROR(__xludf.DUMMYFUNCTION("""COMPUTED_VALUE"""),42911.0)</f>
        <v>42911</v>
      </c>
      <c r="D131" s="17">
        <f>IFERROR(__xludf.DUMMYFUNCTION("""COMPUTED_VALUE"""),25.0)</f>
        <v>25</v>
      </c>
      <c r="E131" s="17">
        <f>IFERROR(__xludf.DUMMYFUNCTION("""COMPUTED_VALUE"""),13154.0)</f>
        <v>13154</v>
      </c>
      <c r="F131" s="17">
        <f>IFERROR(__xludf.DUMMYFUNCTION("""COMPUTED_VALUE"""),0.0)</f>
        <v>0</v>
      </c>
      <c r="G131" s="17"/>
      <c r="H131" s="21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tr">
        <f>IFERROR(__xludf.DUMMYFUNCTION("""COMPUTED_VALUE"""),"Mexico")</f>
        <v>Mexico</v>
      </c>
      <c r="B132" s="54">
        <f>IFERROR(__xludf.DUMMYFUNCTION("""COMPUTED_VALUE"""),42912.0)</f>
        <v>42912</v>
      </c>
      <c r="C132" s="19">
        <f>IFERROR(__xludf.DUMMYFUNCTION("""COMPUTED_VALUE"""),42918.0)</f>
        <v>42918</v>
      </c>
      <c r="D132" s="17">
        <f>IFERROR(__xludf.DUMMYFUNCTION("""COMPUTED_VALUE"""),26.0)</f>
        <v>26</v>
      </c>
      <c r="E132" s="17">
        <f>IFERROR(__xludf.DUMMYFUNCTION("""COMPUTED_VALUE"""),12736.0)</f>
        <v>12736</v>
      </c>
      <c r="F132" s="17">
        <f>IFERROR(__xludf.DUMMYFUNCTION("""COMPUTED_VALUE"""),0.0)</f>
        <v>0</v>
      </c>
      <c r="G132" s="17"/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tr">
        <f>IFERROR(__xludf.DUMMYFUNCTION("""COMPUTED_VALUE"""),"Mexico")</f>
        <v>Mexico</v>
      </c>
      <c r="B133" s="54">
        <f>IFERROR(__xludf.DUMMYFUNCTION("""COMPUTED_VALUE"""),42919.0)</f>
        <v>42919</v>
      </c>
      <c r="C133" s="19">
        <f>IFERROR(__xludf.DUMMYFUNCTION("""COMPUTED_VALUE"""),42925.0)</f>
        <v>42925</v>
      </c>
      <c r="D133" s="17">
        <f>IFERROR(__xludf.DUMMYFUNCTION("""COMPUTED_VALUE"""),27.0)</f>
        <v>27</v>
      </c>
      <c r="E133" s="17">
        <f>IFERROR(__xludf.DUMMYFUNCTION("""COMPUTED_VALUE"""),12502.0)</f>
        <v>12502</v>
      </c>
      <c r="F133" s="17">
        <f>IFERROR(__xludf.DUMMYFUNCTION("""COMPUTED_VALUE"""),0.0)</f>
        <v>0</v>
      </c>
      <c r="G133" s="17"/>
      <c r="H133" s="21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tr">
        <f>IFERROR(__xludf.DUMMYFUNCTION("""COMPUTED_VALUE"""),"Mexico")</f>
        <v>Mexico</v>
      </c>
      <c r="B134" s="54">
        <f>IFERROR(__xludf.DUMMYFUNCTION("""COMPUTED_VALUE"""),42926.0)</f>
        <v>42926</v>
      </c>
      <c r="C134" s="19">
        <f>IFERROR(__xludf.DUMMYFUNCTION("""COMPUTED_VALUE"""),42932.0)</f>
        <v>42932</v>
      </c>
      <c r="D134" s="17">
        <f>IFERROR(__xludf.DUMMYFUNCTION("""COMPUTED_VALUE"""),28.0)</f>
        <v>28</v>
      </c>
      <c r="E134" s="17">
        <f>IFERROR(__xludf.DUMMYFUNCTION("""COMPUTED_VALUE"""),12822.0)</f>
        <v>12822</v>
      </c>
      <c r="F134" s="17">
        <f>IFERROR(__xludf.DUMMYFUNCTION("""COMPUTED_VALUE"""),0.0)</f>
        <v>0</v>
      </c>
      <c r="G134" s="17"/>
      <c r="H134" s="21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tr">
        <f>IFERROR(__xludf.DUMMYFUNCTION("""COMPUTED_VALUE"""),"Mexico")</f>
        <v>Mexico</v>
      </c>
      <c r="B135" s="54">
        <f>IFERROR(__xludf.DUMMYFUNCTION("""COMPUTED_VALUE"""),42933.0)</f>
        <v>42933</v>
      </c>
      <c r="C135" s="19">
        <f>IFERROR(__xludf.DUMMYFUNCTION("""COMPUTED_VALUE"""),42939.0)</f>
        <v>42939</v>
      </c>
      <c r="D135" s="17">
        <f>IFERROR(__xludf.DUMMYFUNCTION("""COMPUTED_VALUE"""),29.0)</f>
        <v>29</v>
      </c>
      <c r="E135" s="17">
        <f>IFERROR(__xludf.DUMMYFUNCTION("""COMPUTED_VALUE"""),12512.0)</f>
        <v>12512</v>
      </c>
      <c r="F135" s="17">
        <f>IFERROR(__xludf.DUMMYFUNCTION("""COMPUTED_VALUE"""),0.0)</f>
        <v>0</v>
      </c>
      <c r="G135" s="17"/>
      <c r="H135" s="21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tr">
        <f>IFERROR(__xludf.DUMMYFUNCTION("""COMPUTED_VALUE"""),"Mexico")</f>
        <v>Mexico</v>
      </c>
      <c r="B136" s="54">
        <f>IFERROR(__xludf.DUMMYFUNCTION("""COMPUTED_VALUE"""),42940.0)</f>
        <v>42940</v>
      </c>
      <c r="C136" s="19">
        <f>IFERROR(__xludf.DUMMYFUNCTION("""COMPUTED_VALUE"""),42946.0)</f>
        <v>42946</v>
      </c>
      <c r="D136" s="17">
        <f>IFERROR(__xludf.DUMMYFUNCTION("""COMPUTED_VALUE"""),30.0)</f>
        <v>30</v>
      </c>
      <c r="E136" s="17">
        <f>IFERROR(__xludf.DUMMYFUNCTION("""COMPUTED_VALUE"""),12923.0)</f>
        <v>12923</v>
      </c>
      <c r="F136" s="17">
        <f>IFERROR(__xludf.DUMMYFUNCTION("""COMPUTED_VALUE"""),0.0)</f>
        <v>0</v>
      </c>
      <c r="G136" s="17"/>
      <c r="H136" s="21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tr">
        <f>IFERROR(__xludf.DUMMYFUNCTION("""COMPUTED_VALUE"""),"Mexico")</f>
        <v>Mexico</v>
      </c>
      <c r="B137" s="54">
        <f>IFERROR(__xludf.DUMMYFUNCTION("""COMPUTED_VALUE"""),42947.0)</f>
        <v>42947</v>
      </c>
      <c r="C137" s="19">
        <f>IFERROR(__xludf.DUMMYFUNCTION("""COMPUTED_VALUE"""),42953.0)</f>
        <v>42953</v>
      </c>
      <c r="D137" s="17">
        <f>IFERROR(__xludf.DUMMYFUNCTION("""COMPUTED_VALUE"""),31.0)</f>
        <v>31</v>
      </c>
      <c r="E137" s="17">
        <f>IFERROR(__xludf.DUMMYFUNCTION("""COMPUTED_VALUE"""),12967.0)</f>
        <v>12967</v>
      </c>
      <c r="F137" s="17">
        <f>IFERROR(__xludf.DUMMYFUNCTION("""COMPUTED_VALUE"""),0.0)</f>
        <v>0</v>
      </c>
      <c r="G137" s="17"/>
      <c r="H137" s="21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tr">
        <f>IFERROR(__xludf.DUMMYFUNCTION("""COMPUTED_VALUE"""),"Mexico")</f>
        <v>Mexico</v>
      </c>
      <c r="B138" s="54">
        <f>IFERROR(__xludf.DUMMYFUNCTION("""COMPUTED_VALUE"""),42954.0)</f>
        <v>42954</v>
      </c>
      <c r="C138" s="19">
        <f>IFERROR(__xludf.DUMMYFUNCTION("""COMPUTED_VALUE"""),42960.0)</f>
        <v>42960</v>
      </c>
      <c r="D138" s="17">
        <f>IFERROR(__xludf.DUMMYFUNCTION("""COMPUTED_VALUE"""),32.0)</f>
        <v>32</v>
      </c>
      <c r="E138" s="17">
        <f>IFERROR(__xludf.DUMMYFUNCTION("""COMPUTED_VALUE"""),12464.0)</f>
        <v>12464</v>
      </c>
      <c r="F138" s="17">
        <f>IFERROR(__xludf.DUMMYFUNCTION("""COMPUTED_VALUE"""),0.0)</f>
        <v>0</v>
      </c>
      <c r="G138" s="17"/>
      <c r="H138" s="21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tr">
        <f>IFERROR(__xludf.DUMMYFUNCTION("""COMPUTED_VALUE"""),"Mexico")</f>
        <v>Mexico</v>
      </c>
      <c r="B139" s="54">
        <f>IFERROR(__xludf.DUMMYFUNCTION("""COMPUTED_VALUE"""),42961.0)</f>
        <v>42961</v>
      </c>
      <c r="C139" s="19">
        <f>IFERROR(__xludf.DUMMYFUNCTION("""COMPUTED_VALUE"""),42967.0)</f>
        <v>42967</v>
      </c>
      <c r="D139" s="17">
        <f>IFERROR(__xludf.DUMMYFUNCTION("""COMPUTED_VALUE"""),33.0)</f>
        <v>33</v>
      </c>
      <c r="E139" s="17">
        <f>IFERROR(__xludf.DUMMYFUNCTION("""COMPUTED_VALUE"""),12638.0)</f>
        <v>12638</v>
      </c>
      <c r="F139" s="17">
        <f>IFERROR(__xludf.DUMMYFUNCTION("""COMPUTED_VALUE"""),0.0)</f>
        <v>0</v>
      </c>
      <c r="G139" s="17"/>
      <c r="H139" s="21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tr">
        <f>IFERROR(__xludf.DUMMYFUNCTION("""COMPUTED_VALUE"""),"Mexico")</f>
        <v>Mexico</v>
      </c>
      <c r="B140" s="54">
        <f>IFERROR(__xludf.DUMMYFUNCTION("""COMPUTED_VALUE"""),42968.0)</f>
        <v>42968</v>
      </c>
      <c r="C140" s="19">
        <f>IFERROR(__xludf.DUMMYFUNCTION("""COMPUTED_VALUE"""),42974.0)</f>
        <v>42974</v>
      </c>
      <c r="D140" s="17">
        <f>IFERROR(__xludf.DUMMYFUNCTION("""COMPUTED_VALUE"""),34.0)</f>
        <v>34</v>
      </c>
      <c r="E140" s="17">
        <f>IFERROR(__xludf.DUMMYFUNCTION("""COMPUTED_VALUE"""),12432.0)</f>
        <v>12432</v>
      </c>
      <c r="F140" s="17">
        <f>IFERROR(__xludf.DUMMYFUNCTION("""COMPUTED_VALUE"""),0.0)</f>
        <v>0</v>
      </c>
      <c r="G140" s="17"/>
      <c r="H140" s="21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tr">
        <f>IFERROR(__xludf.DUMMYFUNCTION("""COMPUTED_VALUE"""),"Mexico")</f>
        <v>Mexico</v>
      </c>
      <c r="B141" s="54">
        <f>IFERROR(__xludf.DUMMYFUNCTION("""COMPUTED_VALUE"""),42975.0)</f>
        <v>42975</v>
      </c>
      <c r="C141" s="19">
        <f>IFERROR(__xludf.DUMMYFUNCTION("""COMPUTED_VALUE"""),42981.0)</f>
        <v>42981</v>
      </c>
      <c r="D141" s="17">
        <f>IFERROR(__xludf.DUMMYFUNCTION("""COMPUTED_VALUE"""),35.0)</f>
        <v>35</v>
      </c>
      <c r="E141" s="17">
        <f>IFERROR(__xludf.DUMMYFUNCTION("""COMPUTED_VALUE"""),12172.0)</f>
        <v>12172</v>
      </c>
      <c r="F141" s="17">
        <f>IFERROR(__xludf.DUMMYFUNCTION("""COMPUTED_VALUE"""),0.0)</f>
        <v>0</v>
      </c>
      <c r="G141" s="17"/>
      <c r="H141" s="21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tr">
        <f>IFERROR(__xludf.DUMMYFUNCTION("""COMPUTED_VALUE"""),"Mexico")</f>
        <v>Mexico</v>
      </c>
      <c r="B142" s="54">
        <f>IFERROR(__xludf.DUMMYFUNCTION("""COMPUTED_VALUE"""),42982.0)</f>
        <v>42982</v>
      </c>
      <c r="C142" s="19">
        <f>IFERROR(__xludf.DUMMYFUNCTION("""COMPUTED_VALUE"""),42988.0)</f>
        <v>42988</v>
      </c>
      <c r="D142" s="17">
        <f>IFERROR(__xludf.DUMMYFUNCTION("""COMPUTED_VALUE"""),36.0)</f>
        <v>36</v>
      </c>
      <c r="E142" s="17">
        <f>IFERROR(__xludf.DUMMYFUNCTION("""COMPUTED_VALUE"""),12933.0)</f>
        <v>12933</v>
      </c>
      <c r="F142" s="17">
        <f>IFERROR(__xludf.DUMMYFUNCTION("""COMPUTED_VALUE"""),0.0)</f>
        <v>0</v>
      </c>
      <c r="G142" s="17"/>
      <c r="H142" s="21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tr">
        <f>IFERROR(__xludf.DUMMYFUNCTION("""COMPUTED_VALUE"""),"Mexico")</f>
        <v>Mexico</v>
      </c>
      <c r="B143" s="54">
        <f>IFERROR(__xludf.DUMMYFUNCTION("""COMPUTED_VALUE"""),42989.0)</f>
        <v>42989</v>
      </c>
      <c r="C143" s="19">
        <f>IFERROR(__xludf.DUMMYFUNCTION("""COMPUTED_VALUE"""),42995.0)</f>
        <v>42995</v>
      </c>
      <c r="D143" s="17">
        <f>IFERROR(__xludf.DUMMYFUNCTION("""COMPUTED_VALUE"""),37.0)</f>
        <v>37</v>
      </c>
      <c r="E143" s="17">
        <f>IFERROR(__xludf.DUMMYFUNCTION("""COMPUTED_VALUE"""),13333.0)</f>
        <v>13333</v>
      </c>
      <c r="F143" s="17">
        <f>IFERROR(__xludf.DUMMYFUNCTION("""COMPUTED_VALUE"""),0.0)</f>
        <v>0</v>
      </c>
      <c r="G143" s="17"/>
      <c r="H143" s="21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tr">
        <f>IFERROR(__xludf.DUMMYFUNCTION("""COMPUTED_VALUE"""),"Mexico")</f>
        <v>Mexico</v>
      </c>
      <c r="B144" s="54">
        <f>IFERROR(__xludf.DUMMYFUNCTION("""COMPUTED_VALUE"""),42996.0)</f>
        <v>42996</v>
      </c>
      <c r="C144" s="19">
        <f>IFERROR(__xludf.DUMMYFUNCTION("""COMPUTED_VALUE"""),43002.0)</f>
        <v>43002</v>
      </c>
      <c r="D144" s="17">
        <f>IFERROR(__xludf.DUMMYFUNCTION("""COMPUTED_VALUE"""),38.0)</f>
        <v>38</v>
      </c>
      <c r="E144" s="17">
        <f>IFERROR(__xludf.DUMMYFUNCTION("""COMPUTED_VALUE"""),13164.0)</f>
        <v>13164</v>
      </c>
      <c r="F144" s="17">
        <f>IFERROR(__xludf.DUMMYFUNCTION("""COMPUTED_VALUE"""),0.0)</f>
        <v>0</v>
      </c>
      <c r="G144" s="17"/>
      <c r="H144" s="21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tr">
        <f>IFERROR(__xludf.DUMMYFUNCTION("""COMPUTED_VALUE"""),"Mexico")</f>
        <v>Mexico</v>
      </c>
      <c r="B145" s="54">
        <f>IFERROR(__xludf.DUMMYFUNCTION("""COMPUTED_VALUE"""),43003.0)</f>
        <v>43003</v>
      </c>
      <c r="C145" s="19">
        <f>IFERROR(__xludf.DUMMYFUNCTION("""COMPUTED_VALUE"""),43009.0)</f>
        <v>43009</v>
      </c>
      <c r="D145" s="17">
        <f>IFERROR(__xludf.DUMMYFUNCTION("""COMPUTED_VALUE"""),39.0)</f>
        <v>39</v>
      </c>
      <c r="E145" s="17">
        <f>IFERROR(__xludf.DUMMYFUNCTION("""COMPUTED_VALUE"""),12604.0)</f>
        <v>12604</v>
      </c>
      <c r="F145" s="17">
        <f>IFERROR(__xludf.DUMMYFUNCTION("""COMPUTED_VALUE"""),0.0)</f>
        <v>0</v>
      </c>
      <c r="G145" s="17"/>
      <c r="H145" s="21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tr">
        <f>IFERROR(__xludf.DUMMYFUNCTION("""COMPUTED_VALUE"""),"Mexico")</f>
        <v>Mexico</v>
      </c>
      <c r="B146" s="54">
        <f>IFERROR(__xludf.DUMMYFUNCTION("""COMPUTED_VALUE"""),43010.0)</f>
        <v>43010</v>
      </c>
      <c r="C146" s="19">
        <f>IFERROR(__xludf.DUMMYFUNCTION("""COMPUTED_VALUE"""),43016.0)</f>
        <v>43016</v>
      </c>
      <c r="D146" s="17">
        <f>IFERROR(__xludf.DUMMYFUNCTION("""COMPUTED_VALUE"""),40.0)</f>
        <v>40</v>
      </c>
      <c r="E146" s="17">
        <f>IFERROR(__xludf.DUMMYFUNCTION("""COMPUTED_VALUE"""),13026.0)</f>
        <v>13026</v>
      </c>
      <c r="F146" s="17">
        <f>IFERROR(__xludf.DUMMYFUNCTION("""COMPUTED_VALUE"""),0.0)</f>
        <v>0</v>
      </c>
      <c r="G146" s="17"/>
      <c r="H146" s="21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tr">
        <f>IFERROR(__xludf.DUMMYFUNCTION("""COMPUTED_VALUE"""),"Mexico")</f>
        <v>Mexico</v>
      </c>
      <c r="B147" s="54">
        <f>IFERROR(__xludf.DUMMYFUNCTION("""COMPUTED_VALUE"""),43017.0)</f>
        <v>43017</v>
      </c>
      <c r="C147" s="19">
        <f>IFERROR(__xludf.DUMMYFUNCTION("""COMPUTED_VALUE"""),43023.0)</f>
        <v>43023</v>
      </c>
      <c r="D147" s="17">
        <f>IFERROR(__xludf.DUMMYFUNCTION("""COMPUTED_VALUE"""),41.0)</f>
        <v>41</v>
      </c>
      <c r="E147" s="17">
        <f>IFERROR(__xludf.DUMMYFUNCTION("""COMPUTED_VALUE"""),13031.0)</f>
        <v>13031</v>
      </c>
      <c r="F147" s="17">
        <f>IFERROR(__xludf.DUMMYFUNCTION("""COMPUTED_VALUE"""),0.0)</f>
        <v>0</v>
      </c>
      <c r="G147" s="17"/>
      <c r="H147" s="21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tr">
        <f>IFERROR(__xludf.DUMMYFUNCTION("""COMPUTED_VALUE"""),"Mexico")</f>
        <v>Mexico</v>
      </c>
      <c r="B148" s="54">
        <f>IFERROR(__xludf.DUMMYFUNCTION("""COMPUTED_VALUE"""),43024.0)</f>
        <v>43024</v>
      </c>
      <c r="C148" s="19">
        <f>IFERROR(__xludf.DUMMYFUNCTION("""COMPUTED_VALUE"""),43030.0)</f>
        <v>43030</v>
      </c>
      <c r="D148" s="17">
        <f>IFERROR(__xludf.DUMMYFUNCTION("""COMPUTED_VALUE"""),42.0)</f>
        <v>42</v>
      </c>
      <c r="E148" s="17">
        <f>IFERROR(__xludf.DUMMYFUNCTION("""COMPUTED_VALUE"""),13390.0)</f>
        <v>13390</v>
      </c>
      <c r="F148" s="17">
        <f>IFERROR(__xludf.DUMMYFUNCTION("""COMPUTED_VALUE"""),0.0)</f>
        <v>0</v>
      </c>
      <c r="G148" s="17"/>
      <c r="H148" s="21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tr">
        <f>IFERROR(__xludf.DUMMYFUNCTION("""COMPUTED_VALUE"""),"Mexico")</f>
        <v>Mexico</v>
      </c>
      <c r="B149" s="54">
        <f>IFERROR(__xludf.DUMMYFUNCTION("""COMPUTED_VALUE"""),43031.0)</f>
        <v>43031</v>
      </c>
      <c r="C149" s="19">
        <f>IFERROR(__xludf.DUMMYFUNCTION("""COMPUTED_VALUE"""),43037.0)</f>
        <v>43037</v>
      </c>
      <c r="D149" s="17">
        <f>IFERROR(__xludf.DUMMYFUNCTION("""COMPUTED_VALUE"""),43.0)</f>
        <v>43</v>
      </c>
      <c r="E149" s="17">
        <f>IFERROR(__xludf.DUMMYFUNCTION("""COMPUTED_VALUE"""),13216.0)</f>
        <v>13216</v>
      </c>
      <c r="F149" s="17">
        <f>IFERROR(__xludf.DUMMYFUNCTION("""COMPUTED_VALUE"""),0.0)</f>
        <v>0</v>
      </c>
      <c r="G149" s="17"/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tr">
        <f>IFERROR(__xludf.DUMMYFUNCTION("""COMPUTED_VALUE"""),"Mexico")</f>
        <v>Mexico</v>
      </c>
      <c r="B150" s="54">
        <f>IFERROR(__xludf.DUMMYFUNCTION("""COMPUTED_VALUE"""),43038.0)</f>
        <v>43038</v>
      </c>
      <c r="C150" s="19">
        <f>IFERROR(__xludf.DUMMYFUNCTION("""COMPUTED_VALUE"""),43044.0)</f>
        <v>43044</v>
      </c>
      <c r="D150" s="17">
        <f>IFERROR(__xludf.DUMMYFUNCTION("""COMPUTED_VALUE"""),44.0)</f>
        <v>44</v>
      </c>
      <c r="E150" s="17">
        <f>IFERROR(__xludf.DUMMYFUNCTION("""COMPUTED_VALUE"""),13538.0)</f>
        <v>13538</v>
      </c>
      <c r="F150" s="17">
        <f>IFERROR(__xludf.DUMMYFUNCTION("""COMPUTED_VALUE"""),0.0)</f>
        <v>0</v>
      </c>
      <c r="G150" s="17"/>
      <c r="H150" s="21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tr">
        <f>IFERROR(__xludf.DUMMYFUNCTION("""COMPUTED_VALUE"""),"Mexico")</f>
        <v>Mexico</v>
      </c>
      <c r="B151" s="54">
        <f>IFERROR(__xludf.DUMMYFUNCTION("""COMPUTED_VALUE"""),43045.0)</f>
        <v>43045</v>
      </c>
      <c r="C151" s="19">
        <f>IFERROR(__xludf.DUMMYFUNCTION("""COMPUTED_VALUE"""),43051.0)</f>
        <v>43051</v>
      </c>
      <c r="D151" s="17">
        <f>IFERROR(__xludf.DUMMYFUNCTION("""COMPUTED_VALUE"""),45.0)</f>
        <v>45</v>
      </c>
      <c r="E151" s="17">
        <f>IFERROR(__xludf.DUMMYFUNCTION("""COMPUTED_VALUE"""),13258.0)</f>
        <v>13258</v>
      </c>
      <c r="F151" s="17">
        <f>IFERROR(__xludf.DUMMYFUNCTION("""COMPUTED_VALUE"""),0.0)</f>
        <v>0</v>
      </c>
      <c r="G151" s="17"/>
      <c r="H151" s="21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tr">
        <f>IFERROR(__xludf.DUMMYFUNCTION("""COMPUTED_VALUE"""),"Mexico")</f>
        <v>Mexico</v>
      </c>
      <c r="B152" s="54">
        <f>IFERROR(__xludf.DUMMYFUNCTION("""COMPUTED_VALUE"""),43052.0)</f>
        <v>43052</v>
      </c>
      <c r="C152" s="19">
        <f>IFERROR(__xludf.DUMMYFUNCTION("""COMPUTED_VALUE"""),43058.0)</f>
        <v>43058</v>
      </c>
      <c r="D152" s="17">
        <f>IFERROR(__xludf.DUMMYFUNCTION("""COMPUTED_VALUE"""),46.0)</f>
        <v>46</v>
      </c>
      <c r="E152" s="17">
        <f>IFERROR(__xludf.DUMMYFUNCTION("""COMPUTED_VALUE"""),13197.0)</f>
        <v>13197</v>
      </c>
      <c r="F152" s="17">
        <f>IFERROR(__xludf.DUMMYFUNCTION("""COMPUTED_VALUE"""),0.0)</f>
        <v>0</v>
      </c>
      <c r="G152" s="17"/>
      <c r="H152" s="21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tr">
        <f>IFERROR(__xludf.DUMMYFUNCTION("""COMPUTED_VALUE"""),"Mexico")</f>
        <v>Mexico</v>
      </c>
      <c r="B153" s="54">
        <f>IFERROR(__xludf.DUMMYFUNCTION("""COMPUTED_VALUE"""),43059.0)</f>
        <v>43059</v>
      </c>
      <c r="C153" s="19">
        <f>IFERROR(__xludf.DUMMYFUNCTION("""COMPUTED_VALUE"""),43065.0)</f>
        <v>43065</v>
      </c>
      <c r="D153" s="17">
        <f>IFERROR(__xludf.DUMMYFUNCTION("""COMPUTED_VALUE"""),47.0)</f>
        <v>47</v>
      </c>
      <c r="E153" s="17">
        <f>IFERROR(__xludf.DUMMYFUNCTION("""COMPUTED_VALUE"""),13584.0)</f>
        <v>13584</v>
      </c>
      <c r="F153" s="17">
        <f>IFERROR(__xludf.DUMMYFUNCTION("""COMPUTED_VALUE"""),0.0)</f>
        <v>0</v>
      </c>
      <c r="G153" s="17"/>
      <c r="H153" s="21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tr">
        <f>IFERROR(__xludf.DUMMYFUNCTION("""COMPUTED_VALUE"""),"Mexico")</f>
        <v>Mexico</v>
      </c>
      <c r="B154" s="54">
        <f>IFERROR(__xludf.DUMMYFUNCTION("""COMPUTED_VALUE"""),43066.0)</f>
        <v>43066</v>
      </c>
      <c r="C154" s="19">
        <f>IFERROR(__xludf.DUMMYFUNCTION("""COMPUTED_VALUE"""),43072.0)</f>
        <v>43072</v>
      </c>
      <c r="D154" s="17">
        <f>IFERROR(__xludf.DUMMYFUNCTION("""COMPUTED_VALUE"""),48.0)</f>
        <v>48</v>
      </c>
      <c r="E154" s="17">
        <f>IFERROR(__xludf.DUMMYFUNCTION("""COMPUTED_VALUE"""),14233.0)</f>
        <v>14233</v>
      </c>
      <c r="F154" s="17">
        <f>IFERROR(__xludf.DUMMYFUNCTION("""COMPUTED_VALUE"""),0.0)</f>
        <v>0</v>
      </c>
      <c r="G154" s="17"/>
      <c r="H154" s="21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tr">
        <f>IFERROR(__xludf.DUMMYFUNCTION("""COMPUTED_VALUE"""),"Mexico")</f>
        <v>Mexico</v>
      </c>
      <c r="B155" s="54">
        <f>IFERROR(__xludf.DUMMYFUNCTION("""COMPUTED_VALUE"""),43073.0)</f>
        <v>43073</v>
      </c>
      <c r="C155" s="19">
        <f>IFERROR(__xludf.DUMMYFUNCTION("""COMPUTED_VALUE"""),43079.0)</f>
        <v>43079</v>
      </c>
      <c r="D155" s="17">
        <f>IFERROR(__xludf.DUMMYFUNCTION("""COMPUTED_VALUE"""),49.0)</f>
        <v>49</v>
      </c>
      <c r="E155" s="17">
        <f>IFERROR(__xludf.DUMMYFUNCTION("""COMPUTED_VALUE"""),14470.0)</f>
        <v>14470</v>
      </c>
      <c r="F155" s="17">
        <f>IFERROR(__xludf.DUMMYFUNCTION("""COMPUTED_VALUE"""),0.0)</f>
        <v>0</v>
      </c>
      <c r="G155" s="17"/>
      <c r="H155" s="21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tr">
        <f>IFERROR(__xludf.DUMMYFUNCTION("""COMPUTED_VALUE"""),"Mexico")</f>
        <v>Mexico</v>
      </c>
      <c r="B156" s="54">
        <f>IFERROR(__xludf.DUMMYFUNCTION("""COMPUTED_VALUE"""),43080.0)</f>
        <v>43080</v>
      </c>
      <c r="C156" s="19">
        <f>IFERROR(__xludf.DUMMYFUNCTION("""COMPUTED_VALUE"""),43086.0)</f>
        <v>43086</v>
      </c>
      <c r="D156" s="17">
        <f>IFERROR(__xludf.DUMMYFUNCTION("""COMPUTED_VALUE"""),50.0)</f>
        <v>50</v>
      </c>
      <c r="E156" s="17">
        <f>IFERROR(__xludf.DUMMYFUNCTION("""COMPUTED_VALUE"""),16334.0)</f>
        <v>16334</v>
      </c>
      <c r="F156" s="17">
        <f>IFERROR(__xludf.DUMMYFUNCTION("""COMPUTED_VALUE"""),0.0)</f>
        <v>0</v>
      </c>
      <c r="G156" s="17"/>
      <c r="H156" s="21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tr">
        <f>IFERROR(__xludf.DUMMYFUNCTION("""COMPUTED_VALUE"""),"Mexico")</f>
        <v>Mexico</v>
      </c>
      <c r="B157" s="54">
        <f>IFERROR(__xludf.DUMMYFUNCTION("""COMPUTED_VALUE"""),43087.0)</f>
        <v>43087</v>
      </c>
      <c r="C157" s="19">
        <f>IFERROR(__xludf.DUMMYFUNCTION("""COMPUTED_VALUE"""),43093.0)</f>
        <v>43093</v>
      </c>
      <c r="D157" s="17">
        <f>IFERROR(__xludf.DUMMYFUNCTION("""COMPUTED_VALUE"""),51.0)</f>
        <v>51</v>
      </c>
      <c r="E157" s="17">
        <f>IFERROR(__xludf.DUMMYFUNCTION("""COMPUTED_VALUE"""),15557.0)</f>
        <v>15557</v>
      </c>
      <c r="F157" s="17">
        <f>IFERROR(__xludf.DUMMYFUNCTION("""COMPUTED_VALUE"""),0.0)</f>
        <v>0</v>
      </c>
      <c r="G157" s="17"/>
      <c r="H157" s="21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tr">
        <f>IFERROR(__xludf.DUMMYFUNCTION("""COMPUTED_VALUE"""),"Mexico")</f>
        <v>Mexico</v>
      </c>
      <c r="B158" s="54">
        <f>IFERROR(__xludf.DUMMYFUNCTION("""COMPUTED_VALUE"""),43094.0)</f>
        <v>43094</v>
      </c>
      <c r="C158" s="19">
        <f>IFERROR(__xludf.DUMMYFUNCTION("""COMPUTED_VALUE"""),43100.0)</f>
        <v>43100</v>
      </c>
      <c r="D158" s="56">
        <f>IFERROR(__xludf.DUMMYFUNCTION("""COMPUTED_VALUE"""),52.0)</f>
        <v>52</v>
      </c>
      <c r="E158" s="17">
        <f>IFERROR(__xludf.DUMMYFUNCTION("""COMPUTED_VALUE"""),15492.0)</f>
        <v>15492</v>
      </c>
      <c r="F158" s="17">
        <f>IFERROR(__xludf.DUMMYFUNCTION("""COMPUTED_VALUE"""),0.0)</f>
        <v>0</v>
      </c>
      <c r="G158" s="17"/>
      <c r="H158" s="21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tr">
        <f>IFERROR(__xludf.DUMMYFUNCTION("""COMPUTED_VALUE"""),"Mexico")</f>
        <v>Mexico</v>
      </c>
      <c r="B159" s="54">
        <f>IFERROR(__xludf.DUMMYFUNCTION("""COMPUTED_VALUE"""),43101.0)</f>
        <v>43101</v>
      </c>
      <c r="C159" s="19">
        <f>IFERROR(__xludf.DUMMYFUNCTION("""COMPUTED_VALUE"""),43107.0)</f>
        <v>43107</v>
      </c>
      <c r="D159" s="17">
        <f>IFERROR(__xludf.DUMMYFUNCTION("""COMPUTED_VALUE"""),1.0)</f>
        <v>1</v>
      </c>
      <c r="E159" s="17">
        <f>IFERROR(__xludf.DUMMYFUNCTION("""COMPUTED_VALUE"""),16721.0)</f>
        <v>16721</v>
      </c>
      <c r="F159" s="17">
        <f>IFERROR(__xludf.DUMMYFUNCTION("""COMPUTED_VALUE"""),0.0)</f>
        <v>0</v>
      </c>
      <c r="G159" s="17"/>
      <c r="H159" s="21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tr">
        <f>IFERROR(__xludf.DUMMYFUNCTION("""COMPUTED_VALUE"""),"Mexico")</f>
        <v>Mexico</v>
      </c>
      <c r="B160" s="54">
        <f>IFERROR(__xludf.DUMMYFUNCTION("""COMPUTED_VALUE"""),43108.0)</f>
        <v>43108</v>
      </c>
      <c r="C160" s="19">
        <f>IFERROR(__xludf.DUMMYFUNCTION("""COMPUTED_VALUE"""),43114.0)</f>
        <v>43114</v>
      </c>
      <c r="D160" s="17">
        <f>IFERROR(__xludf.DUMMYFUNCTION("""COMPUTED_VALUE"""),2.0)</f>
        <v>2</v>
      </c>
      <c r="E160" s="17">
        <f>IFERROR(__xludf.DUMMYFUNCTION("""COMPUTED_VALUE"""),16170.0)</f>
        <v>16170</v>
      </c>
      <c r="F160" s="17">
        <f>IFERROR(__xludf.DUMMYFUNCTION("""COMPUTED_VALUE"""),0.0)</f>
        <v>0</v>
      </c>
      <c r="G160" s="17"/>
      <c r="H160" s="21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tr">
        <f>IFERROR(__xludf.DUMMYFUNCTION("""COMPUTED_VALUE"""),"Mexico")</f>
        <v>Mexico</v>
      </c>
      <c r="B161" s="54">
        <f>IFERROR(__xludf.DUMMYFUNCTION("""COMPUTED_VALUE"""),43115.0)</f>
        <v>43115</v>
      </c>
      <c r="C161" s="19">
        <f>IFERROR(__xludf.DUMMYFUNCTION("""COMPUTED_VALUE"""),43121.0)</f>
        <v>43121</v>
      </c>
      <c r="D161" s="17">
        <f>IFERROR(__xludf.DUMMYFUNCTION("""COMPUTED_VALUE"""),3.0)</f>
        <v>3</v>
      </c>
      <c r="E161" s="17">
        <f>IFERROR(__xludf.DUMMYFUNCTION("""COMPUTED_VALUE"""),16738.0)</f>
        <v>16738</v>
      </c>
      <c r="F161" s="17">
        <f>IFERROR(__xludf.DUMMYFUNCTION("""COMPUTED_VALUE"""),0.0)</f>
        <v>0</v>
      </c>
      <c r="G161" s="17"/>
      <c r="H161" s="21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tr">
        <f>IFERROR(__xludf.DUMMYFUNCTION("""COMPUTED_VALUE"""),"Mexico")</f>
        <v>Mexico</v>
      </c>
      <c r="B162" s="54">
        <f>IFERROR(__xludf.DUMMYFUNCTION("""COMPUTED_VALUE"""),43122.0)</f>
        <v>43122</v>
      </c>
      <c r="C162" s="19">
        <f>IFERROR(__xludf.DUMMYFUNCTION("""COMPUTED_VALUE"""),43128.0)</f>
        <v>43128</v>
      </c>
      <c r="D162" s="17">
        <f>IFERROR(__xludf.DUMMYFUNCTION("""COMPUTED_VALUE"""),4.0)</f>
        <v>4</v>
      </c>
      <c r="E162" s="17">
        <f>IFERROR(__xludf.DUMMYFUNCTION("""COMPUTED_VALUE"""),16041.0)</f>
        <v>16041</v>
      </c>
      <c r="F162" s="17">
        <f>IFERROR(__xludf.DUMMYFUNCTION("""COMPUTED_VALUE"""),0.0)</f>
        <v>0</v>
      </c>
      <c r="G162" s="17"/>
      <c r="H162" s="21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tr">
        <f>IFERROR(__xludf.DUMMYFUNCTION("""COMPUTED_VALUE"""),"Mexico")</f>
        <v>Mexico</v>
      </c>
      <c r="B163" s="54">
        <f>IFERROR(__xludf.DUMMYFUNCTION("""COMPUTED_VALUE"""),43129.0)</f>
        <v>43129</v>
      </c>
      <c r="C163" s="19">
        <f>IFERROR(__xludf.DUMMYFUNCTION("""COMPUTED_VALUE"""),43135.0)</f>
        <v>43135</v>
      </c>
      <c r="D163" s="17">
        <f>IFERROR(__xludf.DUMMYFUNCTION("""COMPUTED_VALUE"""),5.0)</f>
        <v>5</v>
      </c>
      <c r="E163" s="17">
        <f>IFERROR(__xludf.DUMMYFUNCTION("""COMPUTED_VALUE"""),15770.0)</f>
        <v>15770</v>
      </c>
      <c r="F163" s="17">
        <f>IFERROR(__xludf.DUMMYFUNCTION("""COMPUTED_VALUE"""),0.0)</f>
        <v>0</v>
      </c>
      <c r="G163" s="17"/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tr">
        <f>IFERROR(__xludf.DUMMYFUNCTION("""COMPUTED_VALUE"""),"Mexico")</f>
        <v>Mexico</v>
      </c>
      <c r="B164" s="54">
        <f>IFERROR(__xludf.DUMMYFUNCTION("""COMPUTED_VALUE"""),43136.0)</f>
        <v>43136</v>
      </c>
      <c r="C164" s="19">
        <f>IFERROR(__xludf.DUMMYFUNCTION("""COMPUTED_VALUE"""),43142.0)</f>
        <v>43142</v>
      </c>
      <c r="D164" s="17">
        <f>IFERROR(__xludf.DUMMYFUNCTION("""COMPUTED_VALUE"""),6.0)</f>
        <v>6</v>
      </c>
      <c r="E164" s="17">
        <f>IFERROR(__xludf.DUMMYFUNCTION("""COMPUTED_VALUE"""),15306.0)</f>
        <v>15306</v>
      </c>
      <c r="F164" s="17">
        <f>IFERROR(__xludf.DUMMYFUNCTION("""COMPUTED_VALUE"""),0.0)</f>
        <v>0</v>
      </c>
      <c r="G164" s="17"/>
      <c r="H164" s="21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tr">
        <f>IFERROR(__xludf.DUMMYFUNCTION("""COMPUTED_VALUE"""),"Mexico")</f>
        <v>Mexico</v>
      </c>
      <c r="B165" s="54">
        <f>IFERROR(__xludf.DUMMYFUNCTION("""COMPUTED_VALUE"""),43143.0)</f>
        <v>43143</v>
      </c>
      <c r="C165" s="19">
        <f>IFERROR(__xludf.DUMMYFUNCTION("""COMPUTED_VALUE"""),43149.0)</f>
        <v>43149</v>
      </c>
      <c r="D165" s="17">
        <f>IFERROR(__xludf.DUMMYFUNCTION("""COMPUTED_VALUE"""),7.0)</f>
        <v>7</v>
      </c>
      <c r="E165" s="17">
        <f>IFERROR(__xludf.DUMMYFUNCTION("""COMPUTED_VALUE"""),14588.0)</f>
        <v>14588</v>
      </c>
      <c r="F165" s="17">
        <f>IFERROR(__xludf.DUMMYFUNCTION("""COMPUTED_VALUE"""),0.0)</f>
        <v>0</v>
      </c>
      <c r="G165" s="17"/>
      <c r="H165" s="21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tr">
        <f>IFERROR(__xludf.DUMMYFUNCTION("""COMPUTED_VALUE"""),"Mexico")</f>
        <v>Mexico</v>
      </c>
      <c r="B166" s="54">
        <f>IFERROR(__xludf.DUMMYFUNCTION("""COMPUTED_VALUE"""),43150.0)</f>
        <v>43150</v>
      </c>
      <c r="C166" s="19">
        <f>IFERROR(__xludf.DUMMYFUNCTION("""COMPUTED_VALUE"""),43156.0)</f>
        <v>43156</v>
      </c>
      <c r="D166" s="17">
        <f>IFERROR(__xludf.DUMMYFUNCTION("""COMPUTED_VALUE"""),8.0)</f>
        <v>8</v>
      </c>
      <c r="E166" s="17">
        <f>IFERROR(__xludf.DUMMYFUNCTION("""COMPUTED_VALUE"""),14199.0)</f>
        <v>14199</v>
      </c>
      <c r="F166" s="17">
        <f>IFERROR(__xludf.DUMMYFUNCTION("""COMPUTED_VALUE"""),0.0)</f>
        <v>0</v>
      </c>
      <c r="G166" s="17"/>
      <c r="H166" s="21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tr">
        <f>IFERROR(__xludf.DUMMYFUNCTION("""COMPUTED_VALUE"""),"Mexico")</f>
        <v>Mexico</v>
      </c>
      <c r="B167" s="54">
        <f>IFERROR(__xludf.DUMMYFUNCTION("""COMPUTED_VALUE"""),43157.0)</f>
        <v>43157</v>
      </c>
      <c r="C167" s="19">
        <f>IFERROR(__xludf.DUMMYFUNCTION("""COMPUTED_VALUE"""),43163.0)</f>
        <v>43163</v>
      </c>
      <c r="D167" s="17">
        <f>IFERROR(__xludf.DUMMYFUNCTION("""COMPUTED_VALUE"""),9.0)</f>
        <v>9</v>
      </c>
      <c r="E167" s="17">
        <f>IFERROR(__xludf.DUMMYFUNCTION("""COMPUTED_VALUE"""),14001.0)</f>
        <v>14001</v>
      </c>
      <c r="F167" s="17">
        <f>IFERROR(__xludf.DUMMYFUNCTION("""COMPUTED_VALUE"""),0.0)</f>
        <v>0</v>
      </c>
      <c r="G167" s="17"/>
      <c r="H167" s="21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tr">
        <f>IFERROR(__xludf.DUMMYFUNCTION("""COMPUTED_VALUE"""),"Mexico")</f>
        <v>Mexico</v>
      </c>
      <c r="B168" s="54">
        <f>IFERROR(__xludf.DUMMYFUNCTION("""COMPUTED_VALUE"""),43164.0)</f>
        <v>43164</v>
      </c>
      <c r="C168" s="19">
        <f>IFERROR(__xludf.DUMMYFUNCTION("""COMPUTED_VALUE"""),43170.0)</f>
        <v>43170</v>
      </c>
      <c r="D168" s="17">
        <f>IFERROR(__xludf.DUMMYFUNCTION("""COMPUTED_VALUE"""),10.0)</f>
        <v>10</v>
      </c>
      <c r="E168" s="17">
        <f>IFERROR(__xludf.DUMMYFUNCTION("""COMPUTED_VALUE"""),13552.0)</f>
        <v>13552</v>
      </c>
      <c r="F168" s="17">
        <f>IFERROR(__xludf.DUMMYFUNCTION("""COMPUTED_VALUE"""),0.0)</f>
        <v>0</v>
      </c>
      <c r="G168" s="17"/>
      <c r="H168" s="21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tr">
        <f>IFERROR(__xludf.DUMMYFUNCTION("""COMPUTED_VALUE"""),"Mexico")</f>
        <v>Mexico</v>
      </c>
      <c r="B169" s="54">
        <f>IFERROR(__xludf.DUMMYFUNCTION("""COMPUTED_VALUE"""),43171.0)</f>
        <v>43171</v>
      </c>
      <c r="C169" s="19">
        <f>IFERROR(__xludf.DUMMYFUNCTION("""COMPUTED_VALUE"""),43177.0)</f>
        <v>43177</v>
      </c>
      <c r="D169" s="17">
        <f>IFERROR(__xludf.DUMMYFUNCTION("""COMPUTED_VALUE"""),11.0)</f>
        <v>11</v>
      </c>
      <c r="E169" s="17">
        <f>IFERROR(__xludf.DUMMYFUNCTION("""COMPUTED_VALUE"""),13497.0)</f>
        <v>13497</v>
      </c>
      <c r="F169" s="17">
        <f>IFERROR(__xludf.DUMMYFUNCTION("""COMPUTED_VALUE"""),0.0)</f>
        <v>0</v>
      </c>
      <c r="G169" s="17"/>
      <c r="H169" s="21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tr">
        <f>IFERROR(__xludf.DUMMYFUNCTION("""COMPUTED_VALUE"""),"Mexico")</f>
        <v>Mexico</v>
      </c>
      <c r="B170" s="54">
        <f>IFERROR(__xludf.DUMMYFUNCTION("""COMPUTED_VALUE"""),43178.0)</f>
        <v>43178</v>
      </c>
      <c r="C170" s="19">
        <f>IFERROR(__xludf.DUMMYFUNCTION("""COMPUTED_VALUE"""),43184.0)</f>
        <v>43184</v>
      </c>
      <c r="D170" s="17">
        <f>IFERROR(__xludf.DUMMYFUNCTION("""COMPUTED_VALUE"""),12.0)</f>
        <v>12</v>
      </c>
      <c r="E170" s="17">
        <f>IFERROR(__xludf.DUMMYFUNCTION("""COMPUTED_VALUE"""),13254.0)</f>
        <v>13254</v>
      </c>
      <c r="F170" s="17">
        <f>IFERROR(__xludf.DUMMYFUNCTION("""COMPUTED_VALUE"""),0.0)</f>
        <v>0</v>
      </c>
      <c r="G170" s="17"/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tr">
        <f>IFERROR(__xludf.DUMMYFUNCTION("""COMPUTED_VALUE"""),"Mexico")</f>
        <v>Mexico</v>
      </c>
      <c r="B171" s="54">
        <f>IFERROR(__xludf.DUMMYFUNCTION("""COMPUTED_VALUE"""),43185.0)</f>
        <v>43185</v>
      </c>
      <c r="C171" s="19">
        <f>IFERROR(__xludf.DUMMYFUNCTION("""COMPUTED_VALUE"""),43191.0)</f>
        <v>43191</v>
      </c>
      <c r="D171" s="17">
        <f>IFERROR(__xludf.DUMMYFUNCTION("""COMPUTED_VALUE"""),13.0)</f>
        <v>13</v>
      </c>
      <c r="E171" s="17">
        <f>IFERROR(__xludf.DUMMYFUNCTION("""COMPUTED_VALUE"""),13191.0)</f>
        <v>13191</v>
      </c>
      <c r="F171" s="17">
        <f>IFERROR(__xludf.DUMMYFUNCTION("""COMPUTED_VALUE"""),0.0)</f>
        <v>0</v>
      </c>
      <c r="G171" s="17"/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 t="str">
        <f>IFERROR(__xludf.DUMMYFUNCTION("""COMPUTED_VALUE"""),"Mexico")</f>
        <v>Mexico</v>
      </c>
      <c r="B172" s="54">
        <f>IFERROR(__xludf.DUMMYFUNCTION("""COMPUTED_VALUE"""),43192.0)</f>
        <v>43192</v>
      </c>
      <c r="C172" s="19">
        <f>IFERROR(__xludf.DUMMYFUNCTION("""COMPUTED_VALUE"""),43198.0)</f>
        <v>43198</v>
      </c>
      <c r="D172" s="17">
        <f>IFERROR(__xludf.DUMMYFUNCTION("""COMPUTED_VALUE"""),14.0)</f>
        <v>14</v>
      </c>
      <c r="E172" s="17">
        <f>IFERROR(__xludf.DUMMYFUNCTION("""COMPUTED_VALUE"""),13577.0)</f>
        <v>13577</v>
      </c>
      <c r="F172" s="17">
        <f>IFERROR(__xludf.DUMMYFUNCTION("""COMPUTED_VALUE"""),0.0)</f>
        <v>0</v>
      </c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 t="str">
        <f>IFERROR(__xludf.DUMMYFUNCTION("""COMPUTED_VALUE"""),"Mexico")</f>
        <v>Mexico</v>
      </c>
      <c r="B173" s="54">
        <f>IFERROR(__xludf.DUMMYFUNCTION("""COMPUTED_VALUE"""),43199.0)</f>
        <v>43199</v>
      </c>
      <c r="C173" s="19">
        <f>IFERROR(__xludf.DUMMYFUNCTION("""COMPUTED_VALUE"""),43205.0)</f>
        <v>43205</v>
      </c>
      <c r="D173" s="17">
        <f>IFERROR(__xludf.DUMMYFUNCTION("""COMPUTED_VALUE"""),15.0)</f>
        <v>15</v>
      </c>
      <c r="E173" s="17">
        <f>IFERROR(__xludf.DUMMYFUNCTION("""COMPUTED_VALUE"""),12888.0)</f>
        <v>12888</v>
      </c>
      <c r="F173" s="17">
        <f>IFERROR(__xludf.DUMMYFUNCTION("""COMPUTED_VALUE"""),0.0)</f>
        <v>0</v>
      </c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 t="str">
        <f>IFERROR(__xludf.DUMMYFUNCTION("""COMPUTED_VALUE"""),"Mexico")</f>
        <v>Mexico</v>
      </c>
      <c r="B174" s="54">
        <f>IFERROR(__xludf.DUMMYFUNCTION("""COMPUTED_VALUE"""),43206.0)</f>
        <v>43206</v>
      </c>
      <c r="C174" s="19">
        <f>IFERROR(__xludf.DUMMYFUNCTION("""COMPUTED_VALUE"""),43212.0)</f>
        <v>43212</v>
      </c>
      <c r="D174" s="17">
        <f>IFERROR(__xludf.DUMMYFUNCTION("""COMPUTED_VALUE"""),16.0)</f>
        <v>16</v>
      </c>
      <c r="E174" s="17">
        <f>IFERROR(__xludf.DUMMYFUNCTION("""COMPUTED_VALUE"""),13080.0)</f>
        <v>13080</v>
      </c>
      <c r="F174" s="17">
        <f>IFERROR(__xludf.DUMMYFUNCTION("""COMPUTED_VALUE"""),0.0)</f>
        <v>0</v>
      </c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 t="str">
        <f>IFERROR(__xludf.DUMMYFUNCTION("""COMPUTED_VALUE"""),"Mexico")</f>
        <v>Mexico</v>
      </c>
      <c r="B175" s="54">
        <f>IFERROR(__xludf.DUMMYFUNCTION("""COMPUTED_VALUE"""),43213.0)</f>
        <v>43213</v>
      </c>
      <c r="C175" s="19">
        <f>IFERROR(__xludf.DUMMYFUNCTION("""COMPUTED_VALUE"""),43219.0)</f>
        <v>43219</v>
      </c>
      <c r="D175" s="17">
        <f>IFERROR(__xludf.DUMMYFUNCTION("""COMPUTED_VALUE"""),17.0)</f>
        <v>17</v>
      </c>
      <c r="E175" s="17">
        <f>IFERROR(__xludf.DUMMYFUNCTION("""COMPUTED_VALUE"""),12657.0)</f>
        <v>12657</v>
      </c>
      <c r="F175" s="17">
        <f>IFERROR(__xludf.DUMMYFUNCTION("""COMPUTED_VALUE"""),0.0)</f>
        <v>0</v>
      </c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 t="str">
        <f>IFERROR(__xludf.DUMMYFUNCTION("""COMPUTED_VALUE"""),"Mexico")</f>
        <v>Mexico</v>
      </c>
      <c r="B176" s="54">
        <f>IFERROR(__xludf.DUMMYFUNCTION("""COMPUTED_VALUE"""),43220.0)</f>
        <v>43220</v>
      </c>
      <c r="C176" s="19">
        <f>IFERROR(__xludf.DUMMYFUNCTION("""COMPUTED_VALUE"""),43226.0)</f>
        <v>43226</v>
      </c>
      <c r="D176" s="17">
        <f>IFERROR(__xludf.DUMMYFUNCTION("""COMPUTED_VALUE"""),18.0)</f>
        <v>18</v>
      </c>
      <c r="E176" s="17">
        <f>IFERROR(__xludf.DUMMYFUNCTION("""COMPUTED_VALUE"""),13040.0)</f>
        <v>13040</v>
      </c>
      <c r="F176" s="17">
        <f>IFERROR(__xludf.DUMMYFUNCTION("""COMPUTED_VALUE"""),0.0)</f>
        <v>0</v>
      </c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 t="str">
        <f>IFERROR(__xludf.DUMMYFUNCTION("""COMPUTED_VALUE"""),"Mexico")</f>
        <v>Mexico</v>
      </c>
      <c r="B177" s="54">
        <f>IFERROR(__xludf.DUMMYFUNCTION("""COMPUTED_VALUE"""),43227.0)</f>
        <v>43227</v>
      </c>
      <c r="C177" s="19">
        <f>IFERROR(__xludf.DUMMYFUNCTION("""COMPUTED_VALUE"""),43233.0)</f>
        <v>43233</v>
      </c>
      <c r="D177" s="17">
        <f>IFERROR(__xludf.DUMMYFUNCTION("""COMPUTED_VALUE"""),19.0)</f>
        <v>19</v>
      </c>
      <c r="E177" s="17">
        <f>IFERROR(__xludf.DUMMYFUNCTION("""COMPUTED_VALUE"""),12784.0)</f>
        <v>12784</v>
      </c>
      <c r="F177" s="17">
        <f>IFERROR(__xludf.DUMMYFUNCTION("""COMPUTED_VALUE"""),0.0)</f>
        <v>0</v>
      </c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 t="str">
        <f>IFERROR(__xludf.DUMMYFUNCTION("""COMPUTED_VALUE"""),"Mexico")</f>
        <v>Mexico</v>
      </c>
      <c r="B178" s="54">
        <f>IFERROR(__xludf.DUMMYFUNCTION("""COMPUTED_VALUE"""),43234.0)</f>
        <v>43234</v>
      </c>
      <c r="C178" s="19">
        <f>IFERROR(__xludf.DUMMYFUNCTION("""COMPUTED_VALUE"""),43240.0)</f>
        <v>43240</v>
      </c>
      <c r="D178" s="17">
        <f>IFERROR(__xludf.DUMMYFUNCTION("""COMPUTED_VALUE"""),20.0)</f>
        <v>20</v>
      </c>
      <c r="E178" s="17">
        <f>IFERROR(__xludf.DUMMYFUNCTION("""COMPUTED_VALUE"""),13172.0)</f>
        <v>13172</v>
      </c>
      <c r="F178" s="17">
        <f>IFERROR(__xludf.DUMMYFUNCTION("""COMPUTED_VALUE"""),0.0)</f>
        <v>0</v>
      </c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 t="str">
        <f>IFERROR(__xludf.DUMMYFUNCTION("""COMPUTED_VALUE"""),"Mexico")</f>
        <v>Mexico</v>
      </c>
      <c r="B179" s="54">
        <f>IFERROR(__xludf.DUMMYFUNCTION("""COMPUTED_VALUE"""),43241.0)</f>
        <v>43241</v>
      </c>
      <c r="C179" s="19">
        <f>IFERROR(__xludf.DUMMYFUNCTION("""COMPUTED_VALUE"""),43247.0)</f>
        <v>43247</v>
      </c>
      <c r="D179" s="17">
        <f>IFERROR(__xludf.DUMMYFUNCTION("""COMPUTED_VALUE"""),21.0)</f>
        <v>21</v>
      </c>
      <c r="E179" s="17">
        <f>IFERROR(__xludf.DUMMYFUNCTION("""COMPUTED_VALUE"""),13125.0)</f>
        <v>13125</v>
      </c>
      <c r="F179" s="17">
        <f>IFERROR(__xludf.DUMMYFUNCTION("""COMPUTED_VALUE"""),0.0)</f>
        <v>0</v>
      </c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 t="str">
        <f>IFERROR(__xludf.DUMMYFUNCTION("""COMPUTED_VALUE"""),"Mexico")</f>
        <v>Mexico</v>
      </c>
      <c r="B180" s="54">
        <f>IFERROR(__xludf.DUMMYFUNCTION("""COMPUTED_VALUE"""),43248.0)</f>
        <v>43248</v>
      </c>
      <c r="C180" s="19">
        <f>IFERROR(__xludf.DUMMYFUNCTION("""COMPUTED_VALUE"""),43254.0)</f>
        <v>43254</v>
      </c>
      <c r="D180" s="17">
        <f>IFERROR(__xludf.DUMMYFUNCTION("""COMPUTED_VALUE"""),22.0)</f>
        <v>22</v>
      </c>
      <c r="E180" s="17">
        <f>IFERROR(__xludf.DUMMYFUNCTION("""COMPUTED_VALUE"""),13567.0)</f>
        <v>13567</v>
      </c>
      <c r="F180" s="17">
        <f>IFERROR(__xludf.DUMMYFUNCTION("""COMPUTED_VALUE"""),0.0)</f>
        <v>0</v>
      </c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 t="str">
        <f>IFERROR(__xludf.DUMMYFUNCTION("""COMPUTED_VALUE"""),"Mexico")</f>
        <v>Mexico</v>
      </c>
      <c r="B181" s="54">
        <f>IFERROR(__xludf.DUMMYFUNCTION("""COMPUTED_VALUE"""),43255.0)</f>
        <v>43255</v>
      </c>
      <c r="C181" s="19">
        <f>IFERROR(__xludf.DUMMYFUNCTION("""COMPUTED_VALUE"""),43261.0)</f>
        <v>43261</v>
      </c>
      <c r="D181" s="17">
        <f>IFERROR(__xludf.DUMMYFUNCTION("""COMPUTED_VALUE"""),23.0)</f>
        <v>23</v>
      </c>
      <c r="E181" s="17">
        <f>IFERROR(__xludf.DUMMYFUNCTION("""COMPUTED_VALUE"""),13025.0)</f>
        <v>13025</v>
      </c>
      <c r="F181" s="17">
        <f>IFERROR(__xludf.DUMMYFUNCTION("""COMPUTED_VALUE"""),0.0)</f>
        <v>0</v>
      </c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 t="str">
        <f>IFERROR(__xludf.DUMMYFUNCTION("""COMPUTED_VALUE"""),"Mexico")</f>
        <v>Mexico</v>
      </c>
      <c r="B182" s="54">
        <f>IFERROR(__xludf.DUMMYFUNCTION("""COMPUTED_VALUE"""),43262.0)</f>
        <v>43262</v>
      </c>
      <c r="C182" s="19">
        <f>IFERROR(__xludf.DUMMYFUNCTION("""COMPUTED_VALUE"""),43268.0)</f>
        <v>43268</v>
      </c>
      <c r="D182" s="17">
        <f>IFERROR(__xludf.DUMMYFUNCTION("""COMPUTED_VALUE"""),24.0)</f>
        <v>24</v>
      </c>
      <c r="E182" s="17">
        <f>IFERROR(__xludf.DUMMYFUNCTION("""COMPUTED_VALUE"""),12451.0)</f>
        <v>12451</v>
      </c>
      <c r="F182" s="17">
        <f>IFERROR(__xludf.DUMMYFUNCTION("""COMPUTED_VALUE"""),0.0)</f>
        <v>0</v>
      </c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 t="str">
        <f>IFERROR(__xludf.DUMMYFUNCTION("""COMPUTED_VALUE"""),"Mexico")</f>
        <v>Mexico</v>
      </c>
      <c r="B183" s="54">
        <f>IFERROR(__xludf.DUMMYFUNCTION("""COMPUTED_VALUE"""),43269.0)</f>
        <v>43269</v>
      </c>
      <c r="C183" s="19">
        <f>IFERROR(__xludf.DUMMYFUNCTION("""COMPUTED_VALUE"""),43275.0)</f>
        <v>43275</v>
      </c>
      <c r="D183" s="17">
        <f>IFERROR(__xludf.DUMMYFUNCTION("""COMPUTED_VALUE"""),25.0)</f>
        <v>25</v>
      </c>
      <c r="E183" s="17">
        <f>IFERROR(__xludf.DUMMYFUNCTION("""COMPUTED_VALUE"""),12932.0)</f>
        <v>12932</v>
      </c>
      <c r="F183" s="17">
        <f>IFERROR(__xludf.DUMMYFUNCTION("""COMPUTED_VALUE"""),0.0)</f>
        <v>0</v>
      </c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 t="str">
        <f>IFERROR(__xludf.DUMMYFUNCTION("""COMPUTED_VALUE"""),"Mexico")</f>
        <v>Mexico</v>
      </c>
      <c r="B184" s="54">
        <f>IFERROR(__xludf.DUMMYFUNCTION("""COMPUTED_VALUE"""),43276.0)</f>
        <v>43276</v>
      </c>
      <c r="C184" s="19">
        <f>IFERROR(__xludf.DUMMYFUNCTION("""COMPUTED_VALUE"""),43282.0)</f>
        <v>43282</v>
      </c>
      <c r="D184" s="17">
        <f>IFERROR(__xludf.DUMMYFUNCTION("""COMPUTED_VALUE"""),26.0)</f>
        <v>26</v>
      </c>
      <c r="E184" s="17">
        <f>IFERROR(__xludf.DUMMYFUNCTION("""COMPUTED_VALUE"""),12610.0)</f>
        <v>12610</v>
      </c>
      <c r="F184" s="17">
        <f>IFERROR(__xludf.DUMMYFUNCTION("""COMPUTED_VALUE"""),0.0)</f>
        <v>0</v>
      </c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 t="str">
        <f>IFERROR(__xludf.DUMMYFUNCTION("""COMPUTED_VALUE"""),"Mexico")</f>
        <v>Mexico</v>
      </c>
      <c r="B185" s="54">
        <f>IFERROR(__xludf.DUMMYFUNCTION("""COMPUTED_VALUE"""),43283.0)</f>
        <v>43283</v>
      </c>
      <c r="C185" s="19">
        <f>IFERROR(__xludf.DUMMYFUNCTION("""COMPUTED_VALUE"""),43289.0)</f>
        <v>43289</v>
      </c>
      <c r="D185" s="17">
        <f>IFERROR(__xludf.DUMMYFUNCTION("""COMPUTED_VALUE"""),27.0)</f>
        <v>27</v>
      </c>
      <c r="E185" s="17">
        <f>IFERROR(__xludf.DUMMYFUNCTION("""COMPUTED_VALUE"""),12845.0)</f>
        <v>12845</v>
      </c>
      <c r="F185" s="17">
        <f>IFERROR(__xludf.DUMMYFUNCTION("""COMPUTED_VALUE"""),0.0)</f>
        <v>0</v>
      </c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 t="str">
        <f>IFERROR(__xludf.DUMMYFUNCTION("""COMPUTED_VALUE"""),"Mexico")</f>
        <v>Mexico</v>
      </c>
      <c r="B186" s="54">
        <f>IFERROR(__xludf.DUMMYFUNCTION("""COMPUTED_VALUE"""),43290.0)</f>
        <v>43290</v>
      </c>
      <c r="C186" s="19">
        <f>IFERROR(__xludf.DUMMYFUNCTION("""COMPUTED_VALUE"""),43296.0)</f>
        <v>43296</v>
      </c>
      <c r="D186" s="17">
        <f>IFERROR(__xludf.DUMMYFUNCTION("""COMPUTED_VALUE"""),28.0)</f>
        <v>28</v>
      </c>
      <c r="E186" s="17">
        <f>IFERROR(__xludf.DUMMYFUNCTION("""COMPUTED_VALUE"""),13114.0)</f>
        <v>13114</v>
      </c>
      <c r="F186" s="17">
        <f>IFERROR(__xludf.DUMMYFUNCTION("""COMPUTED_VALUE"""),0.0)</f>
        <v>0</v>
      </c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 t="str">
        <f>IFERROR(__xludf.DUMMYFUNCTION("""COMPUTED_VALUE"""),"Mexico")</f>
        <v>Mexico</v>
      </c>
      <c r="B187" s="54">
        <f>IFERROR(__xludf.DUMMYFUNCTION("""COMPUTED_VALUE"""),43297.0)</f>
        <v>43297</v>
      </c>
      <c r="C187" s="19">
        <f>IFERROR(__xludf.DUMMYFUNCTION("""COMPUTED_VALUE"""),43303.0)</f>
        <v>43303</v>
      </c>
      <c r="D187" s="17">
        <f>IFERROR(__xludf.DUMMYFUNCTION("""COMPUTED_VALUE"""),29.0)</f>
        <v>29</v>
      </c>
      <c r="E187" s="17">
        <f>IFERROR(__xludf.DUMMYFUNCTION("""COMPUTED_VALUE"""),13334.0)</f>
        <v>13334</v>
      </c>
      <c r="F187" s="17">
        <f>IFERROR(__xludf.DUMMYFUNCTION("""COMPUTED_VALUE"""),0.0)</f>
        <v>0</v>
      </c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 t="str">
        <f>IFERROR(__xludf.DUMMYFUNCTION("""COMPUTED_VALUE"""),"Mexico")</f>
        <v>Mexico</v>
      </c>
      <c r="B188" s="54">
        <f>IFERROR(__xludf.DUMMYFUNCTION("""COMPUTED_VALUE"""),43304.0)</f>
        <v>43304</v>
      </c>
      <c r="C188" s="19">
        <f>IFERROR(__xludf.DUMMYFUNCTION("""COMPUTED_VALUE"""),43310.0)</f>
        <v>43310</v>
      </c>
      <c r="D188" s="17">
        <f>IFERROR(__xludf.DUMMYFUNCTION("""COMPUTED_VALUE"""),30.0)</f>
        <v>30</v>
      </c>
      <c r="E188" s="17">
        <f>IFERROR(__xludf.DUMMYFUNCTION("""COMPUTED_VALUE"""),13455.0)</f>
        <v>13455</v>
      </c>
      <c r="F188" s="17">
        <f>IFERROR(__xludf.DUMMYFUNCTION("""COMPUTED_VALUE"""),0.0)</f>
        <v>0</v>
      </c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 t="str">
        <f>IFERROR(__xludf.DUMMYFUNCTION("""COMPUTED_VALUE"""),"Mexico")</f>
        <v>Mexico</v>
      </c>
      <c r="B189" s="54">
        <f>IFERROR(__xludf.DUMMYFUNCTION("""COMPUTED_VALUE"""),43311.0)</f>
        <v>43311</v>
      </c>
      <c r="C189" s="19">
        <f>IFERROR(__xludf.DUMMYFUNCTION("""COMPUTED_VALUE"""),43317.0)</f>
        <v>43317</v>
      </c>
      <c r="D189" s="17">
        <f>IFERROR(__xludf.DUMMYFUNCTION("""COMPUTED_VALUE"""),31.0)</f>
        <v>31</v>
      </c>
      <c r="E189" s="17">
        <f>IFERROR(__xludf.DUMMYFUNCTION("""COMPUTED_VALUE"""),12997.0)</f>
        <v>12997</v>
      </c>
      <c r="F189" s="17">
        <f>IFERROR(__xludf.DUMMYFUNCTION("""COMPUTED_VALUE"""),0.0)</f>
        <v>0</v>
      </c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 t="str">
        <f>IFERROR(__xludf.DUMMYFUNCTION("""COMPUTED_VALUE"""),"Mexico")</f>
        <v>Mexico</v>
      </c>
      <c r="B190" s="54">
        <f>IFERROR(__xludf.DUMMYFUNCTION("""COMPUTED_VALUE"""),43318.0)</f>
        <v>43318</v>
      </c>
      <c r="C190" s="19">
        <f>IFERROR(__xludf.DUMMYFUNCTION("""COMPUTED_VALUE"""),43324.0)</f>
        <v>43324</v>
      </c>
      <c r="D190" s="17">
        <f>IFERROR(__xludf.DUMMYFUNCTION("""COMPUTED_VALUE"""),32.0)</f>
        <v>32</v>
      </c>
      <c r="E190" s="17">
        <f>IFERROR(__xludf.DUMMYFUNCTION("""COMPUTED_VALUE"""),12602.0)</f>
        <v>12602</v>
      </c>
      <c r="F190" s="17">
        <f>IFERROR(__xludf.DUMMYFUNCTION("""COMPUTED_VALUE"""),0.0)</f>
        <v>0</v>
      </c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 t="str">
        <f>IFERROR(__xludf.DUMMYFUNCTION("""COMPUTED_VALUE"""),"Mexico")</f>
        <v>Mexico</v>
      </c>
      <c r="B191" s="54">
        <f>IFERROR(__xludf.DUMMYFUNCTION("""COMPUTED_VALUE"""),43325.0)</f>
        <v>43325</v>
      </c>
      <c r="C191" s="19">
        <f>IFERROR(__xludf.DUMMYFUNCTION("""COMPUTED_VALUE"""),43331.0)</f>
        <v>43331</v>
      </c>
      <c r="D191" s="17">
        <f>IFERROR(__xludf.DUMMYFUNCTION("""COMPUTED_VALUE"""),33.0)</f>
        <v>33</v>
      </c>
      <c r="E191" s="17">
        <f>IFERROR(__xludf.DUMMYFUNCTION("""COMPUTED_VALUE"""),12767.0)</f>
        <v>12767</v>
      </c>
      <c r="F191" s="17">
        <f>IFERROR(__xludf.DUMMYFUNCTION("""COMPUTED_VALUE"""),0.0)</f>
        <v>0</v>
      </c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 t="str">
        <f>IFERROR(__xludf.DUMMYFUNCTION("""COMPUTED_VALUE"""),"Mexico")</f>
        <v>Mexico</v>
      </c>
      <c r="B192" s="54">
        <f>IFERROR(__xludf.DUMMYFUNCTION("""COMPUTED_VALUE"""),43332.0)</f>
        <v>43332</v>
      </c>
      <c r="C192" s="19">
        <f>IFERROR(__xludf.DUMMYFUNCTION("""COMPUTED_VALUE"""),43338.0)</f>
        <v>43338</v>
      </c>
      <c r="D192" s="17">
        <f>IFERROR(__xludf.DUMMYFUNCTION("""COMPUTED_VALUE"""),34.0)</f>
        <v>34</v>
      </c>
      <c r="E192" s="17">
        <f>IFERROR(__xludf.DUMMYFUNCTION("""COMPUTED_VALUE"""),12503.0)</f>
        <v>12503</v>
      </c>
      <c r="F192" s="17">
        <f>IFERROR(__xludf.DUMMYFUNCTION("""COMPUTED_VALUE"""),0.0)</f>
        <v>0</v>
      </c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 t="str">
        <f>IFERROR(__xludf.DUMMYFUNCTION("""COMPUTED_VALUE"""),"Mexico")</f>
        <v>Mexico</v>
      </c>
      <c r="B193" s="54">
        <f>IFERROR(__xludf.DUMMYFUNCTION("""COMPUTED_VALUE"""),43339.0)</f>
        <v>43339</v>
      </c>
      <c r="C193" s="19">
        <f>IFERROR(__xludf.DUMMYFUNCTION("""COMPUTED_VALUE"""),43345.0)</f>
        <v>43345</v>
      </c>
      <c r="D193" s="17">
        <f>IFERROR(__xludf.DUMMYFUNCTION("""COMPUTED_VALUE"""),35.0)</f>
        <v>35</v>
      </c>
      <c r="E193" s="17">
        <f>IFERROR(__xludf.DUMMYFUNCTION("""COMPUTED_VALUE"""),12811.0)</f>
        <v>12811</v>
      </c>
      <c r="F193" s="17">
        <f>IFERROR(__xludf.DUMMYFUNCTION("""COMPUTED_VALUE"""),0.0)</f>
        <v>0</v>
      </c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 t="str">
        <f>IFERROR(__xludf.DUMMYFUNCTION("""COMPUTED_VALUE"""),"Mexico")</f>
        <v>Mexico</v>
      </c>
      <c r="B194" s="54">
        <f>IFERROR(__xludf.DUMMYFUNCTION("""COMPUTED_VALUE"""),43346.0)</f>
        <v>43346</v>
      </c>
      <c r="C194" s="19">
        <f>IFERROR(__xludf.DUMMYFUNCTION("""COMPUTED_VALUE"""),43352.0)</f>
        <v>43352</v>
      </c>
      <c r="D194" s="17">
        <f>IFERROR(__xludf.DUMMYFUNCTION("""COMPUTED_VALUE"""),36.0)</f>
        <v>36</v>
      </c>
      <c r="E194" s="17">
        <f>IFERROR(__xludf.DUMMYFUNCTION("""COMPUTED_VALUE"""),12556.0)</f>
        <v>12556</v>
      </c>
      <c r="F194" s="17">
        <f>IFERROR(__xludf.DUMMYFUNCTION("""COMPUTED_VALUE"""),0.0)</f>
        <v>0</v>
      </c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 t="str">
        <f>IFERROR(__xludf.DUMMYFUNCTION("""COMPUTED_VALUE"""),"Mexico")</f>
        <v>Mexico</v>
      </c>
      <c r="B195" s="54">
        <f>IFERROR(__xludf.DUMMYFUNCTION("""COMPUTED_VALUE"""),43353.0)</f>
        <v>43353</v>
      </c>
      <c r="C195" s="19">
        <f>IFERROR(__xludf.DUMMYFUNCTION("""COMPUTED_VALUE"""),43359.0)</f>
        <v>43359</v>
      </c>
      <c r="D195" s="17">
        <f>IFERROR(__xludf.DUMMYFUNCTION("""COMPUTED_VALUE"""),37.0)</f>
        <v>37</v>
      </c>
      <c r="E195" s="17">
        <f>IFERROR(__xludf.DUMMYFUNCTION("""COMPUTED_VALUE"""),12780.0)</f>
        <v>12780</v>
      </c>
      <c r="F195" s="17">
        <f>IFERROR(__xludf.DUMMYFUNCTION("""COMPUTED_VALUE"""),0.0)</f>
        <v>0</v>
      </c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 t="str">
        <f>IFERROR(__xludf.DUMMYFUNCTION("""COMPUTED_VALUE"""),"Mexico")</f>
        <v>Mexico</v>
      </c>
      <c r="B196" s="54">
        <f>IFERROR(__xludf.DUMMYFUNCTION("""COMPUTED_VALUE"""),43360.0)</f>
        <v>43360</v>
      </c>
      <c r="C196" s="19">
        <f>IFERROR(__xludf.DUMMYFUNCTION("""COMPUTED_VALUE"""),43366.0)</f>
        <v>43366</v>
      </c>
      <c r="D196" s="17">
        <f>IFERROR(__xludf.DUMMYFUNCTION("""COMPUTED_VALUE"""),38.0)</f>
        <v>38</v>
      </c>
      <c r="E196" s="17">
        <f>IFERROR(__xludf.DUMMYFUNCTION("""COMPUTED_VALUE"""),12994.0)</f>
        <v>12994</v>
      </c>
      <c r="F196" s="17">
        <f>IFERROR(__xludf.DUMMYFUNCTION("""COMPUTED_VALUE"""),0.0)</f>
        <v>0</v>
      </c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 t="str">
        <f>IFERROR(__xludf.DUMMYFUNCTION("""COMPUTED_VALUE"""),"Mexico")</f>
        <v>Mexico</v>
      </c>
      <c r="B197" s="54">
        <f>IFERROR(__xludf.DUMMYFUNCTION("""COMPUTED_VALUE"""),43367.0)</f>
        <v>43367</v>
      </c>
      <c r="C197" s="19">
        <f>IFERROR(__xludf.DUMMYFUNCTION("""COMPUTED_VALUE"""),43373.0)</f>
        <v>43373</v>
      </c>
      <c r="D197" s="17">
        <f>IFERROR(__xludf.DUMMYFUNCTION("""COMPUTED_VALUE"""),39.0)</f>
        <v>39</v>
      </c>
      <c r="E197" s="17">
        <f>IFERROR(__xludf.DUMMYFUNCTION("""COMPUTED_VALUE"""),12807.0)</f>
        <v>12807</v>
      </c>
      <c r="F197" s="17">
        <f>IFERROR(__xludf.DUMMYFUNCTION("""COMPUTED_VALUE"""),0.0)</f>
        <v>0</v>
      </c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 t="str">
        <f>IFERROR(__xludf.DUMMYFUNCTION("""COMPUTED_VALUE"""),"Mexico")</f>
        <v>Mexico</v>
      </c>
      <c r="B198" s="54">
        <f>IFERROR(__xludf.DUMMYFUNCTION("""COMPUTED_VALUE"""),43374.0)</f>
        <v>43374</v>
      </c>
      <c r="C198" s="19">
        <f>IFERROR(__xludf.DUMMYFUNCTION("""COMPUTED_VALUE"""),43380.0)</f>
        <v>43380</v>
      </c>
      <c r="D198" s="17">
        <f>IFERROR(__xludf.DUMMYFUNCTION("""COMPUTED_VALUE"""),40.0)</f>
        <v>40</v>
      </c>
      <c r="E198" s="17">
        <f>IFERROR(__xludf.DUMMYFUNCTION("""COMPUTED_VALUE"""),12931.0)</f>
        <v>12931</v>
      </c>
      <c r="F198" s="17">
        <f>IFERROR(__xludf.DUMMYFUNCTION("""COMPUTED_VALUE"""),0.0)</f>
        <v>0</v>
      </c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 t="str">
        <f>IFERROR(__xludf.DUMMYFUNCTION("""COMPUTED_VALUE"""),"Mexico")</f>
        <v>Mexico</v>
      </c>
      <c r="B199" s="54">
        <f>IFERROR(__xludf.DUMMYFUNCTION("""COMPUTED_VALUE"""),43381.0)</f>
        <v>43381</v>
      </c>
      <c r="C199" s="19">
        <f>IFERROR(__xludf.DUMMYFUNCTION("""COMPUTED_VALUE"""),43387.0)</f>
        <v>43387</v>
      </c>
      <c r="D199" s="17">
        <f>IFERROR(__xludf.DUMMYFUNCTION("""COMPUTED_VALUE"""),41.0)</f>
        <v>41</v>
      </c>
      <c r="E199" s="17">
        <f>IFERROR(__xludf.DUMMYFUNCTION("""COMPUTED_VALUE"""),13232.0)</f>
        <v>13232</v>
      </c>
      <c r="F199" s="17">
        <f>IFERROR(__xludf.DUMMYFUNCTION("""COMPUTED_VALUE"""),0.0)</f>
        <v>0</v>
      </c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 t="str">
        <f>IFERROR(__xludf.DUMMYFUNCTION("""COMPUTED_VALUE"""),"Mexico")</f>
        <v>Mexico</v>
      </c>
      <c r="B200" s="54">
        <f>IFERROR(__xludf.DUMMYFUNCTION("""COMPUTED_VALUE"""),43388.0)</f>
        <v>43388</v>
      </c>
      <c r="C200" s="19">
        <f>IFERROR(__xludf.DUMMYFUNCTION("""COMPUTED_VALUE"""),43394.0)</f>
        <v>43394</v>
      </c>
      <c r="D200" s="17">
        <f>IFERROR(__xludf.DUMMYFUNCTION("""COMPUTED_VALUE"""),42.0)</f>
        <v>42</v>
      </c>
      <c r="E200" s="17">
        <f>IFERROR(__xludf.DUMMYFUNCTION("""COMPUTED_VALUE"""),13115.0)</f>
        <v>13115</v>
      </c>
      <c r="F200" s="17">
        <f>IFERROR(__xludf.DUMMYFUNCTION("""COMPUTED_VALUE"""),0.0)</f>
        <v>0</v>
      </c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 t="str">
        <f>IFERROR(__xludf.DUMMYFUNCTION("""COMPUTED_VALUE"""),"Mexico")</f>
        <v>Mexico</v>
      </c>
      <c r="B201" s="54">
        <f>IFERROR(__xludf.DUMMYFUNCTION("""COMPUTED_VALUE"""),43395.0)</f>
        <v>43395</v>
      </c>
      <c r="C201" s="19">
        <f>IFERROR(__xludf.DUMMYFUNCTION("""COMPUTED_VALUE"""),43401.0)</f>
        <v>43401</v>
      </c>
      <c r="D201" s="17">
        <f>IFERROR(__xludf.DUMMYFUNCTION("""COMPUTED_VALUE"""),43.0)</f>
        <v>43</v>
      </c>
      <c r="E201" s="17">
        <f>IFERROR(__xludf.DUMMYFUNCTION("""COMPUTED_VALUE"""),13435.0)</f>
        <v>13435</v>
      </c>
      <c r="F201" s="17">
        <f>IFERROR(__xludf.DUMMYFUNCTION("""COMPUTED_VALUE"""),0.0)</f>
        <v>0</v>
      </c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 t="str">
        <f>IFERROR(__xludf.DUMMYFUNCTION("""COMPUTED_VALUE"""),"Mexico")</f>
        <v>Mexico</v>
      </c>
      <c r="B202" s="54">
        <f>IFERROR(__xludf.DUMMYFUNCTION("""COMPUTED_VALUE"""),43402.0)</f>
        <v>43402</v>
      </c>
      <c r="C202" s="19">
        <f>IFERROR(__xludf.DUMMYFUNCTION("""COMPUTED_VALUE"""),43408.0)</f>
        <v>43408</v>
      </c>
      <c r="D202" s="17">
        <f>IFERROR(__xludf.DUMMYFUNCTION("""COMPUTED_VALUE"""),44.0)</f>
        <v>44</v>
      </c>
      <c r="E202" s="17">
        <f>IFERROR(__xludf.DUMMYFUNCTION("""COMPUTED_VALUE"""),13772.0)</f>
        <v>13772</v>
      </c>
      <c r="F202" s="17">
        <f>IFERROR(__xludf.DUMMYFUNCTION("""COMPUTED_VALUE"""),0.0)</f>
        <v>0</v>
      </c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 t="str">
        <f>IFERROR(__xludf.DUMMYFUNCTION("""COMPUTED_VALUE"""),"Mexico")</f>
        <v>Mexico</v>
      </c>
      <c r="B203" s="54">
        <f>IFERROR(__xludf.DUMMYFUNCTION("""COMPUTED_VALUE"""),43409.0)</f>
        <v>43409</v>
      </c>
      <c r="C203" s="19">
        <f>IFERROR(__xludf.DUMMYFUNCTION("""COMPUTED_VALUE"""),43415.0)</f>
        <v>43415</v>
      </c>
      <c r="D203" s="17">
        <f>IFERROR(__xludf.DUMMYFUNCTION("""COMPUTED_VALUE"""),45.0)</f>
        <v>45</v>
      </c>
      <c r="E203" s="17">
        <f>IFERROR(__xludf.DUMMYFUNCTION("""COMPUTED_VALUE"""),13897.0)</f>
        <v>13897</v>
      </c>
      <c r="F203" s="17">
        <f>IFERROR(__xludf.DUMMYFUNCTION("""COMPUTED_VALUE"""),0.0)</f>
        <v>0</v>
      </c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 t="str">
        <f>IFERROR(__xludf.DUMMYFUNCTION("""COMPUTED_VALUE"""),"Mexico")</f>
        <v>Mexico</v>
      </c>
      <c r="B204" s="54">
        <f>IFERROR(__xludf.DUMMYFUNCTION("""COMPUTED_VALUE"""),43416.0)</f>
        <v>43416</v>
      </c>
      <c r="C204" s="19">
        <f>IFERROR(__xludf.DUMMYFUNCTION("""COMPUTED_VALUE"""),43422.0)</f>
        <v>43422</v>
      </c>
      <c r="D204" s="17">
        <f>IFERROR(__xludf.DUMMYFUNCTION("""COMPUTED_VALUE"""),46.0)</f>
        <v>46</v>
      </c>
      <c r="E204" s="17">
        <f>IFERROR(__xludf.DUMMYFUNCTION("""COMPUTED_VALUE"""),14612.0)</f>
        <v>14612</v>
      </c>
      <c r="F204" s="17">
        <f>IFERROR(__xludf.DUMMYFUNCTION("""COMPUTED_VALUE"""),0.0)</f>
        <v>0</v>
      </c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 t="str">
        <f>IFERROR(__xludf.DUMMYFUNCTION("""COMPUTED_VALUE"""),"Mexico")</f>
        <v>Mexico</v>
      </c>
      <c r="B205" s="54">
        <f>IFERROR(__xludf.DUMMYFUNCTION("""COMPUTED_VALUE"""),43423.0)</f>
        <v>43423</v>
      </c>
      <c r="C205" s="19">
        <f>IFERROR(__xludf.DUMMYFUNCTION("""COMPUTED_VALUE"""),43429.0)</f>
        <v>43429</v>
      </c>
      <c r="D205" s="17">
        <f>IFERROR(__xludf.DUMMYFUNCTION("""COMPUTED_VALUE"""),47.0)</f>
        <v>47</v>
      </c>
      <c r="E205" s="17">
        <f>IFERROR(__xludf.DUMMYFUNCTION("""COMPUTED_VALUE"""),15202.0)</f>
        <v>15202</v>
      </c>
      <c r="F205" s="17">
        <f>IFERROR(__xludf.DUMMYFUNCTION("""COMPUTED_VALUE"""),0.0)</f>
        <v>0</v>
      </c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 t="str">
        <f>IFERROR(__xludf.DUMMYFUNCTION("""COMPUTED_VALUE"""),"Mexico")</f>
        <v>Mexico</v>
      </c>
      <c r="B206" s="54">
        <f>IFERROR(__xludf.DUMMYFUNCTION("""COMPUTED_VALUE"""),43430.0)</f>
        <v>43430</v>
      </c>
      <c r="C206" s="19">
        <f>IFERROR(__xludf.DUMMYFUNCTION("""COMPUTED_VALUE"""),43436.0)</f>
        <v>43436</v>
      </c>
      <c r="D206" s="17">
        <f>IFERROR(__xludf.DUMMYFUNCTION("""COMPUTED_VALUE"""),48.0)</f>
        <v>48</v>
      </c>
      <c r="E206" s="17">
        <f>IFERROR(__xludf.DUMMYFUNCTION("""COMPUTED_VALUE"""),14647.0)</f>
        <v>14647</v>
      </c>
      <c r="F206" s="17">
        <f>IFERROR(__xludf.DUMMYFUNCTION("""COMPUTED_VALUE"""),0.0)</f>
        <v>0</v>
      </c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 t="str">
        <f>IFERROR(__xludf.DUMMYFUNCTION("""COMPUTED_VALUE"""),"Mexico")</f>
        <v>Mexico</v>
      </c>
      <c r="B207" s="54">
        <f>IFERROR(__xludf.DUMMYFUNCTION("""COMPUTED_VALUE"""),43437.0)</f>
        <v>43437</v>
      </c>
      <c r="C207" s="19">
        <f>IFERROR(__xludf.DUMMYFUNCTION("""COMPUTED_VALUE"""),43443.0)</f>
        <v>43443</v>
      </c>
      <c r="D207" s="17">
        <f>IFERROR(__xludf.DUMMYFUNCTION("""COMPUTED_VALUE"""),49.0)</f>
        <v>49</v>
      </c>
      <c r="E207" s="17">
        <f>IFERROR(__xludf.DUMMYFUNCTION("""COMPUTED_VALUE"""),14833.0)</f>
        <v>14833</v>
      </c>
      <c r="F207" s="17">
        <f>IFERROR(__xludf.DUMMYFUNCTION("""COMPUTED_VALUE"""),0.0)</f>
        <v>0</v>
      </c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 t="str">
        <f>IFERROR(__xludf.DUMMYFUNCTION("""COMPUTED_VALUE"""),"Mexico")</f>
        <v>Mexico</v>
      </c>
      <c r="B208" s="54">
        <f>IFERROR(__xludf.DUMMYFUNCTION("""COMPUTED_VALUE"""),43444.0)</f>
        <v>43444</v>
      </c>
      <c r="C208" s="19">
        <f>IFERROR(__xludf.DUMMYFUNCTION("""COMPUTED_VALUE"""),43450.0)</f>
        <v>43450</v>
      </c>
      <c r="D208" s="17">
        <f>IFERROR(__xludf.DUMMYFUNCTION("""COMPUTED_VALUE"""),50.0)</f>
        <v>50</v>
      </c>
      <c r="E208" s="17">
        <f>IFERROR(__xludf.DUMMYFUNCTION("""COMPUTED_VALUE"""),15216.0)</f>
        <v>15216</v>
      </c>
      <c r="F208" s="17">
        <f>IFERROR(__xludf.DUMMYFUNCTION("""COMPUTED_VALUE"""),0.0)</f>
        <v>0</v>
      </c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 t="str">
        <f>IFERROR(__xludf.DUMMYFUNCTION("""COMPUTED_VALUE"""),"Mexico")</f>
        <v>Mexico</v>
      </c>
      <c r="B209" s="54">
        <f>IFERROR(__xludf.DUMMYFUNCTION("""COMPUTED_VALUE"""),43451.0)</f>
        <v>43451</v>
      </c>
      <c r="C209" s="19">
        <f>IFERROR(__xludf.DUMMYFUNCTION("""COMPUTED_VALUE"""),43457.0)</f>
        <v>43457</v>
      </c>
      <c r="D209" s="17">
        <f>IFERROR(__xludf.DUMMYFUNCTION("""COMPUTED_VALUE"""),51.0)</f>
        <v>51</v>
      </c>
      <c r="E209" s="17">
        <f>IFERROR(__xludf.DUMMYFUNCTION("""COMPUTED_VALUE"""),16440.0)</f>
        <v>16440</v>
      </c>
      <c r="F209" s="17">
        <f>IFERROR(__xludf.DUMMYFUNCTION("""COMPUTED_VALUE"""),0.0)</f>
        <v>0</v>
      </c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 t="str">
        <f>IFERROR(__xludf.DUMMYFUNCTION("""COMPUTED_VALUE"""),"Mexico")</f>
        <v>Mexico</v>
      </c>
      <c r="B210" s="54">
        <f>IFERROR(__xludf.DUMMYFUNCTION("""COMPUTED_VALUE"""),43458.0)</f>
        <v>43458</v>
      </c>
      <c r="C210" s="19">
        <f>IFERROR(__xludf.DUMMYFUNCTION("""COMPUTED_VALUE"""),43464.0)</f>
        <v>43464</v>
      </c>
      <c r="D210" s="56">
        <f>IFERROR(__xludf.DUMMYFUNCTION("""COMPUTED_VALUE"""),52.0)</f>
        <v>52</v>
      </c>
      <c r="E210" s="17">
        <f>IFERROR(__xludf.DUMMYFUNCTION("""COMPUTED_VALUE"""),17373.0)</f>
        <v>17373</v>
      </c>
      <c r="F210" s="17">
        <f>IFERROR(__xludf.DUMMYFUNCTION("""COMPUTED_VALUE"""),0.0)</f>
        <v>0</v>
      </c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 t="str">
        <f>IFERROR(__xludf.DUMMYFUNCTION("""COMPUTED_VALUE"""),"Mexico")</f>
        <v>Mexico</v>
      </c>
      <c r="B211" s="54">
        <f>IFERROR(__xludf.DUMMYFUNCTION("""COMPUTED_VALUE"""),43465.0)</f>
        <v>43465</v>
      </c>
      <c r="C211" s="19">
        <f>IFERROR(__xludf.DUMMYFUNCTION("""COMPUTED_VALUE"""),43471.0)</f>
        <v>43471</v>
      </c>
      <c r="D211" s="17">
        <f>IFERROR(__xludf.DUMMYFUNCTION("""COMPUTED_VALUE"""),1.0)</f>
        <v>1</v>
      </c>
      <c r="E211" s="17">
        <f>IFERROR(__xludf.DUMMYFUNCTION("""COMPUTED_VALUE"""),17723.0)</f>
        <v>17723</v>
      </c>
      <c r="F211" s="17">
        <f>IFERROR(__xludf.DUMMYFUNCTION("""COMPUTED_VALUE"""),0.0)</f>
        <v>0</v>
      </c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 t="str">
        <f>IFERROR(__xludf.DUMMYFUNCTION("""COMPUTED_VALUE"""),"Mexico")</f>
        <v>Mexico</v>
      </c>
      <c r="B212" s="54">
        <f>IFERROR(__xludf.DUMMYFUNCTION("""COMPUTED_VALUE"""),43472.0)</f>
        <v>43472</v>
      </c>
      <c r="C212" s="19">
        <f>IFERROR(__xludf.DUMMYFUNCTION("""COMPUTED_VALUE"""),43478.0)</f>
        <v>43478</v>
      </c>
      <c r="D212" s="17">
        <f>IFERROR(__xludf.DUMMYFUNCTION("""COMPUTED_VALUE"""),2.0)</f>
        <v>2</v>
      </c>
      <c r="E212" s="17">
        <f>IFERROR(__xludf.DUMMYFUNCTION("""COMPUTED_VALUE"""),16602.0)</f>
        <v>16602</v>
      </c>
      <c r="F212" s="17">
        <f>IFERROR(__xludf.DUMMYFUNCTION("""COMPUTED_VALUE"""),0.0)</f>
        <v>0</v>
      </c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 t="str">
        <f>IFERROR(__xludf.DUMMYFUNCTION("""COMPUTED_VALUE"""),"Mexico")</f>
        <v>Mexico</v>
      </c>
      <c r="B213" s="54">
        <f>IFERROR(__xludf.DUMMYFUNCTION("""COMPUTED_VALUE"""),43479.0)</f>
        <v>43479</v>
      </c>
      <c r="C213" s="19">
        <f>IFERROR(__xludf.DUMMYFUNCTION("""COMPUTED_VALUE"""),43485.0)</f>
        <v>43485</v>
      </c>
      <c r="D213" s="17">
        <f>IFERROR(__xludf.DUMMYFUNCTION("""COMPUTED_VALUE"""),3.0)</f>
        <v>3</v>
      </c>
      <c r="E213" s="17">
        <f>IFERROR(__xludf.DUMMYFUNCTION("""COMPUTED_VALUE"""),16252.0)</f>
        <v>16252</v>
      </c>
      <c r="F213" s="17">
        <f>IFERROR(__xludf.DUMMYFUNCTION("""COMPUTED_VALUE"""),0.0)</f>
        <v>0</v>
      </c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 t="str">
        <f>IFERROR(__xludf.DUMMYFUNCTION("""COMPUTED_VALUE"""),"Mexico")</f>
        <v>Mexico</v>
      </c>
      <c r="B214" s="54">
        <f>IFERROR(__xludf.DUMMYFUNCTION("""COMPUTED_VALUE"""),43486.0)</f>
        <v>43486</v>
      </c>
      <c r="C214" s="19">
        <f>IFERROR(__xludf.DUMMYFUNCTION("""COMPUTED_VALUE"""),43492.0)</f>
        <v>43492</v>
      </c>
      <c r="D214" s="17">
        <f>IFERROR(__xludf.DUMMYFUNCTION("""COMPUTED_VALUE"""),4.0)</f>
        <v>4</v>
      </c>
      <c r="E214" s="17">
        <f>IFERROR(__xludf.DUMMYFUNCTION("""COMPUTED_VALUE"""),15864.0)</f>
        <v>15864</v>
      </c>
      <c r="F214" s="17">
        <f>IFERROR(__xludf.DUMMYFUNCTION("""COMPUTED_VALUE"""),0.0)</f>
        <v>0</v>
      </c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 t="str">
        <f>IFERROR(__xludf.DUMMYFUNCTION("""COMPUTED_VALUE"""),"Mexico")</f>
        <v>Mexico</v>
      </c>
      <c r="B215" s="54">
        <f>IFERROR(__xludf.DUMMYFUNCTION("""COMPUTED_VALUE"""),43493.0)</f>
        <v>43493</v>
      </c>
      <c r="C215" s="19">
        <f>IFERROR(__xludf.DUMMYFUNCTION("""COMPUTED_VALUE"""),43499.0)</f>
        <v>43499</v>
      </c>
      <c r="D215" s="17">
        <f>IFERROR(__xludf.DUMMYFUNCTION("""COMPUTED_VALUE"""),5.0)</f>
        <v>5</v>
      </c>
      <c r="E215" s="17">
        <f>IFERROR(__xludf.DUMMYFUNCTION("""COMPUTED_VALUE"""),15862.0)</f>
        <v>15862</v>
      </c>
      <c r="F215" s="17">
        <f>IFERROR(__xludf.DUMMYFUNCTION("""COMPUTED_VALUE"""),0.0)</f>
        <v>0</v>
      </c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 t="str">
        <f>IFERROR(__xludf.DUMMYFUNCTION("""COMPUTED_VALUE"""),"Mexico")</f>
        <v>Mexico</v>
      </c>
      <c r="B216" s="54">
        <f>IFERROR(__xludf.DUMMYFUNCTION("""COMPUTED_VALUE"""),43500.0)</f>
        <v>43500</v>
      </c>
      <c r="C216" s="19">
        <f>IFERROR(__xludf.DUMMYFUNCTION("""COMPUTED_VALUE"""),43506.0)</f>
        <v>43506</v>
      </c>
      <c r="D216" s="17">
        <f>IFERROR(__xludf.DUMMYFUNCTION("""COMPUTED_VALUE"""),6.0)</f>
        <v>6</v>
      </c>
      <c r="E216" s="17">
        <f>IFERROR(__xludf.DUMMYFUNCTION("""COMPUTED_VALUE"""),15689.0)</f>
        <v>15689</v>
      </c>
      <c r="F216" s="17">
        <f>IFERROR(__xludf.DUMMYFUNCTION("""COMPUTED_VALUE"""),0.0)</f>
        <v>0</v>
      </c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 t="str">
        <f>IFERROR(__xludf.DUMMYFUNCTION("""COMPUTED_VALUE"""),"Mexico")</f>
        <v>Mexico</v>
      </c>
      <c r="B217" s="54">
        <f>IFERROR(__xludf.DUMMYFUNCTION("""COMPUTED_VALUE"""),43507.0)</f>
        <v>43507</v>
      </c>
      <c r="C217" s="19">
        <f>IFERROR(__xludf.DUMMYFUNCTION("""COMPUTED_VALUE"""),43513.0)</f>
        <v>43513</v>
      </c>
      <c r="D217" s="17">
        <f>IFERROR(__xludf.DUMMYFUNCTION("""COMPUTED_VALUE"""),7.0)</f>
        <v>7</v>
      </c>
      <c r="E217" s="17">
        <f>IFERROR(__xludf.DUMMYFUNCTION("""COMPUTED_VALUE"""),15445.0)</f>
        <v>15445</v>
      </c>
      <c r="F217" s="17">
        <f>IFERROR(__xludf.DUMMYFUNCTION("""COMPUTED_VALUE"""),0.0)</f>
        <v>0</v>
      </c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 t="str">
        <f>IFERROR(__xludf.DUMMYFUNCTION("""COMPUTED_VALUE"""),"Mexico")</f>
        <v>Mexico</v>
      </c>
      <c r="B218" s="54">
        <f>IFERROR(__xludf.DUMMYFUNCTION("""COMPUTED_VALUE"""),43514.0)</f>
        <v>43514</v>
      </c>
      <c r="C218" s="19">
        <f>IFERROR(__xludf.DUMMYFUNCTION("""COMPUTED_VALUE"""),43520.0)</f>
        <v>43520</v>
      </c>
      <c r="D218" s="17">
        <f>IFERROR(__xludf.DUMMYFUNCTION("""COMPUTED_VALUE"""),8.0)</f>
        <v>8</v>
      </c>
      <c r="E218" s="17">
        <f>IFERROR(__xludf.DUMMYFUNCTION("""COMPUTED_VALUE"""),14755.0)</f>
        <v>14755</v>
      </c>
      <c r="F218" s="17">
        <f>IFERROR(__xludf.DUMMYFUNCTION("""COMPUTED_VALUE"""),0.0)</f>
        <v>0</v>
      </c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 t="str">
        <f>IFERROR(__xludf.DUMMYFUNCTION("""COMPUTED_VALUE"""),"Mexico")</f>
        <v>Mexico</v>
      </c>
      <c r="B219" s="54">
        <f>IFERROR(__xludf.DUMMYFUNCTION("""COMPUTED_VALUE"""),43521.0)</f>
        <v>43521</v>
      </c>
      <c r="C219" s="19">
        <f>IFERROR(__xludf.DUMMYFUNCTION("""COMPUTED_VALUE"""),43527.0)</f>
        <v>43527</v>
      </c>
      <c r="D219" s="17">
        <f>IFERROR(__xludf.DUMMYFUNCTION("""COMPUTED_VALUE"""),9.0)</f>
        <v>9</v>
      </c>
      <c r="E219" s="17">
        <f>IFERROR(__xludf.DUMMYFUNCTION("""COMPUTED_VALUE"""),14639.0)</f>
        <v>14639</v>
      </c>
      <c r="F219" s="17">
        <f>IFERROR(__xludf.DUMMYFUNCTION("""COMPUTED_VALUE"""),0.0)</f>
        <v>0</v>
      </c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 t="str">
        <f>IFERROR(__xludf.DUMMYFUNCTION("""COMPUTED_VALUE"""),"Mexico")</f>
        <v>Mexico</v>
      </c>
      <c r="B220" s="54">
        <f>IFERROR(__xludf.DUMMYFUNCTION("""COMPUTED_VALUE"""),43528.0)</f>
        <v>43528</v>
      </c>
      <c r="C220" s="19">
        <f>IFERROR(__xludf.DUMMYFUNCTION("""COMPUTED_VALUE"""),43534.0)</f>
        <v>43534</v>
      </c>
      <c r="D220" s="17">
        <f>IFERROR(__xludf.DUMMYFUNCTION("""COMPUTED_VALUE"""),10.0)</f>
        <v>10</v>
      </c>
      <c r="E220" s="17">
        <f>IFERROR(__xludf.DUMMYFUNCTION("""COMPUTED_VALUE"""),14391.0)</f>
        <v>14391</v>
      </c>
      <c r="F220" s="17">
        <f>IFERROR(__xludf.DUMMYFUNCTION("""COMPUTED_VALUE"""),0.0)</f>
        <v>0</v>
      </c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 t="str">
        <f>IFERROR(__xludf.DUMMYFUNCTION("""COMPUTED_VALUE"""),"Mexico")</f>
        <v>Mexico</v>
      </c>
      <c r="B221" s="54">
        <f>IFERROR(__xludf.DUMMYFUNCTION("""COMPUTED_VALUE"""),43535.0)</f>
        <v>43535</v>
      </c>
      <c r="C221" s="19">
        <f>IFERROR(__xludf.DUMMYFUNCTION("""COMPUTED_VALUE"""),43541.0)</f>
        <v>43541</v>
      </c>
      <c r="D221" s="17">
        <f>IFERROR(__xludf.DUMMYFUNCTION("""COMPUTED_VALUE"""),11.0)</f>
        <v>11</v>
      </c>
      <c r="E221" s="17">
        <f>IFERROR(__xludf.DUMMYFUNCTION("""COMPUTED_VALUE"""),13749.0)</f>
        <v>13749</v>
      </c>
      <c r="F221" s="17">
        <f>IFERROR(__xludf.DUMMYFUNCTION("""COMPUTED_VALUE"""),0.0)</f>
        <v>0</v>
      </c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 t="str">
        <f>IFERROR(__xludf.DUMMYFUNCTION("""COMPUTED_VALUE"""),"Mexico")</f>
        <v>Mexico</v>
      </c>
      <c r="B222" s="54">
        <f>IFERROR(__xludf.DUMMYFUNCTION("""COMPUTED_VALUE"""),43542.0)</f>
        <v>43542</v>
      </c>
      <c r="C222" s="19">
        <f>IFERROR(__xludf.DUMMYFUNCTION("""COMPUTED_VALUE"""),43548.0)</f>
        <v>43548</v>
      </c>
      <c r="D222" s="17">
        <f>IFERROR(__xludf.DUMMYFUNCTION("""COMPUTED_VALUE"""),12.0)</f>
        <v>12</v>
      </c>
      <c r="E222" s="17">
        <f>IFERROR(__xludf.DUMMYFUNCTION("""COMPUTED_VALUE"""),13660.0)</f>
        <v>13660</v>
      </c>
      <c r="F222" s="17">
        <f>IFERROR(__xludf.DUMMYFUNCTION("""COMPUTED_VALUE"""),0.0)</f>
        <v>0</v>
      </c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 t="str">
        <f>IFERROR(__xludf.DUMMYFUNCTION("""COMPUTED_VALUE"""),"Mexico")</f>
        <v>Mexico</v>
      </c>
      <c r="B223" s="54">
        <f>IFERROR(__xludf.DUMMYFUNCTION("""COMPUTED_VALUE"""),43549.0)</f>
        <v>43549</v>
      </c>
      <c r="C223" s="19">
        <f>IFERROR(__xludf.DUMMYFUNCTION("""COMPUTED_VALUE"""),43555.0)</f>
        <v>43555</v>
      </c>
      <c r="D223" s="17">
        <f>IFERROR(__xludf.DUMMYFUNCTION("""COMPUTED_VALUE"""),13.0)</f>
        <v>13</v>
      </c>
      <c r="E223" s="17">
        <f>IFERROR(__xludf.DUMMYFUNCTION("""COMPUTED_VALUE"""),13903.0)</f>
        <v>13903</v>
      </c>
      <c r="F223" s="17">
        <f>IFERROR(__xludf.DUMMYFUNCTION("""COMPUTED_VALUE"""),0.0)</f>
        <v>0</v>
      </c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 t="str">
        <f>IFERROR(__xludf.DUMMYFUNCTION("""COMPUTED_VALUE"""),"Mexico")</f>
        <v>Mexico</v>
      </c>
      <c r="B224" s="54">
        <f>IFERROR(__xludf.DUMMYFUNCTION("""COMPUTED_VALUE"""),43556.0)</f>
        <v>43556</v>
      </c>
      <c r="C224" s="19">
        <f>IFERROR(__xludf.DUMMYFUNCTION("""COMPUTED_VALUE"""),43562.0)</f>
        <v>43562</v>
      </c>
      <c r="D224" s="17">
        <f>IFERROR(__xludf.DUMMYFUNCTION("""COMPUTED_VALUE"""),14.0)</f>
        <v>14</v>
      </c>
      <c r="E224" s="17">
        <f>IFERROR(__xludf.DUMMYFUNCTION("""COMPUTED_VALUE"""),14049.0)</f>
        <v>14049</v>
      </c>
      <c r="F224" s="17">
        <f>IFERROR(__xludf.DUMMYFUNCTION("""COMPUTED_VALUE"""),0.0)</f>
        <v>0</v>
      </c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 t="str">
        <f>IFERROR(__xludf.DUMMYFUNCTION("""COMPUTED_VALUE"""),"Mexico")</f>
        <v>Mexico</v>
      </c>
      <c r="B225" s="54">
        <f>IFERROR(__xludf.DUMMYFUNCTION("""COMPUTED_VALUE"""),43563.0)</f>
        <v>43563</v>
      </c>
      <c r="C225" s="19">
        <f>IFERROR(__xludf.DUMMYFUNCTION("""COMPUTED_VALUE"""),43569.0)</f>
        <v>43569</v>
      </c>
      <c r="D225" s="17">
        <f>IFERROR(__xludf.DUMMYFUNCTION("""COMPUTED_VALUE"""),15.0)</f>
        <v>15</v>
      </c>
      <c r="E225" s="17">
        <f>IFERROR(__xludf.DUMMYFUNCTION("""COMPUTED_VALUE"""),13718.0)</f>
        <v>13718</v>
      </c>
      <c r="F225" s="17">
        <f>IFERROR(__xludf.DUMMYFUNCTION("""COMPUTED_VALUE"""),0.0)</f>
        <v>0</v>
      </c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 t="str">
        <f>IFERROR(__xludf.DUMMYFUNCTION("""COMPUTED_VALUE"""),"Mexico")</f>
        <v>Mexico</v>
      </c>
      <c r="B226" s="54">
        <f>IFERROR(__xludf.DUMMYFUNCTION("""COMPUTED_VALUE"""),43570.0)</f>
        <v>43570</v>
      </c>
      <c r="C226" s="19">
        <f>IFERROR(__xludf.DUMMYFUNCTION("""COMPUTED_VALUE"""),43576.0)</f>
        <v>43576</v>
      </c>
      <c r="D226" s="17">
        <f>IFERROR(__xludf.DUMMYFUNCTION("""COMPUTED_VALUE"""),16.0)</f>
        <v>16</v>
      </c>
      <c r="E226" s="17">
        <f>IFERROR(__xludf.DUMMYFUNCTION("""COMPUTED_VALUE"""),13743.0)</f>
        <v>13743</v>
      </c>
      <c r="F226" s="17">
        <f>IFERROR(__xludf.DUMMYFUNCTION("""COMPUTED_VALUE"""),0.0)</f>
        <v>0</v>
      </c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 t="str">
        <f>IFERROR(__xludf.DUMMYFUNCTION("""COMPUTED_VALUE"""),"Mexico")</f>
        <v>Mexico</v>
      </c>
      <c r="B227" s="54">
        <f>IFERROR(__xludf.DUMMYFUNCTION("""COMPUTED_VALUE"""),43577.0)</f>
        <v>43577</v>
      </c>
      <c r="C227" s="19">
        <f>IFERROR(__xludf.DUMMYFUNCTION("""COMPUTED_VALUE"""),43583.0)</f>
        <v>43583</v>
      </c>
      <c r="D227" s="17">
        <f>IFERROR(__xludf.DUMMYFUNCTION("""COMPUTED_VALUE"""),17.0)</f>
        <v>17</v>
      </c>
      <c r="E227" s="17">
        <f>IFERROR(__xludf.DUMMYFUNCTION("""COMPUTED_VALUE"""),13718.0)</f>
        <v>13718</v>
      </c>
      <c r="F227" s="17">
        <f>IFERROR(__xludf.DUMMYFUNCTION("""COMPUTED_VALUE"""),0.0)</f>
        <v>0</v>
      </c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 t="str">
        <f>IFERROR(__xludf.DUMMYFUNCTION("""COMPUTED_VALUE"""),"Mexico")</f>
        <v>Mexico</v>
      </c>
      <c r="B228" s="54">
        <f>IFERROR(__xludf.DUMMYFUNCTION("""COMPUTED_VALUE"""),43584.0)</f>
        <v>43584</v>
      </c>
      <c r="C228" s="19">
        <f>IFERROR(__xludf.DUMMYFUNCTION("""COMPUTED_VALUE"""),43590.0)</f>
        <v>43590</v>
      </c>
      <c r="D228" s="17">
        <f>IFERROR(__xludf.DUMMYFUNCTION("""COMPUTED_VALUE"""),18.0)</f>
        <v>18</v>
      </c>
      <c r="E228" s="17">
        <f>IFERROR(__xludf.DUMMYFUNCTION("""COMPUTED_VALUE"""),13698.0)</f>
        <v>13698</v>
      </c>
      <c r="F228" s="17">
        <f>IFERROR(__xludf.DUMMYFUNCTION("""COMPUTED_VALUE"""),0.0)</f>
        <v>0</v>
      </c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 t="str">
        <f>IFERROR(__xludf.DUMMYFUNCTION("""COMPUTED_VALUE"""),"Mexico")</f>
        <v>Mexico</v>
      </c>
      <c r="B229" s="54">
        <f>IFERROR(__xludf.DUMMYFUNCTION("""COMPUTED_VALUE"""),43591.0)</f>
        <v>43591</v>
      </c>
      <c r="C229" s="19">
        <f>IFERROR(__xludf.DUMMYFUNCTION("""COMPUTED_VALUE"""),43597.0)</f>
        <v>43597</v>
      </c>
      <c r="D229" s="17">
        <f>IFERROR(__xludf.DUMMYFUNCTION("""COMPUTED_VALUE"""),19.0)</f>
        <v>19</v>
      </c>
      <c r="E229" s="17">
        <f>IFERROR(__xludf.DUMMYFUNCTION("""COMPUTED_VALUE"""),13792.0)</f>
        <v>13792</v>
      </c>
      <c r="F229" s="17">
        <f>IFERROR(__xludf.DUMMYFUNCTION("""COMPUTED_VALUE"""),0.0)</f>
        <v>0</v>
      </c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 t="str">
        <f>IFERROR(__xludf.DUMMYFUNCTION("""COMPUTED_VALUE"""),"Mexico")</f>
        <v>Mexico</v>
      </c>
      <c r="B230" s="54">
        <f>IFERROR(__xludf.DUMMYFUNCTION("""COMPUTED_VALUE"""),43598.0)</f>
        <v>43598</v>
      </c>
      <c r="C230" s="19">
        <f>IFERROR(__xludf.DUMMYFUNCTION("""COMPUTED_VALUE"""),43604.0)</f>
        <v>43604</v>
      </c>
      <c r="D230" s="17">
        <f>IFERROR(__xludf.DUMMYFUNCTION("""COMPUTED_VALUE"""),20.0)</f>
        <v>20</v>
      </c>
      <c r="E230" s="17">
        <f>IFERROR(__xludf.DUMMYFUNCTION("""COMPUTED_VALUE"""),13590.0)</f>
        <v>13590</v>
      </c>
      <c r="F230" s="17">
        <f>IFERROR(__xludf.DUMMYFUNCTION("""COMPUTED_VALUE"""),0.0)</f>
        <v>0</v>
      </c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 t="str">
        <f>IFERROR(__xludf.DUMMYFUNCTION("""COMPUTED_VALUE"""),"Mexico")</f>
        <v>Mexico</v>
      </c>
      <c r="B231" s="54">
        <f>IFERROR(__xludf.DUMMYFUNCTION("""COMPUTED_VALUE"""),43605.0)</f>
        <v>43605</v>
      </c>
      <c r="C231" s="19">
        <f>IFERROR(__xludf.DUMMYFUNCTION("""COMPUTED_VALUE"""),43611.0)</f>
        <v>43611</v>
      </c>
      <c r="D231" s="17">
        <f>IFERROR(__xludf.DUMMYFUNCTION("""COMPUTED_VALUE"""),21.0)</f>
        <v>21</v>
      </c>
      <c r="E231" s="17">
        <f>IFERROR(__xludf.DUMMYFUNCTION("""COMPUTED_VALUE"""),14160.0)</f>
        <v>14160</v>
      </c>
      <c r="F231" s="17">
        <f>IFERROR(__xludf.DUMMYFUNCTION("""COMPUTED_VALUE"""),0.0)</f>
        <v>0</v>
      </c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 t="str">
        <f>IFERROR(__xludf.DUMMYFUNCTION("""COMPUTED_VALUE"""),"Mexico")</f>
        <v>Mexico</v>
      </c>
      <c r="B232" s="54">
        <f>IFERROR(__xludf.DUMMYFUNCTION("""COMPUTED_VALUE"""),43612.0)</f>
        <v>43612</v>
      </c>
      <c r="C232" s="19">
        <f>IFERROR(__xludf.DUMMYFUNCTION("""COMPUTED_VALUE"""),43618.0)</f>
        <v>43618</v>
      </c>
      <c r="D232" s="17">
        <f>IFERROR(__xludf.DUMMYFUNCTION("""COMPUTED_VALUE"""),22.0)</f>
        <v>22</v>
      </c>
      <c r="E232" s="17">
        <f>IFERROR(__xludf.DUMMYFUNCTION("""COMPUTED_VALUE"""),13438.0)</f>
        <v>13438</v>
      </c>
      <c r="F232" s="17">
        <f>IFERROR(__xludf.DUMMYFUNCTION("""COMPUTED_VALUE"""),0.0)</f>
        <v>0</v>
      </c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 t="str">
        <f>IFERROR(__xludf.DUMMYFUNCTION("""COMPUTED_VALUE"""),"Mexico")</f>
        <v>Mexico</v>
      </c>
      <c r="B233" s="54">
        <f>IFERROR(__xludf.DUMMYFUNCTION("""COMPUTED_VALUE"""),43619.0)</f>
        <v>43619</v>
      </c>
      <c r="C233" s="19">
        <f>IFERROR(__xludf.DUMMYFUNCTION("""COMPUTED_VALUE"""),43625.0)</f>
        <v>43625</v>
      </c>
      <c r="D233" s="17">
        <f>IFERROR(__xludf.DUMMYFUNCTION("""COMPUTED_VALUE"""),23.0)</f>
        <v>23</v>
      </c>
      <c r="E233" s="17">
        <f>IFERROR(__xludf.DUMMYFUNCTION("""COMPUTED_VALUE"""),13382.0)</f>
        <v>13382</v>
      </c>
      <c r="F233" s="17">
        <f>IFERROR(__xludf.DUMMYFUNCTION("""COMPUTED_VALUE"""),0.0)</f>
        <v>0</v>
      </c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 t="str">
        <f>IFERROR(__xludf.DUMMYFUNCTION("""COMPUTED_VALUE"""),"Mexico")</f>
        <v>Mexico</v>
      </c>
      <c r="B234" s="54">
        <f>IFERROR(__xludf.DUMMYFUNCTION("""COMPUTED_VALUE"""),43626.0)</f>
        <v>43626</v>
      </c>
      <c r="C234" s="19">
        <f>IFERROR(__xludf.DUMMYFUNCTION("""COMPUTED_VALUE"""),43632.0)</f>
        <v>43632</v>
      </c>
      <c r="D234" s="17">
        <f>IFERROR(__xludf.DUMMYFUNCTION("""COMPUTED_VALUE"""),24.0)</f>
        <v>24</v>
      </c>
      <c r="E234" s="17">
        <f>IFERROR(__xludf.DUMMYFUNCTION("""COMPUTED_VALUE"""),13398.0)</f>
        <v>13398</v>
      </c>
      <c r="F234" s="17">
        <f>IFERROR(__xludf.DUMMYFUNCTION("""COMPUTED_VALUE"""),0.0)</f>
        <v>0</v>
      </c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 t="str">
        <f>IFERROR(__xludf.DUMMYFUNCTION("""COMPUTED_VALUE"""),"Mexico")</f>
        <v>Mexico</v>
      </c>
      <c r="B235" s="54">
        <f>IFERROR(__xludf.DUMMYFUNCTION("""COMPUTED_VALUE"""),43633.0)</f>
        <v>43633</v>
      </c>
      <c r="C235" s="19">
        <f>IFERROR(__xludf.DUMMYFUNCTION("""COMPUTED_VALUE"""),43639.0)</f>
        <v>43639</v>
      </c>
      <c r="D235" s="17">
        <f>IFERROR(__xludf.DUMMYFUNCTION("""COMPUTED_VALUE"""),25.0)</f>
        <v>25</v>
      </c>
      <c r="E235" s="17">
        <f>IFERROR(__xludf.DUMMYFUNCTION("""COMPUTED_VALUE"""),13562.0)</f>
        <v>13562</v>
      </c>
      <c r="F235" s="17">
        <f>IFERROR(__xludf.DUMMYFUNCTION("""COMPUTED_VALUE"""),0.0)</f>
        <v>0</v>
      </c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 t="str">
        <f>IFERROR(__xludf.DUMMYFUNCTION("""COMPUTED_VALUE"""),"Mexico")</f>
        <v>Mexico</v>
      </c>
      <c r="B236" s="54">
        <f>IFERROR(__xludf.DUMMYFUNCTION("""COMPUTED_VALUE"""),43640.0)</f>
        <v>43640</v>
      </c>
      <c r="C236" s="19">
        <f>IFERROR(__xludf.DUMMYFUNCTION("""COMPUTED_VALUE"""),43646.0)</f>
        <v>43646</v>
      </c>
      <c r="D236" s="17">
        <f>IFERROR(__xludf.DUMMYFUNCTION("""COMPUTED_VALUE"""),26.0)</f>
        <v>26</v>
      </c>
      <c r="E236" s="17">
        <f>IFERROR(__xludf.DUMMYFUNCTION("""COMPUTED_VALUE"""),13111.0)</f>
        <v>13111</v>
      </c>
      <c r="F236" s="17">
        <f>IFERROR(__xludf.DUMMYFUNCTION("""COMPUTED_VALUE"""),0.0)</f>
        <v>0</v>
      </c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 t="str">
        <f>IFERROR(__xludf.DUMMYFUNCTION("""COMPUTED_VALUE"""),"Mexico")</f>
        <v>Mexico</v>
      </c>
      <c r="B237" s="54">
        <f>IFERROR(__xludf.DUMMYFUNCTION("""COMPUTED_VALUE"""),43647.0)</f>
        <v>43647</v>
      </c>
      <c r="C237" s="19">
        <f>IFERROR(__xludf.DUMMYFUNCTION("""COMPUTED_VALUE"""),43653.0)</f>
        <v>43653</v>
      </c>
      <c r="D237" s="17">
        <f>IFERROR(__xludf.DUMMYFUNCTION("""COMPUTED_VALUE"""),27.0)</f>
        <v>27</v>
      </c>
      <c r="E237" s="17">
        <f>IFERROR(__xludf.DUMMYFUNCTION("""COMPUTED_VALUE"""),13496.0)</f>
        <v>13496</v>
      </c>
      <c r="F237" s="17">
        <f>IFERROR(__xludf.DUMMYFUNCTION("""COMPUTED_VALUE"""),0.0)</f>
        <v>0</v>
      </c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 t="str">
        <f>IFERROR(__xludf.DUMMYFUNCTION("""COMPUTED_VALUE"""),"Mexico")</f>
        <v>Mexico</v>
      </c>
      <c r="B238" s="54">
        <f>IFERROR(__xludf.DUMMYFUNCTION("""COMPUTED_VALUE"""),43654.0)</f>
        <v>43654</v>
      </c>
      <c r="C238" s="19">
        <f>IFERROR(__xludf.DUMMYFUNCTION("""COMPUTED_VALUE"""),43660.0)</f>
        <v>43660</v>
      </c>
      <c r="D238" s="17">
        <f>IFERROR(__xludf.DUMMYFUNCTION("""COMPUTED_VALUE"""),28.0)</f>
        <v>28</v>
      </c>
      <c r="E238" s="17">
        <f>IFERROR(__xludf.DUMMYFUNCTION("""COMPUTED_VALUE"""),13146.0)</f>
        <v>13146</v>
      </c>
      <c r="F238" s="17">
        <f>IFERROR(__xludf.DUMMYFUNCTION("""COMPUTED_VALUE"""),0.0)</f>
        <v>0</v>
      </c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 t="str">
        <f>IFERROR(__xludf.DUMMYFUNCTION("""COMPUTED_VALUE"""),"Mexico")</f>
        <v>Mexico</v>
      </c>
      <c r="B239" s="54">
        <f>IFERROR(__xludf.DUMMYFUNCTION("""COMPUTED_VALUE"""),43661.0)</f>
        <v>43661</v>
      </c>
      <c r="C239" s="19">
        <f>IFERROR(__xludf.DUMMYFUNCTION("""COMPUTED_VALUE"""),43667.0)</f>
        <v>43667</v>
      </c>
      <c r="D239" s="17">
        <f>IFERROR(__xludf.DUMMYFUNCTION("""COMPUTED_VALUE"""),29.0)</f>
        <v>29</v>
      </c>
      <c r="E239" s="17">
        <f>IFERROR(__xludf.DUMMYFUNCTION("""COMPUTED_VALUE"""),13276.0)</f>
        <v>13276</v>
      </c>
      <c r="F239" s="17">
        <f>IFERROR(__xludf.DUMMYFUNCTION("""COMPUTED_VALUE"""),0.0)</f>
        <v>0</v>
      </c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 t="str">
        <f>IFERROR(__xludf.DUMMYFUNCTION("""COMPUTED_VALUE"""),"Mexico")</f>
        <v>Mexico</v>
      </c>
      <c r="B240" s="54">
        <f>IFERROR(__xludf.DUMMYFUNCTION("""COMPUTED_VALUE"""),43668.0)</f>
        <v>43668</v>
      </c>
      <c r="C240" s="19">
        <f>IFERROR(__xludf.DUMMYFUNCTION("""COMPUTED_VALUE"""),43674.0)</f>
        <v>43674</v>
      </c>
      <c r="D240" s="17">
        <f>IFERROR(__xludf.DUMMYFUNCTION("""COMPUTED_VALUE"""),30.0)</f>
        <v>30</v>
      </c>
      <c r="E240" s="17">
        <f>IFERROR(__xludf.DUMMYFUNCTION("""COMPUTED_VALUE"""),13256.0)</f>
        <v>13256</v>
      </c>
      <c r="F240" s="17">
        <f>IFERROR(__xludf.DUMMYFUNCTION("""COMPUTED_VALUE"""),0.0)</f>
        <v>0</v>
      </c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 t="str">
        <f>IFERROR(__xludf.DUMMYFUNCTION("""COMPUTED_VALUE"""),"Mexico")</f>
        <v>Mexico</v>
      </c>
      <c r="B241" s="54">
        <f>IFERROR(__xludf.DUMMYFUNCTION("""COMPUTED_VALUE"""),43675.0)</f>
        <v>43675</v>
      </c>
      <c r="C241" s="19">
        <f>IFERROR(__xludf.DUMMYFUNCTION("""COMPUTED_VALUE"""),43681.0)</f>
        <v>43681</v>
      </c>
      <c r="D241" s="17">
        <f>IFERROR(__xludf.DUMMYFUNCTION("""COMPUTED_VALUE"""),31.0)</f>
        <v>31</v>
      </c>
      <c r="E241" s="17">
        <f>IFERROR(__xludf.DUMMYFUNCTION("""COMPUTED_VALUE"""),13596.0)</f>
        <v>13596</v>
      </c>
      <c r="F241" s="17">
        <f>IFERROR(__xludf.DUMMYFUNCTION("""COMPUTED_VALUE"""),0.0)</f>
        <v>0</v>
      </c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 t="str">
        <f>IFERROR(__xludf.DUMMYFUNCTION("""COMPUTED_VALUE"""),"Mexico")</f>
        <v>Mexico</v>
      </c>
      <c r="B242" s="54">
        <f>IFERROR(__xludf.DUMMYFUNCTION("""COMPUTED_VALUE"""),43682.0)</f>
        <v>43682</v>
      </c>
      <c r="C242" s="19">
        <f>IFERROR(__xludf.DUMMYFUNCTION("""COMPUTED_VALUE"""),43688.0)</f>
        <v>43688</v>
      </c>
      <c r="D242" s="17">
        <f>IFERROR(__xludf.DUMMYFUNCTION("""COMPUTED_VALUE"""),32.0)</f>
        <v>32</v>
      </c>
      <c r="E242" s="17">
        <f>IFERROR(__xludf.DUMMYFUNCTION("""COMPUTED_VALUE"""),13242.0)</f>
        <v>13242</v>
      </c>
      <c r="F242" s="17">
        <f>IFERROR(__xludf.DUMMYFUNCTION("""COMPUTED_VALUE"""),0.0)</f>
        <v>0</v>
      </c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 t="str">
        <f>IFERROR(__xludf.DUMMYFUNCTION("""COMPUTED_VALUE"""),"Mexico")</f>
        <v>Mexico</v>
      </c>
      <c r="B243" s="54">
        <f>IFERROR(__xludf.DUMMYFUNCTION("""COMPUTED_VALUE"""),43689.0)</f>
        <v>43689</v>
      </c>
      <c r="C243" s="19">
        <f>IFERROR(__xludf.DUMMYFUNCTION("""COMPUTED_VALUE"""),43695.0)</f>
        <v>43695</v>
      </c>
      <c r="D243" s="17">
        <f>IFERROR(__xludf.DUMMYFUNCTION("""COMPUTED_VALUE"""),33.0)</f>
        <v>33</v>
      </c>
      <c r="E243" s="17">
        <f>IFERROR(__xludf.DUMMYFUNCTION("""COMPUTED_VALUE"""),13610.0)</f>
        <v>13610</v>
      </c>
      <c r="F243" s="17">
        <f>IFERROR(__xludf.DUMMYFUNCTION("""COMPUTED_VALUE"""),0.0)</f>
        <v>0</v>
      </c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 t="str">
        <f>IFERROR(__xludf.DUMMYFUNCTION("""COMPUTED_VALUE"""),"Mexico")</f>
        <v>Mexico</v>
      </c>
      <c r="B244" s="54">
        <f>IFERROR(__xludf.DUMMYFUNCTION("""COMPUTED_VALUE"""),43696.0)</f>
        <v>43696</v>
      </c>
      <c r="C244" s="19">
        <f>IFERROR(__xludf.DUMMYFUNCTION("""COMPUTED_VALUE"""),43702.0)</f>
        <v>43702</v>
      </c>
      <c r="D244" s="17">
        <f>IFERROR(__xludf.DUMMYFUNCTION("""COMPUTED_VALUE"""),34.0)</f>
        <v>34</v>
      </c>
      <c r="E244" s="17">
        <f>IFERROR(__xludf.DUMMYFUNCTION("""COMPUTED_VALUE"""),13293.0)</f>
        <v>13293</v>
      </c>
      <c r="F244" s="17">
        <f>IFERROR(__xludf.DUMMYFUNCTION("""COMPUTED_VALUE"""),0.0)</f>
        <v>0</v>
      </c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 t="str">
        <f>IFERROR(__xludf.DUMMYFUNCTION("""COMPUTED_VALUE"""),"Mexico")</f>
        <v>Mexico</v>
      </c>
      <c r="B245" s="54">
        <f>IFERROR(__xludf.DUMMYFUNCTION("""COMPUTED_VALUE"""),43703.0)</f>
        <v>43703</v>
      </c>
      <c r="C245" s="19">
        <f>IFERROR(__xludf.DUMMYFUNCTION("""COMPUTED_VALUE"""),43709.0)</f>
        <v>43709</v>
      </c>
      <c r="D245" s="17">
        <f>IFERROR(__xludf.DUMMYFUNCTION("""COMPUTED_VALUE"""),35.0)</f>
        <v>35</v>
      </c>
      <c r="E245" s="17">
        <f>IFERROR(__xludf.DUMMYFUNCTION("""COMPUTED_VALUE"""),13023.0)</f>
        <v>13023</v>
      </c>
      <c r="F245" s="17">
        <f>IFERROR(__xludf.DUMMYFUNCTION("""COMPUTED_VALUE"""),0.0)</f>
        <v>0</v>
      </c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 t="str">
        <f>IFERROR(__xludf.DUMMYFUNCTION("""COMPUTED_VALUE"""),"Mexico")</f>
        <v>Mexico</v>
      </c>
      <c r="B246" s="54">
        <f>IFERROR(__xludf.DUMMYFUNCTION("""COMPUTED_VALUE"""),43710.0)</f>
        <v>43710</v>
      </c>
      <c r="C246" s="19">
        <f>IFERROR(__xludf.DUMMYFUNCTION("""COMPUTED_VALUE"""),43716.0)</f>
        <v>43716</v>
      </c>
      <c r="D246" s="17">
        <f>IFERROR(__xludf.DUMMYFUNCTION("""COMPUTED_VALUE"""),36.0)</f>
        <v>36</v>
      </c>
      <c r="E246" s="17">
        <f>IFERROR(__xludf.DUMMYFUNCTION("""COMPUTED_VALUE"""),12986.0)</f>
        <v>12986</v>
      </c>
      <c r="F246" s="17">
        <f>IFERROR(__xludf.DUMMYFUNCTION("""COMPUTED_VALUE"""),0.0)</f>
        <v>0</v>
      </c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 t="str">
        <f>IFERROR(__xludf.DUMMYFUNCTION("""COMPUTED_VALUE"""),"Mexico")</f>
        <v>Mexico</v>
      </c>
      <c r="B247" s="54">
        <f>IFERROR(__xludf.DUMMYFUNCTION("""COMPUTED_VALUE"""),43717.0)</f>
        <v>43717</v>
      </c>
      <c r="C247" s="19">
        <f>IFERROR(__xludf.DUMMYFUNCTION("""COMPUTED_VALUE"""),43723.0)</f>
        <v>43723</v>
      </c>
      <c r="D247" s="17">
        <f>IFERROR(__xludf.DUMMYFUNCTION("""COMPUTED_VALUE"""),37.0)</f>
        <v>37</v>
      </c>
      <c r="E247" s="17">
        <f>IFERROR(__xludf.DUMMYFUNCTION("""COMPUTED_VALUE"""),12943.0)</f>
        <v>12943</v>
      </c>
      <c r="F247" s="17">
        <f>IFERROR(__xludf.DUMMYFUNCTION("""COMPUTED_VALUE"""),0.0)</f>
        <v>0</v>
      </c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 t="str">
        <f>IFERROR(__xludf.DUMMYFUNCTION("""COMPUTED_VALUE"""),"Mexico")</f>
        <v>Mexico</v>
      </c>
      <c r="B248" s="54">
        <f>IFERROR(__xludf.DUMMYFUNCTION("""COMPUTED_VALUE"""),43724.0)</f>
        <v>43724</v>
      </c>
      <c r="C248" s="19">
        <f>IFERROR(__xludf.DUMMYFUNCTION("""COMPUTED_VALUE"""),43730.0)</f>
        <v>43730</v>
      </c>
      <c r="D248" s="17">
        <f>IFERROR(__xludf.DUMMYFUNCTION("""COMPUTED_VALUE"""),38.0)</f>
        <v>38</v>
      </c>
      <c r="E248" s="17">
        <f>IFERROR(__xludf.DUMMYFUNCTION("""COMPUTED_VALUE"""),13838.0)</f>
        <v>13838</v>
      </c>
      <c r="F248" s="17">
        <f>IFERROR(__xludf.DUMMYFUNCTION("""COMPUTED_VALUE"""),0.0)</f>
        <v>0</v>
      </c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 t="str">
        <f>IFERROR(__xludf.DUMMYFUNCTION("""COMPUTED_VALUE"""),"Mexico")</f>
        <v>Mexico</v>
      </c>
      <c r="B249" s="54">
        <f>IFERROR(__xludf.DUMMYFUNCTION("""COMPUTED_VALUE"""),43731.0)</f>
        <v>43731</v>
      </c>
      <c r="C249" s="19">
        <f>IFERROR(__xludf.DUMMYFUNCTION("""COMPUTED_VALUE"""),43737.0)</f>
        <v>43737</v>
      </c>
      <c r="D249" s="17">
        <f>IFERROR(__xludf.DUMMYFUNCTION("""COMPUTED_VALUE"""),39.0)</f>
        <v>39</v>
      </c>
      <c r="E249" s="17">
        <f>IFERROR(__xludf.DUMMYFUNCTION("""COMPUTED_VALUE"""),13521.0)</f>
        <v>13521</v>
      </c>
      <c r="F249" s="17">
        <f>IFERROR(__xludf.DUMMYFUNCTION("""COMPUTED_VALUE"""),0.0)</f>
        <v>0</v>
      </c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 t="str">
        <f>IFERROR(__xludf.DUMMYFUNCTION("""COMPUTED_VALUE"""),"Mexico")</f>
        <v>Mexico</v>
      </c>
      <c r="B250" s="54">
        <f>IFERROR(__xludf.DUMMYFUNCTION("""COMPUTED_VALUE"""),43738.0)</f>
        <v>43738</v>
      </c>
      <c r="C250" s="19">
        <f>IFERROR(__xludf.DUMMYFUNCTION("""COMPUTED_VALUE"""),43744.0)</f>
        <v>43744</v>
      </c>
      <c r="D250" s="17">
        <f>IFERROR(__xludf.DUMMYFUNCTION("""COMPUTED_VALUE"""),40.0)</f>
        <v>40</v>
      </c>
      <c r="E250" s="17">
        <f>IFERROR(__xludf.DUMMYFUNCTION("""COMPUTED_VALUE"""),13433.0)</f>
        <v>13433</v>
      </c>
      <c r="F250" s="17">
        <f>IFERROR(__xludf.DUMMYFUNCTION("""COMPUTED_VALUE"""),0.0)</f>
        <v>0</v>
      </c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 t="str">
        <f>IFERROR(__xludf.DUMMYFUNCTION("""COMPUTED_VALUE"""),"Mexico")</f>
        <v>Mexico</v>
      </c>
      <c r="B251" s="54">
        <f>IFERROR(__xludf.DUMMYFUNCTION("""COMPUTED_VALUE"""),43745.0)</f>
        <v>43745</v>
      </c>
      <c r="C251" s="19">
        <f>IFERROR(__xludf.DUMMYFUNCTION("""COMPUTED_VALUE"""),43751.0)</f>
        <v>43751</v>
      </c>
      <c r="D251" s="17">
        <f>IFERROR(__xludf.DUMMYFUNCTION("""COMPUTED_VALUE"""),41.0)</f>
        <v>41</v>
      </c>
      <c r="E251" s="17">
        <f>IFERROR(__xludf.DUMMYFUNCTION("""COMPUTED_VALUE"""),13438.0)</f>
        <v>13438</v>
      </c>
      <c r="F251" s="17">
        <f>IFERROR(__xludf.DUMMYFUNCTION("""COMPUTED_VALUE"""),0.0)</f>
        <v>0</v>
      </c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 t="str">
        <f>IFERROR(__xludf.DUMMYFUNCTION("""COMPUTED_VALUE"""),"Mexico")</f>
        <v>Mexico</v>
      </c>
      <c r="B252" s="54">
        <f>IFERROR(__xludf.DUMMYFUNCTION("""COMPUTED_VALUE"""),43752.0)</f>
        <v>43752</v>
      </c>
      <c r="C252" s="19">
        <f>IFERROR(__xludf.DUMMYFUNCTION("""COMPUTED_VALUE"""),43758.0)</f>
        <v>43758</v>
      </c>
      <c r="D252" s="17">
        <f>IFERROR(__xludf.DUMMYFUNCTION("""COMPUTED_VALUE"""),42.0)</f>
        <v>42</v>
      </c>
      <c r="E252" s="17">
        <f>IFERROR(__xludf.DUMMYFUNCTION("""COMPUTED_VALUE"""),13736.0)</f>
        <v>13736</v>
      </c>
      <c r="F252" s="17">
        <f>IFERROR(__xludf.DUMMYFUNCTION("""COMPUTED_VALUE"""),0.0)</f>
        <v>0</v>
      </c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 t="str">
        <f>IFERROR(__xludf.DUMMYFUNCTION("""COMPUTED_VALUE"""),"Mexico")</f>
        <v>Mexico</v>
      </c>
      <c r="B253" s="54">
        <f>IFERROR(__xludf.DUMMYFUNCTION("""COMPUTED_VALUE"""),43759.0)</f>
        <v>43759</v>
      </c>
      <c r="C253" s="19">
        <f>IFERROR(__xludf.DUMMYFUNCTION("""COMPUTED_VALUE"""),43765.0)</f>
        <v>43765</v>
      </c>
      <c r="D253" s="17">
        <f>IFERROR(__xludf.DUMMYFUNCTION("""COMPUTED_VALUE"""),43.0)</f>
        <v>43</v>
      </c>
      <c r="E253" s="17">
        <f>IFERROR(__xludf.DUMMYFUNCTION("""COMPUTED_VALUE"""),13611.0)</f>
        <v>13611</v>
      </c>
      <c r="F253" s="17">
        <f>IFERROR(__xludf.DUMMYFUNCTION("""COMPUTED_VALUE"""),0.0)</f>
        <v>0</v>
      </c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 t="str">
        <f>IFERROR(__xludf.DUMMYFUNCTION("""COMPUTED_VALUE"""),"Mexico")</f>
        <v>Mexico</v>
      </c>
      <c r="B254" s="54">
        <f>IFERROR(__xludf.DUMMYFUNCTION("""COMPUTED_VALUE"""),43766.0)</f>
        <v>43766</v>
      </c>
      <c r="C254" s="19">
        <f>IFERROR(__xludf.DUMMYFUNCTION("""COMPUTED_VALUE"""),43772.0)</f>
        <v>43772</v>
      </c>
      <c r="D254" s="17">
        <f>IFERROR(__xludf.DUMMYFUNCTION("""COMPUTED_VALUE"""),44.0)</f>
        <v>44</v>
      </c>
      <c r="E254" s="17">
        <f>IFERROR(__xludf.DUMMYFUNCTION("""COMPUTED_VALUE"""),13959.0)</f>
        <v>13959</v>
      </c>
      <c r="F254" s="17">
        <f>IFERROR(__xludf.DUMMYFUNCTION("""COMPUTED_VALUE"""),0.0)</f>
        <v>0</v>
      </c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 t="str">
        <f>IFERROR(__xludf.DUMMYFUNCTION("""COMPUTED_VALUE"""),"Mexico")</f>
        <v>Mexico</v>
      </c>
      <c r="B255" s="54">
        <f>IFERROR(__xludf.DUMMYFUNCTION("""COMPUTED_VALUE"""),43773.0)</f>
        <v>43773</v>
      </c>
      <c r="C255" s="19">
        <f>IFERROR(__xludf.DUMMYFUNCTION("""COMPUTED_VALUE"""),43779.0)</f>
        <v>43779</v>
      </c>
      <c r="D255" s="17">
        <f>IFERROR(__xludf.DUMMYFUNCTION("""COMPUTED_VALUE"""),45.0)</f>
        <v>45</v>
      </c>
      <c r="E255" s="17">
        <f>IFERROR(__xludf.DUMMYFUNCTION("""COMPUTED_VALUE"""),14035.0)</f>
        <v>14035</v>
      </c>
      <c r="F255" s="17">
        <f>IFERROR(__xludf.DUMMYFUNCTION("""COMPUTED_VALUE"""),0.0)</f>
        <v>0</v>
      </c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 t="str">
        <f>IFERROR(__xludf.DUMMYFUNCTION("""COMPUTED_VALUE"""),"Mexico")</f>
        <v>Mexico</v>
      </c>
      <c r="B256" s="54">
        <f>IFERROR(__xludf.DUMMYFUNCTION("""COMPUTED_VALUE"""),43780.0)</f>
        <v>43780</v>
      </c>
      <c r="C256" s="19">
        <f>IFERROR(__xludf.DUMMYFUNCTION("""COMPUTED_VALUE"""),43786.0)</f>
        <v>43786</v>
      </c>
      <c r="D256" s="17">
        <f>IFERROR(__xludf.DUMMYFUNCTION("""COMPUTED_VALUE"""),46.0)</f>
        <v>46</v>
      </c>
      <c r="E256" s="17">
        <f>IFERROR(__xludf.DUMMYFUNCTION("""COMPUTED_VALUE"""),14238.0)</f>
        <v>14238</v>
      </c>
      <c r="F256" s="17">
        <f>IFERROR(__xludf.DUMMYFUNCTION("""COMPUTED_VALUE"""),0.0)</f>
        <v>0</v>
      </c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 t="str">
        <f>IFERROR(__xludf.DUMMYFUNCTION("""COMPUTED_VALUE"""),"Mexico")</f>
        <v>Mexico</v>
      </c>
      <c r="B257" s="54">
        <f>IFERROR(__xludf.DUMMYFUNCTION("""COMPUTED_VALUE"""),43787.0)</f>
        <v>43787</v>
      </c>
      <c r="C257" s="19">
        <f>IFERROR(__xludf.DUMMYFUNCTION("""COMPUTED_VALUE"""),43793.0)</f>
        <v>43793</v>
      </c>
      <c r="D257" s="17">
        <f>IFERROR(__xludf.DUMMYFUNCTION("""COMPUTED_VALUE"""),47.0)</f>
        <v>47</v>
      </c>
      <c r="E257" s="17">
        <f>IFERROR(__xludf.DUMMYFUNCTION("""COMPUTED_VALUE"""),14855.0)</f>
        <v>14855</v>
      </c>
      <c r="F257" s="17">
        <f>IFERROR(__xludf.DUMMYFUNCTION("""COMPUTED_VALUE"""),0.0)</f>
        <v>0</v>
      </c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 t="str">
        <f>IFERROR(__xludf.DUMMYFUNCTION("""COMPUTED_VALUE"""),"Mexico")</f>
        <v>Mexico</v>
      </c>
      <c r="B258" s="54">
        <f>IFERROR(__xludf.DUMMYFUNCTION("""COMPUTED_VALUE"""),43794.0)</f>
        <v>43794</v>
      </c>
      <c r="C258" s="19">
        <f>IFERROR(__xludf.DUMMYFUNCTION("""COMPUTED_VALUE"""),43800.0)</f>
        <v>43800</v>
      </c>
      <c r="D258" s="17">
        <f>IFERROR(__xludf.DUMMYFUNCTION("""COMPUTED_VALUE"""),48.0)</f>
        <v>48</v>
      </c>
      <c r="E258" s="17">
        <f>IFERROR(__xludf.DUMMYFUNCTION("""COMPUTED_VALUE"""),13793.0)</f>
        <v>13793</v>
      </c>
      <c r="F258" s="17">
        <f>IFERROR(__xludf.DUMMYFUNCTION("""COMPUTED_VALUE"""),0.0)</f>
        <v>0</v>
      </c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 t="str">
        <f>IFERROR(__xludf.DUMMYFUNCTION("""COMPUTED_VALUE"""),"Mexico")</f>
        <v>Mexico</v>
      </c>
      <c r="B259" s="54">
        <f>IFERROR(__xludf.DUMMYFUNCTION("""COMPUTED_VALUE"""),43801.0)</f>
        <v>43801</v>
      </c>
      <c r="C259" s="19">
        <f>IFERROR(__xludf.DUMMYFUNCTION("""COMPUTED_VALUE"""),43807.0)</f>
        <v>43807</v>
      </c>
      <c r="D259" s="17">
        <f>IFERROR(__xludf.DUMMYFUNCTION("""COMPUTED_VALUE"""),49.0)</f>
        <v>49</v>
      </c>
      <c r="E259" s="17">
        <f>IFERROR(__xludf.DUMMYFUNCTION("""COMPUTED_VALUE"""),13894.0)</f>
        <v>13894</v>
      </c>
      <c r="F259" s="17">
        <f>IFERROR(__xludf.DUMMYFUNCTION("""COMPUTED_VALUE"""),0.0)</f>
        <v>0</v>
      </c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 t="str">
        <f>IFERROR(__xludf.DUMMYFUNCTION("""COMPUTED_VALUE"""),"Mexico")</f>
        <v>Mexico</v>
      </c>
      <c r="B260" s="54">
        <f>IFERROR(__xludf.DUMMYFUNCTION("""COMPUTED_VALUE"""),43808.0)</f>
        <v>43808</v>
      </c>
      <c r="C260" s="19">
        <f>IFERROR(__xludf.DUMMYFUNCTION("""COMPUTED_VALUE"""),43814.0)</f>
        <v>43814</v>
      </c>
      <c r="D260" s="17">
        <f>IFERROR(__xludf.DUMMYFUNCTION("""COMPUTED_VALUE"""),50.0)</f>
        <v>50</v>
      </c>
      <c r="E260" s="17">
        <f>IFERROR(__xludf.DUMMYFUNCTION("""COMPUTED_VALUE"""),13926.0)</f>
        <v>13926</v>
      </c>
      <c r="F260" s="17">
        <f>IFERROR(__xludf.DUMMYFUNCTION("""COMPUTED_VALUE"""),0.0)</f>
        <v>0</v>
      </c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 t="str">
        <f>IFERROR(__xludf.DUMMYFUNCTION("""COMPUTED_VALUE"""),"Mexico")</f>
        <v>Mexico</v>
      </c>
      <c r="B261" s="54">
        <f>IFERROR(__xludf.DUMMYFUNCTION("""COMPUTED_VALUE"""),43815.0)</f>
        <v>43815</v>
      </c>
      <c r="C261" s="19">
        <f>IFERROR(__xludf.DUMMYFUNCTION("""COMPUTED_VALUE"""),43821.0)</f>
        <v>43821</v>
      </c>
      <c r="D261" s="17">
        <f>IFERROR(__xludf.DUMMYFUNCTION("""COMPUTED_VALUE"""),51.0)</f>
        <v>51</v>
      </c>
      <c r="E261" s="17">
        <f>IFERROR(__xludf.DUMMYFUNCTION("""COMPUTED_VALUE"""),13545.0)</f>
        <v>13545</v>
      </c>
      <c r="F261" s="17">
        <f>IFERROR(__xludf.DUMMYFUNCTION("""COMPUTED_VALUE"""),0.0)</f>
        <v>0</v>
      </c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 t="str">
        <f>IFERROR(__xludf.DUMMYFUNCTION("""COMPUTED_VALUE"""),"Mexico")</f>
        <v>Mexico</v>
      </c>
      <c r="B262" s="54">
        <f>IFERROR(__xludf.DUMMYFUNCTION("""COMPUTED_VALUE"""),43822.0)</f>
        <v>43822</v>
      </c>
      <c r="C262" s="19">
        <f>IFERROR(__xludf.DUMMYFUNCTION("""COMPUTED_VALUE"""),43828.0)</f>
        <v>43828</v>
      </c>
      <c r="D262" s="56">
        <f>IFERROR(__xludf.DUMMYFUNCTION("""COMPUTED_VALUE"""),52.0)</f>
        <v>52</v>
      </c>
      <c r="E262" s="17">
        <f>IFERROR(__xludf.DUMMYFUNCTION("""COMPUTED_VALUE"""),15621.0)</f>
        <v>15621</v>
      </c>
      <c r="F262" s="17">
        <f>IFERROR(__xludf.DUMMYFUNCTION("""COMPUTED_VALUE"""),0.0)</f>
        <v>0</v>
      </c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 t="str">
        <f>IFERROR(__xludf.DUMMYFUNCTION("""COMPUTED_VALUE"""),"Mexico")</f>
        <v>Mexico</v>
      </c>
      <c r="B263" s="54">
        <f>IFERROR(__xludf.DUMMYFUNCTION("""COMPUTED_VALUE"""),43829.0)</f>
        <v>43829</v>
      </c>
      <c r="C263" s="19">
        <f>IFERROR(__xludf.DUMMYFUNCTION("""COMPUTED_VALUE"""),43835.0)</f>
        <v>43835</v>
      </c>
      <c r="D263" s="17">
        <f>IFERROR(__xludf.DUMMYFUNCTION("""COMPUTED_VALUE"""),1.0)</f>
        <v>1</v>
      </c>
      <c r="E263" s="17">
        <f>IFERROR(__xludf.DUMMYFUNCTION("""COMPUTED_VALUE"""),16518.0)</f>
        <v>16518</v>
      </c>
      <c r="F263" s="17">
        <f>IFERROR(__xludf.DUMMYFUNCTION("""COMPUTED_VALUE"""),0.0)</f>
        <v>0</v>
      </c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 t="str">
        <f>IFERROR(__xludf.DUMMYFUNCTION("""COMPUTED_VALUE"""),"Mexico")</f>
        <v>Mexico</v>
      </c>
      <c r="B264" s="54">
        <f>IFERROR(__xludf.DUMMYFUNCTION("""COMPUTED_VALUE"""),43836.0)</f>
        <v>43836</v>
      </c>
      <c r="C264" s="19">
        <f>IFERROR(__xludf.DUMMYFUNCTION("""COMPUTED_VALUE"""),43842.0)</f>
        <v>43842</v>
      </c>
      <c r="D264" s="17">
        <f>IFERROR(__xludf.DUMMYFUNCTION("""COMPUTED_VALUE"""),2.0)</f>
        <v>2</v>
      </c>
      <c r="E264" s="17">
        <f>IFERROR(__xludf.DUMMYFUNCTION("""COMPUTED_VALUE"""),16736.0)</f>
        <v>16736</v>
      </c>
      <c r="F264" s="17">
        <f>IFERROR(__xludf.DUMMYFUNCTION("""COMPUTED_VALUE"""),0.0)</f>
        <v>0</v>
      </c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 t="str">
        <f>IFERROR(__xludf.DUMMYFUNCTION("""COMPUTED_VALUE"""),"Mexico")</f>
        <v>Mexico</v>
      </c>
      <c r="B265" s="54">
        <f>IFERROR(__xludf.DUMMYFUNCTION("""COMPUTED_VALUE"""),43843.0)</f>
        <v>43843</v>
      </c>
      <c r="C265" s="19">
        <f>IFERROR(__xludf.DUMMYFUNCTION("""COMPUTED_VALUE"""),43849.0)</f>
        <v>43849</v>
      </c>
      <c r="D265" s="17">
        <f>IFERROR(__xludf.DUMMYFUNCTION("""COMPUTED_VALUE"""),3.0)</f>
        <v>3</v>
      </c>
      <c r="E265" s="17">
        <f>IFERROR(__xludf.DUMMYFUNCTION("""COMPUTED_VALUE"""),16195.0)</f>
        <v>16195</v>
      </c>
      <c r="F265" s="17">
        <f>IFERROR(__xludf.DUMMYFUNCTION("""COMPUTED_VALUE"""),0.0)</f>
        <v>0</v>
      </c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 t="str">
        <f>IFERROR(__xludf.DUMMYFUNCTION("""COMPUTED_VALUE"""),"Mexico")</f>
        <v>Mexico</v>
      </c>
      <c r="B266" s="54">
        <f>IFERROR(__xludf.DUMMYFUNCTION("""COMPUTED_VALUE"""),43850.0)</f>
        <v>43850</v>
      </c>
      <c r="C266" s="19">
        <f>IFERROR(__xludf.DUMMYFUNCTION("""COMPUTED_VALUE"""),43856.0)</f>
        <v>43856</v>
      </c>
      <c r="D266" s="17">
        <f>IFERROR(__xludf.DUMMYFUNCTION("""COMPUTED_VALUE"""),4.0)</f>
        <v>4</v>
      </c>
      <c r="E266" s="17">
        <f>IFERROR(__xludf.DUMMYFUNCTION("""COMPUTED_VALUE"""),15601.0)</f>
        <v>15601</v>
      </c>
      <c r="F266" s="17">
        <f>IFERROR(__xludf.DUMMYFUNCTION("""COMPUTED_VALUE"""),0.0)</f>
        <v>0</v>
      </c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 t="str">
        <f>IFERROR(__xludf.DUMMYFUNCTION("""COMPUTED_VALUE"""),"Mexico")</f>
        <v>Mexico</v>
      </c>
      <c r="B267" s="54">
        <f>IFERROR(__xludf.DUMMYFUNCTION("""COMPUTED_VALUE"""),43857.0)</f>
        <v>43857</v>
      </c>
      <c r="C267" s="19">
        <f>IFERROR(__xludf.DUMMYFUNCTION("""COMPUTED_VALUE"""),43863.0)</f>
        <v>43863</v>
      </c>
      <c r="D267" s="17">
        <f>IFERROR(__xludf.DUMMYFUNCTION("""COMPUTED_VALUE"""),5.0)</f>
        <v>5</v>
      </c>
      <c r="E267" s="17">
        <f>IFERROR(__xludf.DUMMYFUNCTION("""COMPUTED_VALUE"""),15217.0)</f>
        <v>15217</v>
      </c>
      <c r="F267" s="17">
        <f>IFERROR(__xludf.DUMMYFUNCTION("""COMPUTED_VALUE"""),0.0)</f>
        <v>0</v>
      </c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 t="str">
        <f>IFERROR(__xludf.DUMMYFUNCTION("""COMPUTED_VALUE"""),"Mexico")</f>
        <v>Mexico</v>
      </c>
      <c r="B268" s="54">
        <f>IFERROR(__xludf.DUMMYFUNCTION("""COMPUTED_VALUE"""),43864.0)</f>
        <v>43864</v>
      </c>
      <c r="C268" s="19">
        <f>IFERROR(__xludf.DUMMYFUNCTION("""COMPUTED_VALUE"""),43870.0)</f>
        <v>43870</v>
      </c>
      <c r="D268" s="17">
        <f>IFERROR(__xludf.DUMMYFUNCTION("""COMPUTED_VALUE"""),6.0)</f>
        <v>6</v>
      </c>
      <c r="E268" s="17">
        <f>IFERROR(__xludf.DUMMYFUNCTION("""COMPUTED_VALUE"""),15711.0)</f>
        <v>15711</v>
      </c>
      <c r="F268" s="17">
        <f>IFERROR(__xludf.DUMMYFUNCTION("""COMPUTED_VALUE"""),0.0)</f>
        <v>0</v>
      </c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 t="str">
        <f>IFERROR(__xludf.DUMMYFUNCTION("""COMPUTED_VALUE"""),"Mexico")</f>
        <v>Mexico</v>
      </c>
      <c r="B269" s="54">
        <f>IFERROR(__xludf.DUMMYFUNCTION("""COMPUTED_VALUE"""),43871.0)</f>
        <v>43871</v>
      </c>
      <c r="C269" s="19">
        <f>IFERROR(__xludf.DUMMYFUNCTION("""COMPUTED_VALUE"""),43877.0)</f>
        <v>43877</v>
      </c>
      <c r="D269" s="17">
        <f>IFERROR(__xludf.DUMMYFUNCTION("""COMPUTED_VALUE"""),7.0)</f>
        <v>7</v>
      </c>
      <c r="E269" s="17">
        <f>IFERROR(__xludf.DUMMYFUNCTION("""COMPUTED_VALUE"""),14875.0)</f>
        <v>14875</v>
      </c>
      <c r="F269" s="17">
        <f>IFERROR(__xludf.DUMMYFUNCTION("""COMPUTED_VALUE"""),0.0)</f>
        <v>0</v>
      </c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 t="str">
        <f>IFERROR(__xludf.DUMMYFUNCTION("""COMPUTED_VALUE"""),"Mexico")</f>
        <v>Mexico</v>
      </c>
      <c r="B270" s="54">
        <f>IFERROR(__xludf.DUMMYFUNCTION("""COMPUTED_VALUE"""),43878.0)</f>
        <v>43878</v>
      </c>
      <c r="C270" s="19">
        <f>IFERROR(__xludf.DUMMYFUNCTION("""COMPUTED_VALUE"""),43884.0)</f>
        <v>43884</v>
      </c>
      <c r="D270" s="17">
        <f>IFERROR(__xludf.DUMMYFUNCTION("""COMPUTED_VALUE"""),8.0)</f>
        <v>8</v>
      </c>
      <c r="E270" s="17">
        <f>IFERROR(__xludf.DUMMYFUNCTION("""COMPUTED_VALUE"""),14501.0)</f>
        <v>14501</v>
      </c>
      <c r="F270" s="17">
        <f>IFERROR(__xludf.DUMMYFUNCTION("""COMPUTED_VALUE"""),0.0)</f>
        <v>0</v>
      </c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 t="str">
        <f>IFERROR(__xludf.DUMMYFUNCTION("""COMPUTED_VALUE"""),"Mexico")</f>
        <v>Mexico</v>
      </c>
      <c r="B271" s="54">
        <f>IFERROR(__xludf.DUMMYFUNCTION("""COMPUTED_VALUE"""),43885.0)</f>
        <v>43885</v>
      </c>
      <c r="C271" s="19">
        <f>IFERROR(__xludf.DUMMYFUNCTION("""COMPUTED_VALUE"""),43891.0)</f>
        <v>43891</v>
      </c>
      <c r="D271" s="17">
        <f>IFERROR(__xludf.DUMMYFUNCTION("""COMPUTED_VALUE"""),9.0)</f>
        <v>9</v>
      </c>
      <c r="E271" s="17">
        <f>IFERROR(__xludf.DUMMYFUNCTION("""COMPUTED_VALUE"""),13916.0)</f>
        <v>13916</v>
      </c>
      <c r="F271" s="17">
        <f>IFERROR(__xludf.DUMMYFUNCTION("""COMPUTED_VALUE"""),0.0)</f>
        <v>0</v>
      </c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 t="str">
        <f>IFERROR(__xludf.DUMMYFUNCTION("""COMPUTED_VALUE"""),"Mexico")</f>
        <v>Mexico</v>
      </c>
      <c r="B272" s="54">
        <f>IFERROR(__xludf.DUMMYFUNCTION("""COMPUTED_VALUE"""),43892.0)</f>
        <v>43892</v>
      </c>
      <c r="C272" s="19">
        <f>IFERROR(__xludf.DUMMYFUNCTION("""COMPUTED_VALUE"""),43898.0)</f>
        <v>43898</v>
      </c>
      <c r="D272" s="17">
        <f>IFERROR(__xludf.DUMMYFUNCTION("""COMPUTED_VALUE"""),10.0)</f>
        <v>10</v>
      </c>
      <c r="E272" s="17">
        <f>IFERROR(__xludf.DUMMYFUNCTION("""COMPUTED_VALUE"""),14017.0)</f>
        <v>14017</v>
      </c>
      <c r="F272" s="17">
        <f>IFERROR(__xludf.DUMMYFUNCTION("""COMPUTED_VALUE"""),0.0)</f>
        <v>0</v>
      </c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 t="str">
        <f>IFERROR(__xludf.DUMMYFUNCTION("""COMPUTED_VALUE"""),"Mexico")</f>
        <v>Mexico</v>
      </c>
      <c r="B273" s="54">
        <f>IFERROR(__xludf.DUMMYFUNCTION("""COMPUTED_VALUE"""),43899.0)</f>
        <v>43899</v>
      </c>
      <c r="C273" s="19">
        <f>IFERROR(__xludf.DUMMYFUNCTION("""COMPUTED_VALUE"""),43905.0)</f>
        <v>43905</v>
      </c>
      <c r="D273" s="17">
        <f>IFERROR(__xludf.DUMMYFUNCTION("""COMPUTED_VALUE"""),11.0)</f>
        <v>11</v>
      </c>
      <c r="E273" s="17">
        <f>IFERROR(__xludf.DUMMYFUNCTION("""COMPUTED_VALUE"""),13857.0)</f>
        <v>13857</v>
      </c>
      <c r="F273" s="17">
        <f>IFERROR(__xludf.DUMMYFUNCTION("""COMPUTED_VALUE"""),0.0)</f>
        <v>0</v>
      </c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sheetData>
    <row r="1">
      <c r="A1" s="52" t="str">
        <f>IFERROR(__xludf.DUMMYFUNCTION("QUERY(Dataset!A:F, ""SELECT A,B,C,D,E,F WHERE A='Mexico' AND F&gt;0"",1)"),"País")</f>
        <v>País</v>
      </c>
      <c r="B1" s="57" t="str">
        <f>IFERROR(__xludf.DUMMYFUNCTION("""COMPUTED_VALUE"""),"Fecha inicio")</f>
        <v>Fecha inicio</v>
      </c>
      <c r="C1" s="52" t="str">
        <f>IFERROR(__xludf.DUMMYFUNCTION("""COMPUTED_VALUE"""),"Fecha fin")</f>
        <v>Fecha fin</v>
      </c>
      <c r="D1" s="52" t="str">
        <f>IFERROR(__xludf.DUMMYFUNCTION("""COMPUTED_VALUE"""),"Semana")</f>
        <v>Semana</v>
      </c>
      <c r="E1" s="52" t="str">
        <f>IFERROR(__xludf.DUMMYFUNCTION("""COMPUTED_VALUE"""),"Total muertes reportadas")</f>
        <v>Total muertes reportadas</v>
      </c>
      <c r="F1" s="52" t="str">
        <f>IFERROR(__xludf.DUMMYFUNCTION("""COMPUTED_VALUE"""),"Total muertes reportadas por covid")</f>
        <v>Total muertes reportadas por covid</v>
      </c>
      <c r="G1" s="53" t="s">
        <v>8</v>
      </c>
      <c r="H1" s="53" t="s">
        <v>20</v>
      </c>
      <c r="I1" s="53" t="s">
        <v>19</v>
      </c>
      <c r="J1" s="58" t="s">
        <v>21</v>
      </c>
      <c r="K1" s="59" t="s">
        <v>22</v>
      </c>
      <c r="L1" s="59" t="s">
        <v>23</v>
      </c>
      <c r="M1" s="59" t="s">
        <v>24</v>
      </c>
      <c r="N1" s="59" t="s">
        <v>25</v>
      </c>
      <c r="O1" s="60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17" t="str">
        <f>IFERROR(__xludf.DUMMYFUNCTION("""COMPUTED_VALUE"""),"Mexico")</f>
        <v>Mexico</v>
      </c>
      <c r="B2" s="61">
        <f>IFERROR(__xludf.DUMMYFUNCTION("""COMPUTED_VALUE"""),43906.0)</f>
        <v>43906</v>
      </c>
      <c r="C2" s="19">
        <f>IFERROR(__xludf.DUMMYFUNCTION("""COMPUTED_VALUE"""),43912.0)</f>
        <v>43912</v>
      </c>
      <c r="D2" s="17">
        <f>IFERROR(__xludf.DUMMYFUNCTION("""COMPUTED_VALUE"""),12.0)</f>
        <v>12</v>
      </c>
      <c r="E2" s="17">
        <f>IFERROR(__xludf.DUMMYFUNCTION("""COMPUTED_VALUE"""),13187.0)</f>
        <v>13187</v>
      </c>
      <c r="F2" s="17">
        <f>IFERROR(__xludf.DUMMYFUNCTION("""COMPUTED_VALUE"""),3.0)</f>
        <v>3</v>
      </c>
      <c r="G2" s="62">
        <v>1.0</v>
      </c>
      <c r="H2" s="63">
        <f t="shared" ref="H2:H54" si="2">AVERAGEIFS($E$2:$E$83,$D$2:$D$83,G2)</f>
        <v>36287</v>
      </c>
      <c r="I2" s="63">
        <v>15779.0</v>
      </c>
      <c r="J2" s="21">
        <f t="shared" ref="J2:J83" si="3">IFERROR(E2-INDEX($I$2:$I$54, MATCH(D2, $G$2:$G$54, 0)), "")</f>
        <v>-281.6</v>
      </c>
      <c r="K2" s="22">
        <f>(F2/(VLOOKUP("Mexico",Poblacion!$A$2:$B$5,2,0)))*100000</f>
        <v>0.002303046885</v>
      </c>
      <c r="L2" s="22">
        <f>(J2/(VLOOKUP("Mexico",Poblacion!$A$2:$B$5,2,0)))*100000</f>
        <v>-0.2161793343</v>
      </c>
      <c r="M2" s="64">
        <f t="shared" ref="M2:N2" si="1">K2</f>
        <v>0.002303046885</v>
      </c>
      <c r="N2" s="65">
        <f t="shared" si="1"/>
        <v>-0.2161793343</v>
      </c>
      <c r="O2" s="66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tr">
        <f>IFERROR(__xludf.DUMMYFUNCTION("""COMPUTED_VALUE"""),"Mexico")</f>
        <v>Mexico</v>
      </c>
      <c r="B3" s="61">
        <f>IFERROR(__xludf.DUMMYFUNCTION("""COMPUTED_VALUE"""),43913.0)</f>
        <v>43913</v>
      </c>
      <c r="C3" s="19">
        <f>IFERROR(__xludf.DUMMYFUNCTION("""COMPUTED_VALUE"""),43919.0)</f>
        <v>43919</v>
      </c>
      <c r="D3" s="17">
        <f>IFERROR(__xludf.DUMMYFUNCTION("""COMPUTED_VALUE"""),13.0)</f>
        <v>13</v>
      </c>
      <c r="E3" s="17">
        <f>IFERROR(__xludf.DUMMYFUNCTION("""COMPUTED_VALUE"""),13698.0)</f>
        <v>13698</v>
      </c>
      <c r="F3" s="17">
        <f>IFERROR(__xludf.DUMMYFUNCTION("""COMPUTED_VALUE"""),17.0)</f>
        <v>17</v>
      </c>
      <c r="G3" s="62">
        <v>2.0</v>
      </c>
      <c r="H3" s="63">
        <f t="shared" si="2"/>
        <v>43427</v>
      </c>
      <c r="I3" s="63">
        <v>15680.0</v>
      </c>
      <c r="J3" s="21">
        <f t="shared" si="3"/>
        <v>522.4</v>
      </c>
      <c r="K3" s="22">
        <f>(F3/(VLOOKUP("Mexico",Poblacion!$A$2:$B$5,2,0)))*100000</f>
        <v>0.01305059901</v>
      </c>
      <c r="L3" s="22">
        <f>(J3/(VLOOKUP("Mexico",Poblacion!$A$2:$B$5,2,0)))*100000</f>
        <v>0.4010372309</v>
      </c>
      <c r="M3" s="22">
        <f t="shared" ref="M3:N3" si="4">K3+M2</f>
        <v>0.0153536459</v>
      </c>
      <c r="N3" s="65">
        <f t="shared" si="4"/>
        <v>0.1848578966</v>
      </c>
      <c r="O3" s="66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tr">
        <f>IFERROR(__xludf.DUMMYFUNCTION("""COMPUTED_VALUE"""),"Mexico")</f>
        <v>Mexico</v>
      </c>
      <c r="B4" s="61">
        <f>IFERROR(__xludf.DUMMYFUNCTION("""COMPUTED_VALUE"""),43920.0)</f>
        <v>43920</v>
      </c>
      <c r="C4" s="19">
        <f>IFERROR(__xludf.DUMMYFUNCTION("""COMPUTED_VALUE"""),43926.0)</f>
        <v>43926</v>
      </c>
      <c r="D4" s="17">
        <f>IFERROR(__xludf.DUMMYFUNCTION("""COMPUTED_VALUE"""),14.0)</f>
        <v>14</v>
      </c>
      <c r="E4" s="17">
        <f>IFERROR(__xludf.DUMMYFUNCTION("""COMPUTED_VALUE"""),13533.0)</f>
        <v>13533</v>
      </c>
      <c r="F4" s="17">
        <f>IFERROR(__xludf.DUMMYFUNCTION("""COMPUTED_VALUE"""),74.0)</f>
        <v>74</v>
      </c>
      <c r="G4" s="62">
        <v>3.0</v>
      </c>
      <c r="H4" s="63">
        <f t="shared" si="2"/>
        <v>44667</v>
      </c>
      <c r="I4" s="63">
        <v>15454.166666666666</v>
      </c>
      <c r="J4" s="21">
        <f t="shared" si="3"/>
        <v>276.4</v>
      </c>
      <c r="K4" s="22">
        <f>(F4/(VLOOKUP("Mexico",Poblacion!$A$2:$B$5,2,0)))*100000</f>
        <v>0.05680848983</v>
      </c>
      <c r="L4" s="22">
        <f>(J4/(VLOOKUP("Mexico",Poblacion!$A$2:$B$5,2,0)))*100000</f>
        <v>0.2121873863</v>
      </c>
      <c r="M4" s="22">
        <f t="shared" ref="M4:N4" si="5">K4+M3</f>
        <v>0.07216213573</v>
      </c>
      <c r="N4" s="65">
        <f t="shared" si="5"/>
        <v>0.397045283</v>
      </c>
      <c r="O4" s="66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tr">
        <f>IFERROR(__xludf.DUMMYFUNCTION("""COMPUTED_VALUE"""),"Mexico")</f>
        <v>Mexico</v>
      </c>
      <c r="B5" s="61">
        <f>IFERROR(__xludf.DUMMYFUNCTION("""COMPUTED_VALUE"""),43927.0)</f>
        <v>43927</v>
      </c>
      <c r="C5" s="19">
        <f>IFERROR(__xludf.DUMMYFUNCTION("""COMPUTED_VALUE"""),43933.0)</f>
        <v>43933</v>
      </c>
      <c r="D5" s="17">
        <f>IFERROR(__xludf.DUMMYFUNCTION("""COMPUTED_VALUE"""),15.0)</f>
        <v>15</v>
      </c>
      <c r="E5" s="17">
        <f>IFERROR(__xludf.DUMMYFUNCTION("""COMPUTED_VALUE"""),14030.0)</f>
        <v>14030</v>
      </c>
      <c r="F5" s="17">
        <f>IFERROR(__xludf.DUMMYFUNCTION("""COMPUTED_VALUE"""),202.0)</f>
        <v>202</v>
      </c>
      <c r="G5" s="62">
        <v>4.0</v>
      </c>
      <c r="H5" s="63">
        <f t="shared" si="2"/>
        <v>36617</v>
      </c>
      <c r="I5" s="63">
        <v>15116.333333333334</v>
      </c>
      <c r="J5" s="21">
        <f t="shared" si="3"/>
        <v>1142</v>
      </c>
      <c r="K5" s="22">
        <f>(F5/(VLOOKUP("Mexico",Poblacion!$A$2:$B$5,2,0)))*100000</f>
        <v>0.1550718236</v>
      </c>
      <c r="L5" s="22">
        <f>(J5/(VLOOKUP("Mexico",Poblacion!$A$2:$B$5,2,0)))*100000</f>
        <v>0.8766931809</v>
      </c>
      <c r="M5" s="22">
        <f t="shared" ref="M5:N5" si="6">K5+M4</f>
        <v>0.2272339593</v>
      </c>
      <c r="N5" s="65">
        <f t="shared" si="6"/>
        <v>1.273738464</v>
      </c>
      <c r="O5" s="55"/>
      <c r="P5" s="55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tr">
        <f>IFERROR(__xludf.DUMMYFUNCTION("""COMPUTED_VALUE"""),"Mexico")</f>
        <v>Mexico</v>
      </c>
      <c r="B6" s="61">
        <f>IFERROR(__xludf.DUMMYFUNCTION("""COMPUTED_VALUE"""),43934.0)</f>
        <v>43934</v>
      </c>
      <c r="C6" s="19">
        <f>IFERROR(__xludf.DUMMYFUNCTION("""COMPUTED_VALUE"""),43940.0)</f>
        <v>43940</v>
      </c>
      <c r="D6" s="17">
        <f>IFERROR(__xludf.DUMMYFUNCTION("""COMPUTED_VALUE"""),16.0)</f>
        <v>16</v>
      </c>
      <c r="E6" s="17">
        <f>IFERROR(__xludf.DUMMYFUNCTION("""COMPUTED_VALUE"""),14993.0)</f>
        <v>14993</v>
      </c>
      <c r="F6" s="17">
        <f>IFERROR(__xludf.DUMMYFUNCTION("""COMPUTED_VALUE"""),390.0)</f>
        <v>390</v>
      </c>
      <c r="G6" s="62">
        <v>5.0</v>
      </c>
      <c r="H6" s="63">
        <f t="shared" si="2"/>
        <v>31825</v>
      </c>
      <c r="I6" s="63">
        <v>15013.5</v>
      </c>
      <c r="J6" s="21">
        <f t="shared" si="3"/>
        <v>2239</v>
      </c>
      <c r="K6" s="22">
        <f>(F6/(VLOOKUP("Mexico",Poblacion!$A$2:$B$5,2,0)))*100000</f>
        <v>0.299396095</v>
      </c>
      <c r="L6" s="22">
        <f>(J6/(VLOOKUP("Mexico",Poblacion!$A$2:$B$5,2,0)))*100000</f>
        <v>1.718840658</v>
      </c>
      <c r="M6" s="22">
        <f t="shared" ref="M6:N6" si="7">K6+M5</f>
        <v>0.5266300544</v>
      </c>
      <c r="N6" s="65">
        <f t="shared" si="7"/>
        <v>2.992579122</v>
      </c>
      <c r="O6" s="55"/>
      <c r="P6" s="55"/>
      <c r="Q6" s="55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tr">
        <f>IFERROR(__xludf.DUMMYFUNCTION("""COMPUTED_VALUE"""),"Mexico")</f>
        <v>Mexico</v>
      </c>
      <c r="B7" s="61">
        <f>IFERROR(__xludf.DUMMYFUNCTION("""COMPUTED_VALUE"""),43941.0)</f>
        <v>43941</v>
      </c>
      <c r="C7" s="19">
        <f>IFERROR(__xludf.DUMMYFUNCTION("""COMPUTED_VALUE"""),43947.0)</f>
        <v>43947</v>
      </c>
      <c r="D7" s="17">
        <f>IFERROR(__xludf.DUMMYFUNCTION("""COMPUTED_VALUE"""),17.0)</f>
        <v>17</v>
      </c>
      <c r="E7" s="17">
        <f>IFERROR(__xludf.DUMMYFUNCTION("""COMPUTED_VALUE"""),17068.0)</f>
        <v>17068</v>
      </c>
      <c r="F7" s="17">
        <f>IFERROR(__xludf.DUMMYFUNCTION("""COMPUTED_VALUE"""),665.0)</f>
        <v>665</v>
      </c>
      <c r="G7" s="62">
        <v>6.0</v>
      </c>
      <c r="H7" s="63">
        <f t="shared" si="2"/>
        <v>26858</v>
      </c>
      <c r="I7" s="63">
        <v>15106.833333333334</v>
      </c>
      <c r="J7" s="21">
        <f t="shared" si="3"/>
        <v>4143.6</v>
      </c>
      <c r="K7" s="22">
        <f>(F7/(VLOOKUP("Mexico",Poblacion!$A$2:$B$5,2,0)))*100000</f>
        <v>0.5105087262</v>
      </c>
      <c r="L7" s="22">
        <f>(J7/(VLOOKUP("Mexico",Poblacion!$A$2:$B$5,2,0)))*100000</f>
        <v>3.180968358</v>
      </c>
      <c r="M7" s="22">
        <f t="shared" ref="M7:N7" si="8">K7+M6</f>
        <v>1.037138781</v>
      </c>
      <c r="N7" s="65">
        <f t="shared" si="8"/>
        <v>6.17354748</v>
      </c>
      <c r="O7" s="55"/>
      <c r="P7" s="55"/>
      <c r="Q7" s="55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tr">
        <f>IFERROR(__xludf.DUMMYFUNCTION("""COMPUTED_VALUE"""),"Mexico")</f>
        <v>Mexico</v>
      </c>
      <c r="B8" s="61">
        <f>IFERROR(__xludf.DUMMYFUNCTION("""COMPUTED_VALUE"""),43948.0)</f>
        <v>43948</v>
      </c>
      <c r="C8" s="19">
        <f>IFERROR(__xludf.DUMMYFUNCTION("""COMPUTED_VALUE"""),43954.0)</f>
        <v>43954</v>
      </c>
      <c r="D8" s="17">
        <f>IFERROR(__xludf.DUMMYFUNCTION("""COMPUTED_VALUE"""),18.0)</f>
        <v>18</v>
      </c>
      <c r="E8" s="17">
        <f>IFERROR(__xludf.DUMMYFUNCTION("""COMPUTED_VALUE"""),18811.0)</f>
        <v>18811</v>
      </c>
      <c r="F8" s="17">
        <f>IFERROR(__xludf.DUMMYFUNCTION("""COMPUTED_VALUE"""),803.0)</f>
        <v>803</v>
      </c>
      <c r="G8" s="62">
        <v>7.0</v>
      </c>
      <c r="H8" s="63">
        <f t="shared" si="2"/>
        <v>25330</v>
      </c>
      <c r="I8" s="63">
        <v>14724.666666666666</v>
      </c>
      <c r="J8" s="21">
        <f t="shared" si="3"/>
        <v>5963</v>
      </c>
      <c r="K8" s="22">
        <f>(F8/(VLOOKUP("Mexico",Poblacion!$A$2:$B$5,2,0)))*100000</f>
        <v>0.6164488829</v>
      </c>
      <c r="L8" s="22">
        <f>(J8/(VLOOKUP("Mexico",Poblacion!$A$2:$B$5,2,0)))*100000</f>
        <v>4.577689525</v>
      </c>
      <c r="M8" s="22">
        <f t="shared" ref="M8:N8" si="9">K8+M7</f>
        <v>1.653587663</v>
      </c>
      <c r="N8" s="65">
        <f t="shared" si="9"/>
        <v>10.751237</v>
      </c>
      <c r="O8" s="55"/>
      <c r="P8" s="55"/>
      <c r="Q8" s="55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tr">
        <f>IFERROR(__xludf.DUMMYFUNCTION("""COMPUTED_VALUE"""),"Mexico")</f>
        <v>Mexico</v>
      </c>
      <c r="B9" s="61">
        <f>IFERROR(__xludf.DUMMYFUNCTION("""COMPUTED_VALUE"""),43955.0)</f>
        <v>43955</v>
      </c>
      <c r="C9" s="19">
        <f>IFERROR(__xludf.DUMMYFUNCTION("""COMPUTED_VALUE"""),43961.0)</f>
        <v>43961</v>
      </c>
      <c r="D9" s="17">
        <f>IFERROR(__xludf.DUMMYFUNCTION("""COMPUTED_VALUE"""),19.0)</f>
        <v>19</v>
      </c>
      <c r="E9" s="17">
        <f>IFERROR(__xludf.DUMMYFUNCTION("""COMPUTED_VALUE"""),20622.0)</f>
        <v>20622</v>
      </c>
      <c r="F9" s="17">
        <f>IFERROR(__xludf.DUMMYFUNCTION("""COMPUTED_VALUE"""),1311.0)</f>
        <v>1311</v>
      </c>
      <c r="G9" s="62">
        <v>8.0</v>
      </c>
      <c r="H9" s="63">
        <f t="shared" si="2"/>
        <v>24010</v>
      </c>
      <c r="I9" s="63">
        <v>14427.666666666666</v>
      </c>
      <c r="J9" s="21">
        <f t="shared" si="3"/>
        <v>7825.8</v>
      </c>
      <c r="K9" s="22">
        <f>(F9/(VLOOKUP("Mexico",Poblacion!$A$2:$B$5,2,0)))*100000</f>
        <v>1.006431489</v>
      </c>
      <c r="L9" s="22">
        <f>(J9/(VLOOKUP("Mexico",Poblacion!$A$2:$B$5,2,0)))*100000</f>
        <v>6.007728104</v>
      </c>
      <c r="M9" s="22">
        <f t="shared" ref="M9:N9" si="10">K9+M8</f>
        <v>2.660019152</v>
      </c>
      <c r="N9" s="65">
        <f t="shared" si="10"/>
        <v>16.75896511</v>
      </c>
      <c r="O9" s="66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tr">
        <f>IFERROR(__xludf.DUMMYFUNCTION("""COMPUTED_VALUE"""),"Mexico")</f>
        <v>Mexico</v>
      </c>
      <c r="B10" s="61">
        <f>IFERROR(__xludf.DUMMYFUNCTION("""COMPUTED_VALUE"""),43962.0)</f>
        <v>43962</v>
      </c>
      <c r="C10" s="19">
        <f>IFERROR(__xludf.DUMMYFUNCTION("""COMPUTED_VALUE"""),43968.0)</f>
        <v>43968</v>
      </c>
      <c r="D10" s="17">
        <f>IFERROR(__xludf.DUMMYFUNCTION("""COMPUTED_VALUE"""),20.0)</f>
        <v>20</v>
      </c>
      <c r="E10" s="17">
        <f>IFERROR(__xludf.DUMMYFUNCTION("""COMPUTED_VALUE"""),22313.0)</f>
        <v>22313</v>
      </c>
      <c r="F10" s="17">
        <f>IFERROR(__xludf.DUMMYFUNCTION("""COMPUTED_VALUE"""),1712.0)</f>
        <v>1712</v>
      </c>
      <c r="G10" s="62">
        <v>9.0</v>
      </c>
      <c r="H10" s="63">
        <f t="shared" si="2"/>
        <v>20488</v>
      </c>
      <c r="I10" s="63">
        <v>14143.833333333334</v>
      </c>
      <c r="J10" s="21">
        <f t="shared" si="3"/>
        <v>9445.4</v>
      </c>
      <c r="K10" s="22">
        <f>(F10/(VLOOKUP("Mexico",Poblacion!$A$2:$B$5,2,0)))*100000</f>
        <v>1.314272089</v>
      </c>
      <c r="L10" s="22">
        <f>(J10/(VLOOKUP("Mexico",Poblacion!$A$2:$B$5,2,0)))*100000</f>
        <v>7.251066349</v>
      </c>
      <c r="M10" s="22">
        <f t="shared" ref="M10:N10" si="11">K10+M9</f>
        <v>3.974291241</v>
      </c>
      <c r="N10" s="65">
        <f t="shared" si="11"/>
        <v>24.01003146</v>
      </c>
      <c r="O10" s="66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tr">
        <f>IFERROR(__xludf.DUMMYFUNCTION("""COMPUTED_VALUE"""),"Mexico")</f>
        <v>Mexico</v>
      </c>
      <c r="B11" s="61">
        <f>IFERROR(__xludf.DUMMYFUNCTION("""COMPUTED_VALUE"""),43969.0)</f>
        <v>43969</v>
      </c>
      <c r="C11" s="19">
        <f>IFERROR(__xludf.DUMMYFUNCTION("""COMPUTED_VALUE"""),43975.0)</f>
        <v>43975</v>
      </c>
      <c r="D11" s="17">
        <f>IFERROR(__xludf.DUMMYFUNCTION("""COMPUTED_VALUE"""),21.0)</f>
        <v>21</v>
      </c>
      <c r="E11" s="17">
        <f>IFERROR(__xludf.DUMMYFUNCTION("""COMPUTED_VALUE"""),23231.0)</f>
        <v>23231</v>
      </c>
      <c r="F11" s="17">
        <f>IFERROR(__xludf.DUMMYFUNCTION("""COMPUTED_VALUE"""),2217.0)</f>
        <v>2217</v>
      </c>
      <c r="G11" s="62">
        <v>10.0</v>
      </c>
      <c r="H11" s="63">
        <f t="shared" si="2"/>
        <v>19752</v>
      </c>
      <c r="I11" s="63">
        <v>13855.666666666666</v>
      </c>
      <c r="J11" s="21">
        <f t="shared" si="3"/>
        <v>10166</v>
      </c>
      <c r="K11" s="22">
        <f>(F11/(VLOOKUP("Mexico",Poblacion!$A$2:$B$5,2,0)))*100000</f>
        <v>1.701951648</v>
      </c>
      <c r="L11" s="22">
        <f>(J11/(VLOOKUP("Mexico",Poblacion!$A$2:$B$5,2,0)))*100000</f>
        <v>7.804258211</v>
      </c>
      <c r="M11" s="22">
        <f t="shared" ref="M11:N11" si="12">K11+M10</f>
        <v>5.676242889</v>
      </c>
      <c r="N11" s="65">
        <f t="shared" si="12"/>
        <v>31.81428967</v>
      </c>
      <c r="O11" s="66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tr">
        <f>IFERROR(__xludf.DUMMYFUNCTION("""COMPUTED_VALUE"""),"Mexico")</f>
        <v>Mexico</v>
      </c>
      <c r="B12" s="61">
        <f>IFERROR(__xludf.DUMMYFUNCTION("""COMPUTED_VALUE"""),43976.0)</f>
        <v>43976</v>
      </c>
      <c r="C12" s="19">
        <f>IFERROR(__xludf.DUMMYFUNCTION("""COMPUTED_VALUE"""),43982.0)</f>
        <v>43982</v>
      </c>
      <c r="D12" s="17">
        <f>IFERROR(__xludf.DUMMYFUNCTION("""COMPUTED_VALUE"""),22.0)</f>
        <v>22</v>
      </c>
      <c r="E12" s="17">
        <f>IFERROR(__xludf.DUMMYFUNCTION("""COMPUTED_VALUE"""),23167.0)</f>
        <v>23167</v>
      </c>
      <c r="F12" s="17">
        <f>IFERROR(__xludf.DUMMYFUNCTION("""COMPUTED_VALUE"""),2536.0)</f>
        <v>2536</v>
      </c>
      <c r="G12" s="62">
        <v>11.0</v>
      </c>
      <c r="H12" s="63">
        <f t="shared" si="2"/>
        <v>18508</v>
      </c>
      <c r="I12" s="63">
        <v>13595.666666666666</v>
      </c>
      <c r="J12" s="21">
        <f t="shared" si="3"/>
        <v>10498</v>
      </c>
      <c r="K12" s="22">
        <f>(F12/(VLOOKUP("Mexico",Poblacion!$A$2:$B$5,2,0)))*100000</f>
        <v>1.9468423</v>
      </c>
      <c r="L12" s="22">
        <f>(J12/(VLOOKUP("Mexico",Poblacion!$A$2:$B$5,2,0)))*100000</f>
        <v>8.059128733</v>
      </c>
      <c r="M12" s="22">
        <f t="shared" ref="M12:N12" si="13">K12+M11</f>
        <v>7.623085189</v>
      </c>
      <c r="N12" s="65">
        <f t="shared" si="13"/>
        <v>39.8734184</v>
      </c>
      <c r="O12" s="66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tr">
        <f>IFERROR(__xludf.DUMMYFUNCTION("""COMPUTED_VALUE"""),"Mexico")</f>
        <v>Mexico</v>
      </c>
      <c r="B13" s="61">
        <f>IFERROR(__xludf.DUMMYFUNCTION("""COMPUTED_VALUE"""),43983.0)</f>
        <v>43983</v>
      </c>
      <c r="C13" s="19">
        <f>IFERROR(__xludf.DUMMYFUNCTION("""COMPUTED_VALUE"""),43989.0)</f>
        <v>43989</v>
      </c>
      <c r="D13" s="17">
        <f>IFERROR(__xludf.DUMMYFUNCTION("""COMPUTED_VALUE"""),23.0)</f>
        <v>23</v>
      </c>
      <c r="E13" s="17">
        <f>IFERROR(__xludf.DUMMYFUNCTION("""COMPUTED_VALUE"""),24121.0)</f>
        <v>24121</v>
      </c>
      <c r="F13" s="17">
        <f>IFERROR(__xludf.DUMMYFUNCTION("""COMPUTED_VALUE"""),3769.0)</f>
        <v>3769</v>
      </c>
      <c r="G13" s="62">
        <v>12.0</v>
      </c>
      <c r="H13" s="63">
        <f t="shared" si="2"/>
        <v>15494</v>
      </c>
      <c r="I13" s="63">
        <v>13468.6</v>
      </c>
      <c r="J13" s="21">
        <f t="shared" si="3"/>
        <v>11511.6</v>
      </c>
      <c r="K13" s="22">
        <f>(F13/(VLOOKUP("Mexico",Poblacion!$A$2:$B$5,2,0)))*100000</f>
        <v>2.89339457</v>
      </c>
      <c r="L13" s="22">
        <f>(J13/(VLOOKUP("Mexico",Poblacion!$A$2:$B$5,2,0)))*100000</f>
        <v>8.837251507</v>
      </c>
      <c r="M13" s="22">
        <f t="shared" ref="M13:N13" si="14">K13+M12</f>
        <v>10.51647976</v>
      </c>
      <c r="N13" s="65">
        <f t="shared" si="14"/>
        <v>48.71066991</v>
      </c>
      <c r="O13" s="66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tr">
        <f>IFERROR(__xludf.DUMMYFUNCTION("""COMPUTED_VALUE"""),"Mexico")</f>
        <v>Mexico</v>
      </c>
      <c r="B14" s="61">
        <f>IFERROR(__xludf.DUMMYFUNCTION("""COMPUTED_VALUE"""),43990.0)</f>
        <v>43990</v>
      </c>
      <c r="C14" s="19">
        <f>IFERROR(__xludf.DUMMYFUNCTION("""COMPUTED_VALUE"""),43996.0)</f>
        <v>43996</v>
      </c>
      <c r="D14" s="17">
        <f>IFERROR(__xludf.DUMMYFUNCTION("""COMPUTED_VALUE"""),24.0)</f>
        <v>24</v>
      </c>
      <c r="E14" s="17">
        <f>IFERROR(__xludf.DUMMYFUNCTION("""COMPUTED_VALUE"""),24719.0)</f>
        <v>24719</v>
      </c>
      <c r="F14" s="17">
        <f>IFERROR(__xludf.DUMMYFUNCTION("""COMPUTED_VALUE"""),3442.0)</f>
        <v>3442</v>
      </c>
      <c r="G14" s="62">
        <v>13.0</v>
      </c>
      <c r="H14" s="63">
        <f t="shared" si="2"/>
        <v>15345</v>
      </c>
      <c r="I14" s="63">
        <v>13175.6</v>
      </c>
      <c r="J14" s="21">
        <f t="shared" si="3"/>
        <v>12263.8</v>
      </c>
      <c r="K14" s="22">
        <f>(F14/(VLOOKUP("Mexico",Poblacion!$A$2:$B$5,2,0)))*100000</f>
        <v>2.642362459</v>
      </c>
      <c r="L14" s="22">
        <f>(J14/(VLOOKUP("Mexico",Poblacion!$A$2:$B$5,2,0)))*100000</f>
        <v>9.414702129</v>
      </c>
      <c r="M14" s="22">
        <f t="shared" ref="M14:N14" si="15">K14+M13</f>
        <v>13.15884222</v>
      </c>
      <c r="N14" s="65">
        <f t="shared" si="15"/>
        <v>58.12537204</v>
      </c>
      <c r="O14" s="66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tr">
        <f>IFERROR(__xludf.DUMMYFUNCTION("""COMPUTED_VALUE"""),"Mexico")</f>
        <v>Mexico</v>
      </c>
      <c r="B15" s="61">
        <f>IFERROR(__xludf.DUMMYFUNCTION("""COMPUTED_VALUE"""),43997.0)</f>
        <v>43997</v>
      </c>
      <c r="C15" s="19">
        <f>IFERROR(__xludf.DUMMYFUNCTION("""COMPUTED_VALUE"""),44003.0)</f>
        <v>44003</v>
      </c>
      <c r="D15" s="17">
        <f>IFERROR(__xludf.DUMMYFUNCTION("""COMPUTED_VALUE"""),25.0)</f>
        <v>25</v>
      </c>
      <c r="E15" s="17">
        <f>IFERROR(__xludf.DUMMYFUNCTION("""COMPUTED_VALUE"""),24945.0)</f>
        <v>24945</v>
      </c>
      <c r="F15" s="17">
        <f>IFERROR(__xludf.DUMMYFUNCTION("""COMPUTED_VALUE"""),4684.0)</f>
        <v>4684</v>
      </c>
      <c r="G15" s="62">
        <v>14.0</v>
      </c>
      <c r="H15" s="63">
        <f t="shared" si="2"/>
        <v>15448.5</v>
      </c>
      <c r="I15" s="63">
        <v>13256.6</v>
      </c>
      <c r="J15" s="21">
        <f t="shared" si="3"/>
        <v>12290</v>
      </c>
      <c r="K15" s="22">
        <f>(F15/(VLOOKUP("Mexico",Poblacion!$A$2:$B$5,2,0)))*100000</f>
        <v>3.59582387</v>
      </c>
      <c r="L15" s="22">
        <f>(J15/(VLOOKUP("Mexico",Poblacion!$A$2:$B$5,2,0)))*100000</f>
        <v>9.434815405</v>
      </c>
      <c r="M15" s="22">
        <f t="shared" ref="M15:N15" si="16">K15+M14</f>
        <v>16.75466609</v>
      </c>
      <c r="N15" s="65">
        <f t="shared" si="16"/>
        <v>67.56018744</v>
      </c>
      <c r="O15" s="66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tr">
        <f>IFERROR(__xludf.DUMMYFUNCTION("""COMPUTED_VALUE"""),"Mexico")</f>
        <v>Mexico</v>
      </c>
      <c r="B16" s="61">
        <f>IFERROR(__xludf.DUMMYFUNCTION("""COMPUTED_VALUE"""),44004.0)</f>
        <v>44004</v>
      </c>
      <c r="C16" s="19">
        <f>IFERROR(__xludf.DUMMYFUNCTION("""COMPUTED_VALUE"""),44010.0)</f>
        <v>44010</v>
      </c>
      <c r="D16" s="17">
        <f>IFERROR(__xludf.DUMMYFUNCTION("""COMPUTED_VALUE"""),26.0)</f>
        <v>26</v>
      </c>
      <c r="E16" s="17">
        <f>IFERROR(__xludf.DUMMYFUNCTION("""COMPUTED_VALUE"""),24718.0)</f>
        <v>24718</v>
      </c>
      <c r="F16" s="17">
        <f>IFERROR(__xludf.DUMMYFUNCTION("""COMPUTED_VALUE"""),4823.0)</f>
        <v>4823</v>
      </c>
      <c r="G16" s="62">
        <v>15.0</v>
      </c>
      <c r="H16" s="63">
        <f t="shared" si="2"/>
        <v>15478.5</v>
      </c>
      <c r="I16" s="63">
        <v>12888.0</v>
      </c>
      <c r="J16" s="21">
        <f t="shared" si="3"/>
        <v>12271.8</v>
      </c>
      <c r="K16" s="22">
        <f>(F16/(VLOOKUP("Mexico",Poblacion!$A$2:$B$5,2,0)))*100000</f>
        <v>3.702531709</v>
      </c>
      <c r="L16" s="22">
        <f>(J16/(VLOOKUP("Mexico",Poblacion!$A$2:$B$5,2,0)))*100000</f>
        <v>9.420843588</v>
      </c>
      <c r="M16" s="22">
        <f t="shared" ref="M16:N16" si="17">K16+M15</f>
        <v>20.4571978</v>
      </c>
      <c r="N16" s="65">
        <f t="shared" si="17"/>
        <v>76.98103103</v>
      </c>
      <c r="O16" s="66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tr">
        <f>IFERROR(__xludf.DUMMYFUNCTION("""COMPUTED_VALUE"""),"Mexico")</f>
        <v>Mexico</v>
      </c>
      <c r="B17" s="61">
        <f>IFERROR(__xludf.DUMMYFUNCTION("""COMPUTED_VALUE"""),44011.0)</f>
        <v>44011</v>
      </c>
      <c r="C17" s="19">
        <f>IFERROR(__xludf.DUMMYFUNCTION("""COMPUTED_VALUE"""),44017.0)</f>
        <v>44017</v>
      </c>
      <c r="D17" s="17">
        <f>IFERROR(__xludf.DUMMYFUNCTION("""COMPUTED_VALUE"""),27.0)</f>
        <v>27</v>
      </c>
      <c r="E17" s="17">
        <f>IFERROR(__xludf.DUMMYFUNCTION("""COMPUTED_VALUE"""),25495.0)</f>
        <v>25495</v>
      </c>
      <c r="F17" s="17">
        <f>IFERROR(__xludf.DUMMYFUNCTION("""COMPUTED_VALUE"""),3991.0)</f>
        <v>3991</v>
      </c>
      <c r="G17" s="62">
        <v>16.0</v>
      </c>
      <c r="H17" s="63">
        <f t="shared" si="2"/>
        <v>15515</v>
      </c>
      <c r="I17" s="63">
        <v>12754.0</v>
      </c>
      <c r="J17" s="21">
        <f t="shared" si="3"/>
        <v>12922</v>
      </c>
      <c r="K17" s="22">
        <f>(F17/(VLOOKUP("Mexico",Poblacion!$A$2:$B$5,2,0)))*100000</f>
        <v>3.063820039</v>
      </c>
      <c r="L17" s="22">
        <f>(J17/(VLOOKUP("Mexico",Poblacion!$A$2:$B$5,2,0)))*100000</f>
        <v>9.919990616</v>
      </c>
      <c r="M17" s="22">
        <f t="shared" ref="M17:N17" si="18">K17+M16</f>
        <v>23.52101784</v>
      </c>
      <c r="N17" s="65">
        <f t="shared" si="18"/>
        <v>86.90102165</v>
      </c>
      <c r="O17" s="66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tr">
        <f>IFERROR(__xludf.DUMMYFUNCTION("""COMPUTED_VALUE"""),"Mexico")</f>
        <v>Mexico</v>
      </c>
      <c r="B18" s="61">
        <f>IFERROR(__xludf.DUMMYFUNCTION("""COMPUTED_VALUE"""),44018.0)</f>
        <v>44018</v>
      </c>
      <c r="C18" s="19">
        <f>IFERROR(__xludf.DUMMYFUNCTION("""COMPUTED_VALUE"""),44024.0)</f>
        <v>44024</v>
      </c>
      <c r="D18" s="17">
        <f>IFERROR(__xludf.DUMMYFUNCTION("""COMPUTED_VALUE"""),28.0)</f>
        <v>28</v>
      </c>
      <c r="E18" s="17">
        <f>IFERROR(__xludf.DUMMYFUNCTION("""COMPUTED_VALUE"""),26446.0)</f>
        <v>26446</v>
      </c>
      <c r="F18" s="17">
        <f>IFERROR(__xludf.DUMMYFUNCTION("""COMPUTED_VALUE"""),4367.0)</f>
        <v>4367</v>
      </c>
      <c r="G18" s="62">
        <v>17.0</v>
      </c>
      <c r="H18" s="63">
        <f t="shared" si="2"/>
        <v>16289.5</v>
      </c>
      <c r="I18" s="63">
        <v>12924.4</v>
      </c>
      <c r="J18" s="21">
        <f t="shared" si="3"/>
        <v>13873.8</v>
      </c>
      <c r="K18" s="22">
        <f>(F18/(VLOOKUP("Mexico",Poblacion!$A$2:$B$5,2,0)))*100000</f>
        <v>3.352468582</v>
      </c>
      <c r="L18" s="22">
        <f>(J18/(VLOOKUP("Mexico",Poblacion!$A$2:$B$5,2,0)))*100000</f>
        <v>10.65067062</v>
      </c>
      <c r="M18" s="22">
        <f t="shared" ref="M18:N18" si="19">K18+M17</f>
        <v>26.87348642</v>
      </c>
      <c r="N18" s="65">
        <f t="shared" si="19"/>
        <v>97.55169227</v>
      </c>
      <c r="O18" s="66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tr">
        <f>IFERROR(__xludf.DUMMYFUNCTION("""COMPUTED_VALUE"""),"Mexico")</f>
        <v>Mexico</v>
      </c>
      <c r="B19" s="61">
        <f>IFERROR(__xludf.DUMMYFUNCTION("""COMPUTED_VALUE"""),44025.0)</f>
        <v>44025</v>
      </c>
      <c r="C19" s="19">
        <f>IFERROR(__xludf.DUMMYFUNCTION("""COMPUTED_VALUE"""),44031.0)</f>
        <v>44031</v>
      </c>
      <c r="D19" s="17">
        <f>IFERROR(__xludf.DUMMYFUNCTION("""COMPUTED_VALUE"""),29.0)</f>
        <v>29</v>
      </c>
      <c r="E19" s="17">
        <f>IFERROR(__xludf.DUMMYFUNCTION("""COMPUTED_VALUE"""),26446.0)</f>
        <v>26446</v>
      </c>
      <c r="F19" s="17">
        <f>IFERROR(__xludf.DUMMYFUNCTION("""COMPUTED_VALUE"""),4178.0)</f>
        <v>4178</v>
      </c>
      <c r="G19" s="62">
        <v>18.0</v>
      </c>
      <c r="H19" s="63">
        <f t="shared" si="2"/>
        <v>16968</v>
      </c>
      <c r="I19" s="63">
        <v>12848.0</v>
      </c>
      <c r="J19" s="21">
        <f t="shared" si="3"/>
        <v>13757.8</v>
      </c>
      <c r="K19" s="22">
        <f>(F19/(VLOOKUP("Mexico",Poblacion!$A$2:$B$5,2,0)))*100000</f>
        <v>3.207376628</v>
      </c>
      <c r="L19" s="22">
        <f>(J19/(VLOOKUP("Mexico",Poblacion!$A$2:$B$5,2,0)))*100000</f>
        <v>10.56161948</v>
      </c>
      <c r="M19" s="22">
        <f t="shared" ref="M19:N19" si="20">K19+M18</f>
        <v>30.08086305</v>
      </c>
      <c r="N19" s="65">
        <f t="shared" si="20"/>
        <v>108.1133117</v>
      </c>
      <c r="O19" s="66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tr">
        <f>IFERROR(__xludf.DUMMYFUNCTION("""COMPUTED_VALUE"""),"Mexico")</f>
        <v>Mexico</v>
      </c>
      <c r="B20" s="61">
        <f>IFERROR(__xludf.DUMMYFUNCTION("""COMPUTED_VALUE"""),44032.0)</f>
        <v>44032</v>
      </c>
      <c r="C20" s="19">
        <f>IFERROR(__xludf.DUMMYFUNCTION("""COMPUTED_VALUE"""),44038.0)</f>
        <v>44038</v>
      </c>
      <c r="D20" s="17">
        <f>IFERROR(__xludf.DUMMYFUNCTION("""COMPUTED_VALUE"""),30.0)</f>
        <v>30</v>
      </c>
      <c r="E20" s="17">
        <f>IFERROR(__xludf.DUMMYFUNCTION("""COMPUTED_VALUE"""),25733.0)</f>
        <v>25733</v>
      </c>
      <c r="F20" s="17">
        <f>IFERROR(__xludf.DUMMYFUNCTION("""COMPUTED_VALUE"""),4496.0)</f>
        <v>4496</v>
      </c>
      <c r="G20" s="62">
        <v>19.0</v>
      </c>
      <c r="H20" s="63">
        <f t="shared" si="2"/>
        <v>17678</v>
      </c>
      <c r="I20" s="63">
        <v>12796.2</v>
      </c>
      <c r="J20" s="21">
        <f t="shared" si="3"/>
        <v>12988.6</v>
      </c>
      <c r="K20" s="22">
        <f>(F20/(VLOOKUP("Mexico",Poblacion!$A$2:$B$5,2,0)))*100000</f>
        <v>3.451499598</v>
      </c>
      <c r="L20" s="22">
        <f>(J20/(VLOOKUP("Mexico",Poblacion!$A$2:$B$5,2,0)))*100000</f>
        <v>9.971118257</v>
      </c>
      <c r="M20" s="22">
        <f t="shared" ref="M20:N20" si="21">K20+M19</f>
        <v>33.53236265</v>
      </c>
      <c r="N20" s="65">
        <f t="shared" si="21"/>
        <v>118.08443</v>
      </c>
      <c r="O20" s="66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tr">
        <f>IFERROR(__xludf.DUMMYFUNCTION("""COMPUTED_VALUE"""),"Mexico")</f>
        <v>Mexico</v>
      </c>
      <c r="B21" s="61">
        <f>IFERROR(__xludf.DUMMYFUNCTION("""COMPUTED_VALUE"""),44039.0)</f>
        <v>44039</v>
      </c>
      <c r="C21" s="19">
        <f>IFERROR(__xludf.DUMMYFUNCTION("""COMPUTED_VALUE"""),44045.0)</f>
        <v>44045</v>
      </c>
      <c r="D21" s="17">
        <f>IFERROR(__xludf.DUMMYFUNCTION("""COMPUTED_VALUE"""),31.0)</f>
        <v>31</v>
      </c>
      <c r="E21" s="17">
        <f>IFERROR(__xludf.DUMMYFUNCTION("""COMPUTED_VALUE"""),24795.0)</f>
        <v>24795</v>
      </c>
      <c r="F21" s="17">
        <f>IFERROR(__xludf.DUMMYFUNCTION("""COMPUTED_VALUE"""),4066.0)</f>
        <v>4066</v>
      </c>
      <c r="G21" s="62">
        <v>20.0</v>
      </c>
      <c r="H21" s="63">
        <f t="shared" si="2"/>
        <v>18288.5</v>
      </c>
      <c r="I21" s="63">
        <v>12867.6</v>
      </c>
      <c r="J21" s="21">
        <f t="shared" si="3"/>
        <v>11975.2</v>
      </c>
      <c r="K21" s="22">
        <f>(F21/(VLOOKUP("Mexico",Poblacion!$A$2:$B$5,2,0)))*100000</f>
        <v>3.121396211</v>
      </c>
      <c r="L21" s="22">
        <f>(J21/(VLOOKUP("Mexico",Poblacion!$A$2:$B$5,2,0)))*100000</f>
        <v>9.193149019</v>
      </c>
      <c r="M21" s="22">
        <f t="shared" ref="M21:N21" si="22">K21+M20</f>
        <v>36.65375886</v>
      </c>
      <c r="N21" s="65">
        <f t="shared" si="22"/>
        <v>127.277579</v>
      </c>
      <c r="O21" s="66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tr">
        <f>IFERROR(__xludf.DUMMYFUNCTION("""COMPUTED_VALUE"""),"Mexico")</f>
        <v>Mexico</v>
      </c>
      <c r="B22" s="61">
        <f>IFERROR(__xludf.DUMMYFUNCTION("""COMPUTED_VALUE"""),44046.0)</f>
        <v>44046</v>
      </c>
      <c r="C22" s="19">
        <f>IFERROR(__xludf.DUMMYFUNCTION("""COMPUTED_VALUE"""),44052.0)</f>
        <v>44052</v>
      </c>
      <c r="D22" s="17">
        <f>IFERROR(__xludf.DUMMYFUNCTION("""COMPUTED_VALUE"""),32.0)</f>
        <v>32</v>
      </c>
      <c r="E22" s="17">
        <f>IFERROR(__xludf.DUMMYFUNCTION("""COMPUTED_VALUE"""),23817.0)</f>
        <v>23817</v>
      </c>
      <c r="F22" s="17">
        <f>IFERROR(__xludf.DUMMYFUNCTION("""COMPUTED_VALUE"""),4552.0)</f>
        <v>4552</v>
      </c>
      <c r="G22" s="62">
        <v>21.0</v>
      </c>
      <c r="H22" s="63">
        <f t="shared" si="2"/>
        <v>18794.5</v>
      </c>
      <c r="I22" s="63">
        <v>13065.0</v>
      </c>
      <c r="J22" s="21">
        <f t="shared" si="3"/>
        <v>11273.4</v>
      </c>
      <c r="K22" s="22">
        <f>(F22/(VLOOKUP("Mexico",Poblacion!$A$2:$B$5,2,0)))*100000</f>
        <v>3.494489807</v>
      </c>
      <c r="L22" s="22">
        <f>(J22/(VLOOKUP("Mexico",Poblacion!$A$2:$B$5,2,0)))*100000</f>
        <v>8.654389584</v>
      </c>
      <c r="M22" s="22">
        <f t="shared" ref="M22:N22" si="23">K22+M21</f>
        <v>40.14824866</v>
      </c>
      <c r="N22" s="65">
        <f t="shared" si="23"/>
        <v>135.9319686</v>
      </c>
      <c r="O22" s="66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tr">
        <f>IFERROR(__xludf.DUMMYFUNCTION("""COMPUTED_VALUE"""),"Mexico")</f>
        <v>Mexico</v>
      </c>
      <c r="B23" s="61">
        <f>IFERROR(__xludf.DUMMYFUNCTION("""COMPUTED_VALUE"""),44053.0)</f>
        <v>44053</v>
      </c>
      <c r="C23" s="19">
        <f>IFERROR(__xludf.DUMMYFUNCTION("""COMPUTED_VALUE"""),44059.0)</f>
        <v>44059</v>
      </c>
      <c r="D23" s="17">
        <f>IFERROR(__xludf.DUMMYFUNCTION("""COMPUTED_VALUE"""),33.0)</f>
        <v>33</v>
      </c>
      <c r="E23" s="17">
        <f>IFERROR(__xludf.DUMMYFUNCTION("""COMPUTED_VALUE"""),22666.0)</f>
        <v>22666</v>
      </c>
      <c r="F23" s="17">
        <f>IFERROR(__xludf.DUMMYFUNCTION("""COMPUTED_VALUE"""),4459.0)</f>
        <v>4459</v>
      </c>
      <c r="G23" s="62">
        <v>22.0</v>
      </c>
      <c r="H23" s="63">
        <f t="shared" si="2"/>
        <v>18555</v>
      </c>
      <c r="I23" s="63">
        <v>12669.0</v>
      </c>
      <c r="J23" s="21">
        <f t="shared" si="3"/>
        <v>10063</v>
      </c>
      <c r="K23" s="22">
        <f>(F23/(VLOOKUP("Mexico",Poblacion!$A$2:$B$5,2,0)))*100000</f>
        <v>3.423095353</v>
      </c>
      <c r="L23" s="22">
        <f>(J23/(VLOOKUP("Mexico",Poblacion!$A$2:$B$5,2,0)))*100000</f>
        <v>7.725186934</v>
      </c>
      <c r="M23" s="22">
        <f t="shared" ref="M23:N23" si="24">K23+M22</f>
        <v>43.57134402</v>
      </c>
      <c r="N23" s="65">
        <f t="shared" si="24"/>
        <v>143.6571555</v>
      </c>
      <c r="O23" s="66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tr">
        <f>IFERROR(__xludf.DUMMYFUNCTION("""COMPUTED_VALUE"""),"Mexico")</f>
        <v>Mexico</v>
      </c>
      <c r="B24" s="61">
        <f>IFERROR(__xludf.DUMMYFUNCTION("""COMPUTED_VALUE"""),44060.0)</f>
        <v>44060</v>
      </c>
      <c r="C24" s="19">
        <f>IFERROR(__xludf.DUMMYFUNCTION("""COMPUTED_VALUE"""),44066.0)</f>
        <v>44066</v>
      </c>
      <c r="D24" s="17">
        <f>IFERROR(__xludf.DUMMYFUNCTION("""COMPUTED_VALUE"""),34.0)</f>
        <v>34</v>
      </c>
      <c r="E24" s="17">
        <f>IFERROR(__xludf.DUMMYFUNCTION("""COMPUTED_VALUE"""),21725.0)</f>
        <v>21725</v>
      </c>
      <c r="F24" s="17">
        <f>IFERROR(__xludf.DUMMYFUNCTION("""COMPUTED_VALUE"""),3723.0)</f>
        <v>3723</v>
      </c>
      <c r="G24" s="62">
        <v>23.0</v>
      </c>
      <c r="H24" s="63">
        <f t="shared" si="2"/>
        <v>19130.5</v>
      </c>
      <c r="I24" s="63">
        <v>12609.4</v>
      </c>
      <c r="J24" s="21">
        <f t="shared" si="3"/>
        <v>9296.4</v>
      </c>
      <c r="K24" s="22">
        <f>(F24/(VLOOKUP("Mexico",Poblacion!$A$2:$B$5,2,0)))*100000</f>
        <v>2.858081184</v>
      </c>
      <c r="L24" s="22">
        <f>(J24/(VLOOKUP("Mexico",Poblacion!$A$2:$B$5,2,0)))*100000</f>
        <v>7.136681687</v>
      </c>
      <c r="M24" s="22">
        <f t="shared" ref="M24:N24" si="25">K24+M23</f>
        <v>46.4294252</v>
      </c>
      <c r="N24" s="65">
        <f t="shared" si="25"/>
        <v>150.7938372</v>
      </c>
      <c r="O24" s="66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tr">
        <f>IFERROR(__xludf.DUMMYFUNCTION("""COMPUTED_VALUE"""),"Mexico")</f>
        <v>Mexico</v>
      </c>
      <c r="B25" s="61">
        <f>IFERROR(__xludf.DUMMYFUNCTION("""COMPUTED_VALUE"""),44067.0)</f>
        <v>44067</v>
      </c>
      <c r="C25" s="19">
        <f>IFERROR(__xludf.DUMMYFUNCTION("""COMPUTED_VALUE"""),44073.0)</f>
        <v>44073</v>
      </c>
      <c r="D25" s="17">
        <f>IFERROR(__xludf.DUMMYFUNCTION("""COMPUTED_VALUE"""),35.0)</f>
        <v>35</v>
      </c>
      <c r="E25" s="17">
        <f>IFERROR(__xludf.DUMMYFUNCTION("""COMPUTED_VALUE"""),20837.0)</f>
        <v>20837</v>
      </c>
      <c r="F25" s="17">
        <f>IFERROR(__xludf.DUMMYFUNCTION("""COMPUTED_VALUE"""),3678.0)</f>
        <v>3678</v>
      </c>
      <c r="G25" s="62">
        <v>24.0</v>
      </c>
      <c r="H25" s="63">
        <f t="shared" si="2"/>
        <v>19490</v>
      </c>
      <c r="I25" s="63">
        <v>12455.2</v>
      </c>
      <c r="J25" s="21">
        <f t="shared" si="3"/>
        <v>8472.4</v>
      </c>
      <c r="K25" s="22">
        <f>(F25/(VLOOKUP("Mexico",Poblacion!$A$2:$B$5,2,0)))*100000</f>
        <v>2.823535481</v>
      </c>
      <c r="L25" s="22">
        <f>(J25/(VLOOKUP("Mexico",Poblacion!$A$2:$B$5,2,0)))*100000</f>
        <v>6.504111476</v>
      </c>
      <c r="M25" s="22">
        <f t="shared" ref="M25:N25" si="26">K25+M24</f>
        <v>49.25296068</v>
      </c>
      <c r="N25" s="65">
        <f t="shared" si="26"/>
        <v>157.2979487</v>
      </c>
      <c r="O25" s="66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tr">
        <f>IFERROR(__xludf.DUMMYFUNCTION("""COMPUTED_VALUE"""),"Mexico")</f>
        <v>Mexico</v>
      </c>
      <c r="B26" s="61">
        <f>IFERROR(__xludf.DUMMYFUNCTION("""COMPUTED_VALUE"""),44074.0)</f>
        <v>44074</v>
      </c>
      <c r="C26" s="19">
        <f>IFERROR(__xludf.DUMMYFUNCTION("""COMPUTED_VALUE"""),44080.0)</f>
        <v>44080</v>
      </c>
      <c r="D26" s="17">
        <f>IFERROR(__xludf.DUMMYFUNCTION("""COMPUTED_VALUE"""),36.0)</f>
        <v>36</v>
      </c>
      <c r="E26" s="17">
        <f>IFERROR(__xludf.DUMMYFUNCTION("""COMPUTED_VALUE"""),20156.0)</f>
        <v>20156</v>
      </c>
      <c r="F26" s="17">
        <f>IFERROR(__xludf.DUMMYFUNCTION("""COMPUTED_VALUE"""),3400.0)</f>
        <v>3400</v>
      </c>
      <c r="G26" s="62">
        <v>25.0</v>
      </c>
      <c r="H26" s="63">
        <f t="shared" si="2"/>
        <v>19634</v>
      </c>
      <c r="I26" s="63">
        <v>12655.0</v>
      </c>
      <c r="J26" s="21">
        <f t="shared" si="3"/>
        <v>7670.4</v>
      </c>
      <c r="K26" s="22">
        <f>(F26/(VLOOKUP("Mexico",Poblacion!$A$2:$B$5,2,0)))*100000</f>
        <v>2.610119803</v>
      </c>
      <c r="L26" s="22">
        <f>(J26/(VLOOKUP("Mexico",Poblacion!$A$2:$B$5,2,0)))*100000</f>
        <v>5.888430275</v>
      </c>
      <c r="M26" s="22">
        <f t="shared" ref="M26:N26" si="27">K26+M25</f>
        <v>51.86308048</v>
      </c>
      <c r="N26" s="65">
        <f t="shared" si="27"/>
        <v>163.186379</v>
      </c>
      <c r="O26" s="66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tr">
        <f>IFERROR(__xludf.DUMMYFUNCTION("""COMPUTED_VALUE"""),"Mexico")</f>
        <v>Mexico</v>
      </c>
      <c r="B27" s="61">
        <f>IFERROR(__xludf.DUMMYFUNCTION("""COMPUTED_VALUE"""),44081.0)</f>
        <v>44081</v>
      </c>
      <c r="C27" s="19">
        <f>IFERROR(__xludf.DUMMYFUNCTION("""COMPUTED_VALUE"""),44087.0)</f>
        <v>44087</v>
      </c>
      <c r="D27" s="17">
        <f>IFERROR(__xludf.DUMMYFUNCTION("""COMPUTED_VALUE"""),37.0)</f>
        <v>37</v>
      </c>
      <c r="E27" s="17">
        <f>IFERROR(__xludf.DUMMYFUNCTION("""COMPUTED_VALUE"""),19490.0)</f>
        <v>19490</v>
      </c>
      <c r="F27" s="17">
        <f>IFERROR(__xludf.DUMMYFUNCTION("""COMPUTED_VALUE"""),3263.0)</f>
        <v>3263</v>
      </c>
      <c r="G27" s="62">
        <v>26.0</v>
      </c>
      <c r="H27" s="63">
        <f t="shared" si="2"/>
        <v>19650</v>
      </c>
      <c r="I27" s="63">
        <v>12446.2</v>
      </c>
      <c r="J27" s="21">
        <f t="shared" si="3"/>
        <v>6817.8</v>
      </c>
      <c r="K27" s="22">
        <f>(F27/(VLOOKUP("Mexico",Poblacion!$A$2:$B$5,2,0)))*100000</f>
        <v>2.504947329</v>
      </c>
      <c r="L27" s="22">
        <f>(J27/(VLOOKUP("Mexico",Poblacion!$A$2:$B$5,2,0)))*100000</f>
        <v>5.233904351</v>
      </c>
      <c r="M27" s="22">
        <f t="shared" ref="M27:N27" si="28">K27+M26</f>
        <v>54.36802781</v>
      </c>
      <c r="N27" s="65">
        <f t="shared" si="28"/>
        <v>168.4202833</v>
      </c>
      <c r="O27" s="66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tr">
        <f>IFERROR(__xludf.DUMMYFUNCTION("""COMPUTED_VALUE"""),"Mexico")</f>
        <v>Mexico</v>
      </c>
      <c r="B28" s="61">
        <f>IFERROR(__xludf.DUMMYFUNCTION("""COMPUTED_VALUE"""),44088.0)</f>
        <v>44088</v>
      </c>
      <c r="C28" s="19">
        <f>IFERROR(__xludf.DUMMYFUNCTION("""COMPUTED_VALUE"""),44094.0)</f>
        <v>44094</v>
      </c>
      <c r="D28" s="17">
        <f>IFERROR(__xludf.DUMMYFUNCTION("""COMPUTED_VALUE"""),38.0)</f>
        <v>38</v>
      </c>
      <c r="E28" s="17">
        <f>IFERROR(__xludf.DUMMYFUNCTION("""COMPUTED_VALUE"""),18805.0)</f>
        <v>18805</v>
      </c>
      <c r="F28" s="17">
        <f>IFERROR(__xludf.DUMMYFUNCTION("""COMPUTED_VALUE"""),2672.0)</f>
        <v>2672</v>
      </c>
      <c r="G28" s="62">
        <v>27.0</v>
      </c>
      <c r="H28" s="63">
        <f t="shared" si="2"/>
        <v>20469.5</v>
      </c>
      <c r="I28" s="63">
        <v>12573.0</v>
      </c>
      <c r="J28" s="21">
        <f t="shared" si="3"/>
        <v>5973.8</v>
      </c>
      <c r="K28" s="22">
        <f>(F28/(VLOOKUP("Mexico",Poblacion!$A$2:$B$5,2,0)))*100000</f>
        <v>2.051247092</v>
      </c>
      <c r="L28" s="22">
        <f>(J28/(VLOOKUP("Mexico",Poblacion!$A$2:$B$5,2,0)))*100000</f>
        <v>4.585980494</v>
      </c>
      <c r="M28" s="22">
        <f t="shared" ref="M28:N28" si="29">K28+M27</f>
        <v>56.41927491</v>
      </c>
      <c r="N28" s="65">
        <f t="shared" si="29"/>
        <v>173.0062638</v>
      </c>
      <c r="O28" s="66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tr">
        <f>IFERROR(__xludf.DUMMYFUNCTION("""COMPUTED_VALUE"""),"Mexico")</f>
        <v>Mexico</v>
      </c>
      <c r="B29" s="61">
        <f>IFERROR(__xludf.DUMMYFUNCTION("""COMPUTED_VALUE"""),44095.0)</f>
        <v>44095</v>
      </c>
      <c r="C29" s="19">
        <f>IFERROR(__xludf.DUMMYFUNCTION("""COMPUTED_VALUE"""),44101.0)</f>
        <v>44101</v>
      </c>
      <c r="D29" s="17">
        <f>IFERROR(__xludf.DUMMYFUNCTION("""COMPUTED_VALUE"""),39.0)</f>
        <v>39</v>
      </c>
      <c r="E29" s="17">
        <f>IFERROR(__xludf.DUMMYFUNCTION("""COMPUTED_VALUE"""),18933.0)</f>
        <v>18933</v>
      </c>
      <c r="F29" s="17">
        <f>IFERROR(__xludf.DUMMYFUNCTION("""COMPUTED_VALUE"""),2937.0)</f>
        <v>2937</v>
      </c>
      <c r="G29" s="62">
        <v>28.0</v>
      </c>
      <c r="H29" s="63">
        <f t="shared" si="2"/>
        <v>21428</v>
      </c>
      <c r="I29" s="63">
        <v>12572.2</v>
      </c>
      <c r="J29" s="21">
        <f t="shared" si="3"/>
        <v>6374.6</v>
      </c>
      <c r="K29" s="22">
        <f>(F29/(VLOOKUP("Mexico",Poblacion!$A$2:$B$5,2,0)))*100000</f>
        <v>2.2546829</v>
      </c>
      <c r="L29" s="22">
        <f>(J29/(VLOOKUP("Mexico",Poblacion!$A$2:$B$5,2,0)))*100000</f>
        <v>4.893667558</v>
      </c>
      <c r="M29" s="22">
        <f t="shared" ref="M29:N29" si="30">K29+M28</f>
        <v>58.67395781</v>
      </c>
      <c r="N29" s="65">
        <f t="shared" si="30"/>
        <v>177.8999314</v>
      </c>
      <c r="O29" s="66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tr">
        <f>IFERROR(__xludf.DUMMYFUNCTION("""COMPUTED_VALUE"""),"Mexico")</f>
        <v>Mexico</v>
      </c>
      <c r="B30" s="61">
        <f>IFERROR(__xludf.DUMMYFUNCTION("""COMPUTED_VALUE"""),44102.0)</f>
        <v>44102</v>
      </c>
      <c r="C30" s="19">
        <f>IFERROR(__xludf.DUMMYFUNCTION("""COMPUTED_VALUE"""),44108.0)</f>
        <v>44108</v>
      </c>
      <c r="D30" s="17">
        <f>IFERROR(__xludf.DUMMYFUNCTION("""COMPUTED_VALUE"""),40.0)</f>
        <v>40</v>
      </c>
      <c r="E30" s="17">
        <f>IFERROR(__xludf.DUMMYFUNCTION("""COMPUTED_VALUE"""),18484.0)</f>
        <v>18484</v>
      </c>
      <c r="F30" s="17">
        <f>IFERROR(__xludf.DUMMYFUNCTION("""COMPUTED_VALUE"""),2658.0)</f>
        <v>2658</v>
      </c>
      <c r="G30" s="62">
        <v>29.0</v>
      </c>
      <c r="H30" s="63">
        <f t="shared" si="2"/>
        <v>22394</v>
      </c>
      <c r="I30" s="63">
        <v>12688.2</v>
      </c>
      <c r="J30" s="21">
        <f t="shared" si="3"/>
        <v>5609.2</v>
      </c>
      <c r="K30" s="22">
        <f>(F30/(VLOOKUP("Mexico",Poblacion!$A$2:$B$5,2,0)))*100000</f>
        <v>2.04049954</v>
      </c>
      <c r="L30" s="22">
        <f>(J30/(VLOOKUP("Mexico",Poblacion!$A$2:$B$5,2,0)))*100000</f>
        <v>4.306083529</v>
      </c>
      <c r="M30" s="22">
        <f t="shared" ref="M30:N30" si="31">K30+M29</f>
        <v>60.71445735</v>
      </c>
      <c r="N30" s="65">
        <f t="shared" si="31"/>
        <v>182.2060149</v>
      </c>
      <c r="O30" s="66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tr">
        <f>IFERROR(__xludf.DUMMYFUNCTION("""COMPUTED_VALUE"""),"Mexico")</f>
        <v>Mexico</v>
      </c>
      <c r="B31" s="61">
        <f>IFERROR(__xludf.DUMMYFUNCTION("""COMPUTED_VALUE"""),44109.0)</f>
        <v>44109</v>
      </c>
      <c r="C31" s="19">
        <f>IFERROR(__xludf.DUMMYFUNCTION("""COMPUTED_VALUE"""),44115.0)</f>
        <v>44115</v>
      </c>
      <c r="D31" s="17">
        <f>IFERROR(__xludf.DUMMYFUNCTION("""COMPUTED_VALUE"""),41.0)</f>
        <v>41</v>
      </c>
      <c r="E31" s="17">
        <f>IFERROR(__xludf.DUMMYFUNCTION("""COMPUTED_VALUE"""),18834.0)</f>
        <v>18834</v>
      </c>
      <c r="F31" s="17">
        <f>IFERROR(__xludf.DUMMYFUNCTION("""COMPUTED_VALUE"""),4693.0)</f>
        <v>4693</v>
      </c>
      <c r="G31" s="62">
        <v>30.0</v>
      </c>
      <c r="H31" s="63">
        <f t="shared" si="2"/>
        <v>23227</v>
      </c>
      <c r="I31" s="63">
        <v>12744.4</v>
      </c>
      <c r="J31" s="21">
        <f t="shared" si="3"/>
        <v>5974.2</v>
      </c>
      <c r="K31" s="22">
        <f>(F31/(VLOOKUP("Mexico",Poblacion!$A$2:$B$5,2,0)))*100000</f>
        <v>3.60273301</v>
      </c>
      <c r="L31" s="22">
        <f>(J31/(VLOOKUP("Mexico",Poblacion!$A$2:$B$5,2,0)))*100000</f>
        <v>4.586287567</v>
      </c>
      <c r="M31" s="22">
        <f t="shared" ref="M31:N31" si="32">K31+M30</f>
        <v>64.31719036</v>
      </c>
      <c r="N31" s="65">
        <f t="shared" si="32"/>
        <v>186.7923025</v>
      </c>
      <c r="O31" s="66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tr">
        <f>IFERROR(__xludf.DUMMYFUNCTION("""COMPUTED_VALUE"""),"Mexico")</f>
        <v>Mexico</v>
      </c>
      <c r="B32" s="61">
        <f>IFERROR(__xludf.DUMMYFUNCTION("""COMPUTED_VALUE"""),44116.0)</f>
        <v>44116</v>
      </c>
      <c r="C32" s="19">
        <f>IFERROR(__xludf.DUMMYFUNCTION("""COMPUTED_VALUE"""),44122.0)</f>
        <v>44122</v>
      </c>
      <c r="D32" s="17">
        <f>IFERROR(__xludf.DUMMYFUNCTION("""COMPUTED_VALUE"""),42.0)</f>
        <v>42</v>
      </c>
      <c r="E32" s="17">
        <f>IFERROR(__xludf.DUMMYFUNCTION("""COMPUTED_VALUE"""),18815.0)</f>
        <v>18815</v>
      </c>
      <c r="F32" s="17">
        <f>IFERROR(__xludf.DUMMYFUNCTION("""COMPUTED_VALUE"""),2386.0)</f>
        <v>2386</v>
      </c>
      <c r="G32" s="62">
        <v>31.0</v>
      </c>
      <c r="H32" s="63">
        <f t="shared" si="2"/>
        <v>24126</v>
      </c>
      <c r="I32" s="63">
        <v>12819.8</v>
      </c>
      <c r="J32" s="21">
        <f t="shared" si="3"/>
        <v>5881.2</v>
      </c>
      <c r="K32" s="22">
        <f>(F32/(VLOOKUP("Mexico",Poblacion!$A$2:$B$5,2,0)))*100000</f>
        <v>1.831689956</v>
      </c>
      <c r="L32" s="22">
        <f>(J32/(VLOOKUP("Mexico",Poblacion!$A$2:$B$5,2,0)))*100000</f>
        <v>4.514893113</v>
      </c>
      <c r="M32" s="22">
        <f t="shared" ref="M32:N32" si="33">K32+M31</f>
        <v>66.14888031</v>
      </c>
      <c r="N32" s="65">
        <f t="shared" si="33"/>
        <v>191.3071956</v>
      </c>
      <c r="O32" s="66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tr">
        <f>IFERROR(__xludf.DUMMYFUNCTION("""COMPUTED_VALUE"""),"Mexico")</f>
        <v>Mexico</v>
      </c>
      <c r="B33" s="61">
        <f>IFERROR(__xludf.DUMMYFUNCTION("""COMPUTED_VALUE"""),44123.0)</f>
        <v>44123</v>
      </c>
      <c r="C33" s="19">
        <f>IFERROR(__xludf.DUMMYFUNCTION("""COMPUTED_VALUE"""),44129.0)</f>
        <v>44129</v>
      </c>
      <c r="D33" s="17">
        <f>IFERROR(__xludf.DUMMYFUNCTION("""COMPUTED_VALUE"""),43.0)</f>
        <v>43</v>
      </c>
      <c r="E33" s="17">
        <f>IFERROR(__xludf.DUMMYFUNCTION("""COMPUTED_VALUE"""),19567.0)</f>
        <v>19567</v>
      </c>
      <c r="F33" s="17">
        <f>IFERROR(__xludf.DUMMYFUNCTION("""COMPUTED_VALUE"""),2757.0)</f>
        <v>2757</v>
      </c>
      <c r="G33" s="62">
        <v>32.0</v>
      </c>
      <c r="H33" s="63">
        <f t="shared" si="2"/>
        <v>24620</v>
      </c>
      <c r="I33" s="63">
        <v>12543.6</v>
      </c>
      <c r="J33" s="21">
        <f t="shared" si="3"/>
        <v>6569.2</v>
      </c>
      <c r="K33" s="22">
        <f>(F33/(VLOOKUP("Mexico",Poblacion!$A$2:$B$5,2,0)))*100000</f>
        <v>2.116500087</v>
      </c>
      <c r="L33" s="22">
        <f>(J33/(VLOOKUP("Mexico",Poblacion!$A$2:$B$5,2,0)))*100000</f>
        <v>5.043058532</v>
      </c>
      <c r="M33" s="22">
        <f t="shared" ref="M33:N33" si="34">K33+M32</f>
        <v>68.2653804</v>
      </c>
      <c r="N33" s="65">
        <f t="shared" si="34"/>
        <v>196.3502541</v>
      </c>
      <c r="O33" s="66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tr">
        <f>IFERROR(__xludf.DUMMYFUNCTION("""COMPUTED_VALUE"""),"Mexico")</f>
        <v>Mexico</v>
      </c>
      <c r="B34" s="61">
        <f>IFERROR(__xludf.DUMMYFUNCTION("""COMPUTED_VALUE"""),44130.0)</f>
        <v>44130</v>
      </c>
      <c r="C34" s="19">
        <f>IFERROR(__xludf.DUMMYFUNCTION("""COMPUTED_VALUE"""),44136.0)</f>
        <v>44136</v>
      </c>
      <c r="D34" s="17">
        <f>IFERROR(__xludf.DUMMYFUNCTION("""COMPUTED_VALUE"""),44.0)</f>
        <v>44</v>
      </c>
      <c r="E34" s="17">
        <f>IFERROR(__xludf.DUMMYFUNCTION("""COMPUTED_VALUE"""),20224.0)</f>
        <v>20224</v>
      </c>
      <c r="F34" s="17">
        <f>IFERROR(__xludf.DUMMYFUNCTION("""COMPUTED_VALUE"""),2971.0)</f>
        <v>2971</v>
      </c>
      <c r="G34" s="62">
        <v>33.0</v>
      </c>
      <c r="H34" s="63">
        <f t="shared" si="2"/>
        <v>24726</v>
      </c>
      <c r="I34" s="63">
        <v>12603.0</v>
      </c>
      <c r="J34" s="21">
        <f t="shared" si="3"/>
        <v>6992.6</v>
      </c>
      <c r="K34" s="22">
        <f>(F34/(VLOOKUP("Mexico",Poblacion!$A$2:$B$5,2,0)))*100000</f>
        <v>2.280784098</v>
      </c>
      <c r="L34" s="22">
        <f>(J34/(VLOOKUP("Mexico",Poblacion!$A$2:$B$5,2,0)))*100000</f>
        <v>5.368095216</v>
      </c>
      <c r="M34" s="22">
        <f t="shared" ref="M34:N34" si="35">K34+M33</f>
        <v>70.5461645</v>
      </c>
      <c r="N34" s="65">
        <f t="shared" si="35"/>
        <v>201.7183493</v>
      </c>
      <c r="O34" s="66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tr">
        <f>IFERROR(__xludf.DUMMYFUNCTION("""COMPUTED_VALUE"""),"Mexico")</f>
        <v>Mexico</v>
      </c>
      <c r="B35" s="61">
        <f>IFERROR(__xludf.DUMMYFUNCTION("""COMPUTED_VALUE"""),44137.0)</f>
        <v>44137</v>
      </c>
      <c r="C35" s="19">
        <f>IFERROR(__xludf.DUMMYFUNCTION("""COMPUTED_VALUE"""),44143.0)</f>
        <v>44143</v>
      </c>
      <c r="D35" s="17">
        <f>IFERROR(__xludf.DUMMYFUNCTION("""COMPUTED_VALUE"""),45.0)</f>
        <v>45</v>
      </c>
      <c r="E35" s="17">
        <f>IFERROR(__xludf.DUMMYFUNCTION("""COMPUTED_VALUE"""),21326.0)</f>
        <v>21326</v>
      </c>
      <c r="F35" s="17">
        <f>IFERROR(__xludf.DUMMYFUNCTION("""COMPUTED_VALUE"""),3132.0)</f>
        <v>3132</v>
      </c>
      <c r="G35" s="62">
        <v>34.0</v>
      </c>
      <c r="H35" s="63">
        <f t="shared" si="2"/>
        <v>23751.5</v>
      </c>
      <c r="I35" s="63">
        <v>12428.6</v>
      </c>
      <c r="J35" s="21">
        <f t="shared" si="3"/>
        <v>8083.8</v>
      </c>
      <c r="K35" s="22">
        <f>(F35/(VLOOKUP("Mexico",Poblacion!$A$2:$B$5,2,0)))*100000</f>
        <v>2.404380948</v>
      </c>
      <c r="L35" s="22">
        <f>(J35/(VLOOKUP("Mexico",Poblacion!$A$2:$B$5,2,0)))*100000</f>
        <v>6.205790136</v>
      </c>
      <c r="M35" s="22">
        <f t="shared" ref="M35:N35" si="36">K35+M34</f>
        <v>72.95054545</v>
      </c>
      <c r="N35" s="65">
        <f t="shared" si="36"/>
        <v>207.9241395</v>
      </c>
      <c r="O35" s="66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tr">
        <f>IFERROR(__xludf.DUMMYFUNCTION("""COMPUTED_VALUE"""),"Mexico")</f>
        <v>Mexico</v>
      </c>
      <c r="B36" s="61">
        <f>IFERROR(__xludf.DUMMYFUNCTION("""COMPUTED_VALUE"""),44144.0)</f>
        <v>44144</v>
      </c>
      <c r="C36" s="19">
        <f>IFERROR(__xludf.DUMMYFUNCTION("""COMPUTED_VALUE"""),44150.0)</f>
        <v>44150</v>
      </c>
      <c r="D36" s="17">
        <f>IFERROR(__xludf.DUMMYFUNCTION("""COMPUTED_VALUE"""),46.0)</f>
        <v>46</v>
      </c>
      <c r="E36" s="17">
        <f>IFERROR(__xludf.DUMMYFUNCTION("""COMPUTED_VALUE"""),21619.0)</f>
        <v>21619</v>
      </c>
      <c r="F36" s="17">
        <f>IFERROR(__xludf.DUMMYFUNCTION("""COMPUTED_VALUE"""),3515.0)</f>
        <v>3515</v>
      </c>
      <c r="G36" s="62">
        <v>35.0</v>
      </c>
      <c r="H36" s="63">
        <f t="shared" si="2"/>
        <v>22944.5</v>
      </c>
      <c r="I36" s="63">
        <v>12364.6</v>
      </c>
      <c r="J36" s="21">
        <f t="shared" si="3"/>
        <v>8198.8</v>
      </c>
      <c r="K36" s="22">
        <f>(F36/(VLOOKUP("Mexico",Poblacion!$A$2:$B$5,2,0)))*100000</f>
        <v>2.698403267</v>
      </c>
      <c r="L36" s="22">
        <f>(J36/(VLOOKUP("Mexico",Poblacion!$A$2:$B$5,2,0)))*100000</f>
        <v>6.2940736</v>
      </c>
      <c r="M36" s="22">
        <f t="shared" ref="M36:N36" si="37">K36+M35</f>
        <v>75.64894871</v>
      </c>
      <c r="N36" s="65">
        <f t="shared" si="37"/>
        <v>214.2182131</v>
      </c>
      <c r="O36" s="66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tr">
        <f>IFERROR(__xludf.DUMMYFUNCTION("""COMPUTED_VALUE"""),"Mexico")</f>
        <v>Mexico</v>
      </c>
      <c r="B37" s="61">
        <f>IFERROR(__xludf.DUMMYFUNCTION("""COMPUTED_VALUE"""),44151.0)</f>
        <v>44151</v>
      </c>
      <c r="C37" s="19">
        <f>IFERROR(__xludf.DUMMYFUNCTION("""COMPUTED_VALUE"""),44157.0)</f>
        <v>44157</v>
      </c>
      <c r="D37" s="17">
        <f>IFERROR(__xludf.DUMMYFUNCTION("""COMPUTED_VALUE"""),47.0)</f>
        <v>47</v>
      </c>
      <c r="E37" s="17">
        <f>IFERROR(__xludf.DUMMYFUNCTION("""COMPUTED_VALUE"""),22294.0)</f>
        <v>22294</v>
      </c>
      <c r="F37" s="17">
        <f>IFERROR(__xludf.DUMMYFUNCTION("""COMPUTED_VALUE"""),3134.0)</f>
        <v>3134</v>
      </c>
      <c r="G37" s="62">
        <v>36.0</v>
      </c>
      <c r="H37" s="63">
        <f t="shared" si="2"/>
        <v>21589</v>
      </c>
      <c r="I37" s="63">
        <v>12485.6</v>
      </c>
      <c r="J37" s="21">
        <f t="shared" si="3"/>
        <v>8334.2</v>
      </c>
      <c r="K37" s="22">
        <f>(F37/(VLOOKUP("Mexico",Poblacion!$A$2:$B$5,2,0)))*100000</f>
        <v>2.405916312</v>
      </c>
      <c r="L37" s="22">
        <f>(J37/(VLOOKUP("Mexico",Poblacion!$A$2:$B$5,2,0)))*100000</f>
        <v>6.398017783</v>
      </c>
      <c r="M37" s="22">
        <f t="shared" ref="M37:N37" si="38">K37+M36</f>
        <v>78.05486503</v>
      </c>
      <c r="N37" s="65">
        <f t="shared" si="38"/>
        <v>220.6162309</v>
      </c>
      <c r="O37" s="66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tr">
        <f>IFERROR(__xludf.DUMMYFUNCTION("""COMPUTED_VALUE"""),"Mexico")</f>
        <v>Mexico</v>
      </c>
      <c r="B38" s="61">
        <f>IFERROR(__xludf.DUMMYFUNCTION("""COMPUTED_VALUE"""),44158.0)</f>
        <v>44158</v>
      </c>
      <c r="C38" s="19">
        <f>IFERROR(__xludf.DUMMYFUNCTION("""COMPUTED_VALUE"""),44164.0)</f>
        <v>44164</v>
      </c>
      <c r="D38" s="17">
        <f>IFERROR(__xludf.DUMMYFUNCTION("""COMPUTED_VALUE"""),48.0)</f>
        <v>48</v>
      </c>
      <c r="E38" s="17">
        <f>IFERROR(__xludf.DUMMYFUNCTION("""COMPUTED_VALUE"""),22534.0)</f>
        <v>22534</v>
      </c>
      <c r="F38" s="17">
        <f>IFERROR(__xludf.DUMMYFUNCTION("""COMPUTED_VALUE"""),3979.0)</f>
        <v>3979</v>
      </c>
      <c r="G38" s="62">
        <v>37.0</v>
      </c>
      <c r="H38" s="63">
        <f t="shared" si="2"/>
        <v>20498</v>
      </c>
      <c r="I38" s="63">
        <v>12672.2</v>
      </c>
      <c r="J38" s="21">
        <f t="shared" si="3"/>
        <v>8744.4</v>
      </c>
      <c r="K38" s="22">
        <f>(F38/(VLOOKUP("Mexico",Poblacion!$A$2:$B$5,2,0)))*100000</f>
        <v>3.054607852</v>
      </c>
      <c r="L38" s="22">
        <f>(J38/(VLOOKUP("Mexico",Poblacion!$A$2:$B$5,2,0)))*100000</f>
        <v>6.71292106</v>
      </c>
      <c r="M38" s="22">
        <f t="shared" ref="M38:N38" si="39">K38+M37</f>
        <v>81.10947288</v>
      </c>
      <c r="N38" s="65">
        <f t="shared" si="39"/>
        <v>227.3291519</v>
      </c>
      <c r="O38" s="66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tr">
        <f>IFERROR(__xludf.DUMMYFUNCTION("""COMPUTED_VALUE"""),"Mexico")</f>
        <v>Mexico</v>
      </c>
      <c r="B39" s="61">
        <f>IFERROR(__xludf.DUMMYFUNCTION("""COMPUTED_VALUE"""),44165.0)</f>
        <v>44165</v>
      </c>
      <c r="C39" s="19">
        <f>IFERROR(__xludf.DUMMYFUNCTION("""COMPUTED_VALUE"""),44171.0)</f>
        <v>44171</v>
      </c>
      <c r="D39" s="17">
        <f>IFERROR(__xludf.DUMMYFUNCTION("""COMPUTED_VALUE"""),49.0)</f>
        <v>49</v>
      </c>
      <c r="E39" s="17">
        <f>IFERROR(__xludf.DUMMYFUNCTION("""COMPUTED_VALUE"""),23495.0)</f>
        <v>23495</v>
      </c>
      <c r="F39" s="17">
        <f>IFERROR(__xludf.DUMMYFUNCTION("""COMPUTED_VALUE"""),4062.0)</f>
        <v>4062</v>
      </c>
      <c r="G39" s="62">
        <v>38.0</v>
      </c>
      <c r="H39" s="63">
        <f t="shared" si="2"/>
        <v>19196</v>
      </c>
      <c r="I39" s="63">
        <v>12831.2</v>
      </c>
      <c r="J39" s="21">
        <f t="shared" si="3"/>
        <v>9610.4</v>
      </c>
      <c r="K39" s="22">
        <f>(F39/(VLOOKUP("Mexico",Poblacion!$A$2:$B$5,2,0)))*100000</f>
        <v>3.118325482</v>
      </c>
      <c r="L39" s="22">
        <f>(J39/(VLOOKUP("Mexico",Poblacion!$A$2:$B$5,2,0)))*100000</f>
        <v>7.377733928</v>
      </c>
      <c r="M39" s="22">
        <f t="shared" ref="M39:N39" si="40">K39+M38</f>
        <v>84.22779836</v>
      </c>
      <c r="N39" s="65">
        <f t="shared" si="40"/>
        <v>234.7068858</v>
      </c>
      <c r="O39" s="66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tr">
        <f>IFERROR(__xludf.DUMMYFUNCTION("""COMPUTED_VALUE"""),"Mexico")</f>
        <v>Mexico</v>
      </c>
      <c r="B40" s="61">
        <f>IFERROR(__xludf.DUMMYFUNCTION("""COMPUTED_VALUE"""),44172.0)</f>
        <v>44172</v>
      </c>
      <c r="C40" s="19">
        <f>IFERROR(__xludf.DUMMYFUNCTION("""COMPUTED_VALUE"""),44178.0)</f>
        <v>44178</v>
      </c>
      <c r="D40" s="17">
        <f>IFERROR(__xludf.DUMMYFUNCTION("""COMPUTED_VALUE"""),50.0)</f>
        <v>50</v>
      </c>
      <c r="E40" s="17">
        <f>IFERROR(__xludf.DUMMYFUNCTION("""COMPUTED_VALUE"""),25342.0)</f>
        <v>25342</v>
      </c>
      <c r="F40" s="17">
        <f>IFERROR(__xludf.DUMMYFUNCTION("""COMPUTED_VALUE"""),4236.0)</f>
        <v>4236</v>
      </c>
      <c r="G40" s="62">
        <v>39.0</v>
      </c>
      <c r="H40" s="63">
        <f t="shared" si="2"/>
        <v>18325.5</v>
      </c>
      <c r="I40" s="63">
        <v>12558.4</v>
      </c>
      <c r="J40" s="21">
        <f t="shared" si="3"/>
        <v>10802.2</v>
      </c>
      <c r="K40" s="22">
        <f>(F40/(VLOOKUP("Mexico",Poblacion!$A$2:$B$5,2,0)))*100000</f>
        <v>3.251902202</v>
      </c>
      <c r="L40" s="22">
        <f>(J40/(VLOOKUP("Mexico",Poblacion!$A$2:$B$5,2,0)))*100000</f>
        <v>8.292657687</v>
      </c>
      <c r="M40" s="22">
        <f t="shared" ref="M40:N40" si="41">K40+M39</f>
        <v>87.47970056</v>
      </c>
      <c r="N40" s="65">
        <f t="shared" si="41"/>
        <v>242.9995435</v>
      </c>
      <c r="O40" s="66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tr">
        <f>IFERROR(__xludf.DUMMYFUNCTION("""COMPUTED_VALUE"""),"Mexico")</f>
        <v>Mexico</v>
      </c>
      <c r="B41" s="61">
        <f>IFERROR(__xludf.DUMMYFUNCTION("""COMPUTED_VALUE"""),44179.0)</f>
        <v>44179</v>
      </c>
      <c r="C41" s="19">
        <f>IFERROR(__xludf.DUMMYFUNCTION("""COMPUTED_VALUE"""),44185.0)</f>
        <v>44185</v>
      </c>
      <c r="D41" s="17">
        <f>IFERROR(__xludf.DUMMYFUNCTION("""COMPUTED_VALUE"""),51.0)</f>
        <v>51</v>
      </c>
      <c r="E41" s="17">
        <f>IFERROR(__xludf.DUMMYFUNCTION("""COMPUTED_VALUE"""),26560.0)</f>
        <v>26560</v>
      </c>
      <c r="F41" s="17">
        <f>IFERROR(__xludf.DUMMYFUNCTION("""COMPUTED_VALUE"""),4249.0)</f>
        <v>4249</v>
      </c>
      <c r="G41" s="62">
        <v>40.0</v>
      </c>
      <c r="H41" s="63">
        <f t="shared" si="2"/>
        <v>17028</v>
      </c>
      <c r="I41" s="63">
        <v>12874.8</v>
      </c>
      <c r="J41" s="21">
        <f t="shared" si="3"/>
        <v>11986.4</v>
      </c>
      <c r="K41" s="22">
        <f>(F41/(VLOOKUP("Mexico",Poblacion!$A$2:$B$5,2,0)))*100000</f>
        <v>3.261882071</v>
      </c>
      <c r="L41" s="22">
        <f>(J41/(VLOOKUP("Mexico",Poblacion!$A$2:$B$5,2,0)))*100000</f>
        <v>9.201747061</v>
      </c>
      <c r="M41" s="22">
        <f t="shared" ref="M41:N41" si="42">K41+M40</f>
        <v>90.74158263</v>
      </c>
      <c r="N41" s="65">
        <f t="shared" si="42"/>
        <v>252.2012906</v>
      </c>
      <c r="O41" s="66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tr">
        <f>IFERROR(__xludf.DUMMYFUNCTION("""COMPUTED_VALUE"""),"Mexico")</f>
        <v>Mexico</v>
      </c>
      <c r="B42" s="61">
        <f>IFERROR(__xludf.DUMMYFUNCTION("""COMPUTED_VALUE"""),44186.0)</f>
        <v>44186</v>
      </c>
      <c r="C42" s="19">
        <f>IFERROR(__xludf.DUMMYFUNCTION("""COMPUTED_VALUE"""),44192.0)</f>
        <v>44192</v>
      </c>
      <c r="D42" s="17">
        <f>IFERROR(__xludf.DUMMYFUNCTION("""COMPUTED_VALUE"""),52.0)</f>
        <v>52</v>
      </c>
      <c r="E42" s="17">
        <f>IFERROR(__xludf.DUMMYFUNCTION("""COMPUTED_VALUE"""),29609.0)</f>
        <v>29609</v>
      </c>
      <c r="F42" s="17">
        <f>IFERROR(__xludf.DUMMYFUNCTION("""COMPUTED_VALUE"""),4224.0)</f>
        <v>4224</v>
      </c>
      <c r="G42" s="62">
        <v>41.0</v>
      </c>
      <c r="H42" s="63">
        <f t="shared" si="2"/>
        <v>18834</v>
      </c>
      <c r="I42" s="63">
        <v>12859.8</v>
      </c>
      <c r="J42" s="21">
        <f t="shared" si="3"/>
        <v>14179</v>
      </c>
      <c r="K42" s="22">
        <f>(F42/(VLOOKUP("Mexico",Poblacion!$A$2:$B$5,2,0)))*100000</f>
        <v>3.242690014</v>
      </c>
      <c r="L42" s="22">
        <f>(J42/(VLOOKUP("Mexico",Poblacion!$A$2:$B$5,2,0)))*100000</f>
        <v>10.88496726</v>
      </c>
      <c r="M42" s="22">
        <f t="shared" ref="M42:N42" si="43">K42+M41</f>
        <v>93.98427265</v>
      </c>
      <c r="N42" s="65">
        <f t="shared" si="43"/>
        <v>263.0862579</v>
      </c>
      <c r="O42" s="66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tr">
        <f>IFERROR(__xludf.DUMMYFUNCTION("""COMPUTED_VALUE"""),"Mexico")</f>
        <v>Mexico</v>
      </c>
      <c r="B43" s="61">
        <f>IFERROR(__xludf.DUMMYFUNCTION("""COMPUTED_VALUE"""),44193.0)</f>
        <v>44193</v>
      </c>
      <c r="C43" s="19">
        <f>IFERROR(__xludf.DUMMYFUNCTION("""COMPUTED_VALUE"""),44199.0)</f>
        <v>44199</v>
      </c>
      <c r="D43" s="56">
        <f>IFERROR(__xludf.DUMMYFUNCTION("""COMPUTED_VALUE"""),53.0)</f>
        <v>53</v>
      </c>
      <c r="E43" s="17">
        <f>IFERROR(__xludf.DUMMYFUNCTION("""COMPUTED_VALUE"""),32637.0)</f>
        <v>32637</v>
      </c>
      <c r="F43" s="17">
        <f>IFERROR(__xludf.DUMMYFUNCTION("""COMPUTED_VALUE"""),4787.0)</f>
        <v>4787</v>
      </c>
      <c r="G43" s="62">
        <v>42.0</v>
      </c>
      <c r="H43" s="63">
        <f t="shared" si="2"/>
        <v>18815</v>
      </c>
      <c r="I43" s="63">
        <v>12933.8</v>
      </c>
      <c r="J43" s="21">
        <f t="shared" si="3"/>
        <v>18467</v>
      </c>
      <c r="K43" s="22">
        <f>(F43/(VLOOKUP("Mexico",Poblacion!$A$2:$B$5,2,0)))*100000</f>
        <v>3.674895146</v>
      </c>
      <c r="L43" s="22">
        <f>(J43/(VLOOKUP("Mexico",Poblacion!$A$2:$B$5,2,0)))*100000</f>
        <v>14.17678894</v>
      </c>
      <c r="M43" s="22">
        <f t="shared" ref="M43:N43" si="44">K43+M42</f>
        <v>97.65916779</v>
      </c>
      <c r="N43" s="65">
        <f t="shared" si="44"/>
        <v>277.2630468</v>
      </c>
      <c r="O43" s="66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tr">
        <f>IFERROR(__xludf.DUMMYFUNCTION("""COMPUTED_VALUE"""),"Mexico")</f>
        <v>Mexico</v>
      </c>
      <c r="B44" s="61">
        <f>IFERROR(__xludf.DUMMYFUNCTION("""COMPUTED_VALUE"""),44200.0)</f>
        <v>44200</v>
      </c>
      <c r="C44" s="19">
        <f>IFERROR(__xludf.DUMMYFUNCTION("""COMPUTED_VALUE"""),44206.0)</f>
        <v>44206</v>
      </c>
      <c r="D44" s="17">
        <f>IFERROR(__xludf.DUMMYFUNCTION("""COMPUTED_VALUE"""),1.0)</f>
        <v>1</v>
      </c>
      <c r="E44" s="17">
        <f>IFERROR(__xludf.DUMMYFUNCTION("""COMPUTED_VALUE"""),36287.0)</f>
        <v>36287</v>
      </c>
      <c r="F44" s="17">
        <f>IFERROR(__xludf.DUMMYFUNCTION("""COMPUTED_VALUE"""),6493.0)</f>
        <v>6493</v>
      </c>
      <c r="G44" s="62">
        <v>43.0</v>
      </c>
      <c r="H44" s="63">
        <f t="shared" si="2"/>
        <v>19567</v>
      </c>
      <c r="I44" s="63">
        <v>12997.8</v>
      </c>
      <c r="J44" s="21">
        <f t="shared" si="3"/>
        <v>20508</v>
      </c>
      <c r="K44" s="22">
        <f>(F44/(VLOOKUP("Mexico",Poblacion!$A$2:$B$5,2,0)))*100000</f>
        <v>4.984561141</v>
      </c>
      <c r="L44" s="22">
        <f>(J44/(VLOOKUP("Mexico",Poblacion!$A$2:$B$5,2,0)))*100000</f>
        <v>15.74362851</v>
      </c>
      <c r="M44" s="22">
        <f t="shared" ref="M44:N44" si="45">K44+M43</f>
        <v>102.6437289</v>
      </c>
      <c r="N44" s="65">
        <f t="shared" si="45"/>
        <v>293.0066753</v>
      </c>
      <c r="O44" s="55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tr">
        <f>IFERROR(__xludf.DUMMYFUNCTION("""COMPUTED_VALUE"""),"Mexico")</f>
        <v>Mexico</v>
      </c>
      <c r="B45" s="61">
        <f>IFERROR(__xludf.DUMMYFUNCTION("""COMPUTED_VALUE"""),44207.0)</f>
        <v>44207</v>
      </c>
      <c r="C45" s="19">
        <f>IFERROR(__xludf.DUMMYFUNCTION("""COMPUTED_VALUE"""),44213.0)</f>
        <v>44213</v>
      </c>
      <c r="D45" s="17">
        <f>IFERROR(__xludf.DUMMYFUNCTION("""COMPUTED_VALUE"""),2.0)</f>
        <v>2</v>
      </c>
      <c r="E45" s="17">
        <f>IFERROR(__xludf.DUMMYFUNCTION("""COMPUTED_VALUE"""),43427.0)</f>
        <v>43427</v>
      </c>
      <c r="F45" s="17">
        <f>IFERROR(__xludf.DUMMYFUNCTION("""COMPUTED_VALUE"""),6998.0)</f>
        <v>6998</v>
      </c>
      <c r="G45" s="62">
        <v>44.0</v>
      </c>
      <c r="H45" s="63">
        <f t="shared" si="2"/>
        <v>20224</v>
      </c>
      <c r="I45" s="63">
        <v>13231.4</v>
      </c>
      <c r="J45" s="21">
        <f t="shared" si="3"/>
        <v>27747</v>
      </c>
      <c r="K45" s="22">
        <f>(F45/(VLOOKUP("Mexico",Poblacion!$A$2:$B$5,2,0)))*100000</f>
        <v>5.3722407</v>
      </c>
      <c r="L45" s="22">
        <f>(J45/(VLOOKUP("Mexico",Poblacion!$A$2:$B$5,2,0)))*100000</f>
        <v>21.30088064</v>
      </c>
      <c r="M45" s="22">
        <f t="shared" ref="M45:N45" si="46">K45+M44</f>
        <v>108.0159696</v>
      </c>
      <c r="N45" s="65">
        <f t="shared" si="46"/>
        <v>314.3075559</v>
      </c>
      <c r="O45" s="55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tr">
        <f>IFERROR(__xludf.DUMMYFUNCTION("""COMPUTED_VALUE"""),"Mexico")</f>
        <v>Mexico</v>
      </c>
      <c r="B46" s="61">
        <f>IFERROR(__xludf.DUMMYFUNCTION("""COMPUTED_VALUE"""),44214.0)</f>
        <v>44214</v>
      </c>
      <c r="C46" s="19">
        <f>IFERROR(__xludf.DUMMYFUNCTION("""COMPUTED_VALUE"""),44220.0)</f>
        <v>44220</v>
      </c>
      <c r="D46" s="17">
        <f>IFERROR(__xludf.DUMMYFUNCTION("""COMPUTED_VALUE"""),3.0)</f>
        <v>3</v>
      </c>
      <c r="E46" s="17">
        <f>IFERROR(__xludf.DUMMYFUNCTION("""COMPUTED_VALUE"""),44667.0)</f>
        <v>44667</v>
      </c>
      <c r="F46" s="17">
        <f>IFERROR(__xludf.DUMMYFUNCTION("""COMPUTED_VALUE"""),8910.0)</f>
        <v>8910</v>
      </c>
      <c r="G46" s="62">
        <v>45.0</v>
      </c>
      <c r="H46" s="63">
        <f t="shared" si="2"/>
        <v>21326</v>
      </c>
      <c r="I46" s="63">
        <v>13242.2</v>
      </c>
      <c r="J46" s="21">
        <f t="shared" si="3"/>
        <v>29212.83333</v>
      </c>
      <c r="K46" s="22">
        <f>(F46/(VLOOKUP("Mexico",Poblacion!$A$2:$B$5,2,0)))*100000</f>
        <v>6.840049248</v>
      </c>
      <c r="L46" s="22">
        <f>(J46/(VLOOKUP("Mexico",Poblacion!$A$2:$B$5,2,0)))*100000</f>
        <v>22.42617494</v>
      </c>
      <c r="M46" s="22">
        <f t="shared" ref="M46:N46" si="47">K46+M45</f>
        <v>114.8560189</v>
      </c>
      <c r="N46" s="65">
        <f t="shared" si="47"/>
        <v>336.7337309</v>
      </c>
      <c r="O46" s="55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tr">
        <f>IFERROR(__xludf.DUMMYFUNCTION("""COMPUTED_VALUE"""),"Mexico")</f>
        <v>Mexico</v>
      </c>
      <c r="B47" s="61">
        <f>IFERROR(__xludf.DUMMYFUNCTION("""COMPUTED_VALUE"""),44221.0)</f>
        <v>44221</v>
      </c>
      <c r="C47" s="19">
        <f>IFERROR(__xludf.DUMMYFUNCTION("""COMPUTED_VALUE"""),44227.0)</f>
        <v>44227</v>
      </c>
      <c r="D47" s="17">
        <f>IFERROR(__xludf.DUMMYFUNCTION("""COMPUTED_VALUE"""),4.0)</f>
        <v>4</v>
      </c>
      <c r="E47" s="17">
        <f>IFERROR(__xludf.DUMMYFUNCTION("""COMPUTED_VALUE"""),36617.0)</f>
        <v>36617</v>
      </c>
      <c r="F47" s="17">
        <f>IFERROR(__xludf.DUMMYFUNCTION("""COMPUTED_VALUE"""),8922.0)</f>
        <v>8922</v>
      </c>
      <c r="G47" s="62">
        <v>46.0</v>
      </c>
      <c r="H47" s="63">
        <f t="shared" si="2"/>
        <v>21619</v>
      </c>
      <c r="I47" s="63">
        <v>13420.2</v>
      </c>
      <c r="J47" s="21">
        <f t="shared" si="3"/>
        <v>21500.66667</v>
      </c>
      <c r="K47" s="22">
        <f>(F47/(VLOOKUP("Mexico",Poblacion!$A$2:$B$5,2,0)))*100000</f>
        <v>6.849261436</v>
      </c>
      <c r="L47" s="22">
        <f>(J47/(VLOOKUP("Mexico",Poblacion!$A$2:$B$5,2,0)))*100000</f>
        <v>16.50568113</v>
      </c>
      <c r="M47" s="22">
        <f t="shared" ref="M47:N47" si="48">K47+M46</f>
        <v>121.7052803</v>
      </c>
      <c r="N47" s="65">
        <f t="shared" si="48"/>
        <v>353.239412</v>
      </c>
      <c r="O47" s="55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tr">
        <f>IFERROR(__xludf.DUMMYFUNCTION("""COMPUTED_VALUE"""),"Mexico")</f>
        <v>Mexico</v>
      </c>
      <c r="B48" s="61">
        <f>IFERROR(__xludf.DUMMYFUNCTION("""COMPUTED_VALUE"""),44228.0)</f>
        <v>44228</v>
      </c>
      <c r="C48" s="19">
        <f>IFERROR(__xludf.DUMMYFUNCTION("""COMPUTED_VALUE"""),44234.0)</f>
        <v>44234</v>
      </c>
      <c r="D48" s="17">
        <f>IFERROR(__xludf.DUMMYFUNCTION("""COMPUTED_VALUE"""),5.0)</f>
        <v>5</v>
      </c>
      <c r="E48" s="17">
        <f>IFERROR(__xludf.DUMMYFUNCTION("""COMPUTED_VALUE"""),31825.0)</f>
        <v>31825</v>
      </c>
      <c r="F48" s="17">
        <f>IFERROR(__xludf.DUMMYFUNCTION("""COMPUTED_VALUE"""),7664.0)</f>
        <v>7664</v>
      </c>
      <c r="G48" s="62">
        <v>47.0</v>
      </c>
      <c r="H48" s="63">
        <f t="shared" si="2"/>
        <v>22294</v>
      </c>
      <c r="I48" s="63">
        <v>13959.8</v>
      </c>
      <c r="J48" s="21">
        <f t="shared" si="3"/>
        <v>16811.5</v>
      </c>
      <c r="K48" s="22">
        <f>(F48/(VLOOKUP("Mexico",Poblacion!$A$2:$B$5,2,0)))*100000</f>
        <v>5.883517109</v>
      </c>
      <c r="L48" s="22">
        <f>(J48/(VLOOKUP("Mexico",Poblacion!$A$2:$B$5,2,0)))*100000</f>
        <v>12.9058909</v>
      </c>
      <c r="M48" s="22">
        <f t="shared" ref="M48:N48" si="49">K48+M47</f>
        <v>127.5887974</v>
      </c>
      <c r="N48" s="65">
        <f t="shared" si="49"/>
        <v>366.1453029</v>
      </c>
      <c r="O48" s="55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tr">
        <f>IFERROR(__xludf.DUMMYFUNCTION("""COMPUTED_VALUE"""),"Mexico")</f>
        <v>Mexico</v>
      </c>
      <c r="B49" s="61">
        <f>IFERROR(__xludf.DUMMYFUNCTION("""COMPUTED_VALUE"""),44235.0)</f>
        <v>44235</v>
      </c>
      <c r="C49" s="19">
        <f>IFERROR(__xludf.DUMMYFUNCTION("""COMPUTED_VALUE"""),44241.0)</f>
        <v>44241</v>
      </c>
      <c r="D49" s="17">
        <f>IFERROR(__xludf.DUMMYFUNCTION("""COMPUTED_VALUE"""),6.0)</f>
        <v>6</v>
      </c>
      <c r="E49" s="17">
        <f>IFERROR(__xludf.DUMMYFUNCTION("""COMPUTED_VALUE"""),26858.0)</f>
        <v>26858</v>
      </c>
      <c r="F49" s="17">
        <f>IFERROR(__xludf.DUMMYFUNCTION("""COMPUTED_VALUE"""),8007.0)</f>
        <v>8007</v>
      </c>
      <c r="G49" s="62">
        <v>48.0</v>
      </c>
      <c r="H49" s="63">
        <f t="shared" si="2"/>
        <v>22534</v>
      </c>
      <c r="I49" s="63">
        <v>13789.6</v>
      </c>
      <c r="J49" s="21">
        <f t="shared" si="3"/>
        <v>11751.16667</v>
      </c>
      <c r="K49" s="22">
        <f>(F49/(VLOOKUP("Mexico",Poblacion!$A$2:$B$5,2,0)))*100000</f>
        <v>6.146832136</v>
      </c>
      <c r="L49" s="22">
        <f>(J49/(VLOOKUP("Mexico",Poblacion!$A$2:$B$5,2,0)))*100000</f>
        <v>9.021162595</v>
      </c>
      <c r="M49" s="22">
        <f t="shared" ref="M49:N49" si="50">K49+M48</f>
        <v>133.7356296</v>
      </c>
      <c r="N49" s="65">
        <f t="shared" si="50"/>
        <v>375.1664655</v>
      </c>
      <c r="O49" s="55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tr">
        <f>IFERROR(__xludf.DUMMYFUNCTION("""COMPUTED_VALUE"""),"Mexico")</f>
        <v>Mexico</v>
      </c>
      <c r="B50" s="61">
        <f>IFERROR(__xludf.DUMMYFUNCTION("""COMPUTED_VALUE"""),44242.0)</f>
        <v>44242</v>
      </c>
      <c r="C50" s="19">
        <f>IFERROR(__xludf.DUMMYFUNCTION("""COMPUTED_VALUE"""),44248.0)</f>
        <v>44248</v>
      </c>
      <c r="D50" s="17">
        <f>IFERROR(__xludf.DUMMYFUNCTION("""COMPUTED_VALUE"""),7.0)</f>
        <v>7</v>
      </c>
      <c r="E50" s="17">
        <f>IFERROR(__xludf.DUMMYFUNCTION("""COMPUTED_VALUE"""),25330.0)</f>
        <v>25330</v>
      </c>
      <c r="F50" s="17">
        <f>IFERROR(__xludf.DUMMYFUNCTION("""COMPUTED_VALUE"""),5900.0)</f>
        <v>5900</v>
      </c>
      <c r="G50" s="62">
        <v>49.0</v>
      </c>
      <c r="H50" s="63">
        <f t="shared" si="2"/>
        <v>23495</v>
      </c>
      <c r="I50" s="63">
        <v>13884.6</v>
      </c>
      <c r="J50" s="21">
        <f t="shared" si="3"/>
        <v>10605.33333</v>
      </c>
      <c r="K50" s="22">
        <f>(F50/(VLOOKUP("Mexico",Poblacion!$A$2:$B$5,2,0)))*100000</f>
        <v>4.52932554</v>
      </c>
      <c r="L50" s="22">
        <f>(J50/(VLOOKUP("Mexico",Poblacion!$A$2:$B$5,2,0)))*100000</f>
        <v>8.141526632</v>
      </c>
      <c r="M50" s="22">
        <f t="shared" ref="M50:N50" si="51">K50+M49</f>
        <v>138.2649551</v>
      </c>
      <c r="N50" s="65">
        <f t="shared" si="51"/>
        <v>383.3079921</v>
      </c>
      <c r="O50" s="55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tr">
        <f>IFERROR(__xludf.DUMMYFUNCTION("""COMPUTED_VALUE"""),"Mexico")</f>
        <v>Mexico</v>
      </c>
      <c r="B51" s="61">
        <f>IFERROR(__xludf.DUMMYFUNCTION("""COMPUTED_VALUE"""),44249.0)</f>
        <v>44249</v>
      </c>
      <c r="C51" s="19">
        <f>IFERROR(__xludf.DUMMYFUNCTION("""COMPUTED_VALUE"""),44255.0)</f>
        <v>44255</v>
      </c>
      <c r="D51" s="17">
        <f>IFERROR(__xludf.DUMMYFUNCTION("""COMPUTED_VALUE"""),8.0)</f>
        <v>8</v>
      </c>
      <c r="E51" s="17">
        <f>IFERROR(__xludf.DUMMYFUNCTION("""COMPUTED_VALUE"""),24010.0)</f>
        <v>24010</v>
      </c>
      <c r="F51" s="17">
        <f>IFERROR(__xludf.DUMMYFUNCTION("""COMPUTED_VALUE"""),5608.0)</f>
        <v>5608</v>
      </c>
      <c r="G51" s="62">
        <v>50.0</v>
      </c>
      <c r="H51" s="63">
        <f t="shared" si="2"/>
        <v>25342</v>
      </c>
      <c r="I51" s="63">
        <v>14539.8</v>
      </c>
      <c r="J51" s="21">
        <f t="shared" si="3"/>
        <v>9582.333333</v>
      </c>
      <c r="K51" s="22">
        <f>(F51/(VLOOKUP("Mexico",Poblacion!$A$2:$B$5,2,0)))*100000</f>
        <v>4.30516231</v>
      </c>
      <c r="L51" s="22">
        <f>(J51/(VLOOKUP("Mexico",Poblacion!$A$2:$B$5,2,0)))*100000</f>
        <v>7.356187645</v>
      </c>
      <c r="M51" s="22">
        <f t="shared" ref="M51:N51" si="52">K51+M50</f>
        <v>142.5701174</v>
      </c>
      <c r="N51" s="65">
        <f t="shared" si="52"/>
        <v>390.6641798</v>
      </c>
      <c r="O51" s="55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tr">
        <f>IFERROR(__xludf.DUMMYFUNCTION("""COMPUTED_VALUE"""),"Mexico")</f>
        <v>Mexico</v>
      </c>
      <c r="B52" s="61">
        <f>IFERROR(__xludf.DUMMYFUNCTION("""COMPUTED_VALUE"""),44256.0)</f>
        <v>44256</v>
      </c>
      <c r="C52" s="19">
        <f>IFERROR(__xludf.DUMMYFUNCTION("""COMPUTED_VALUE"""),44262.0)</f>
        <v>44262</v>
      </c>
      <c r="D52" s="17">
        <f>IFERROR(__xludf.DUMMYFUNCTION("""COMPUTED_VALUE"""),9.0)</f>
        <v>9</v>
      </c>
      <c r="E52" s="17">
        <f>IFERROR(__xludf.DUMMYFUNCTION("""COMPUTED_VALUE"""),20488.0)</f>
        <v>20488</v>
      </c>
      <c r="F52" s="17">
        <f>IFERROR(__xludf.DUMMYFUNCTION("""COMPUTED_VALUE"""),4889.0)</f>
        <v>4889</v>
      </c>
      <c r="G52" s="62">
        <v>51.0</v>
      </c>
      <c r="H52" s="63">
        <f t="shared" si="2"/>
        <v>26560</v>
      </c>
      <c r="I52" s="63">
        <v>14573.6</v>
      </c>
      <c r="J52" s="21">
        <f t="shared" si="3"/>
        <v>6344.166667</v>
      </c>
      <c r="K52" s="22">
        <f>(F52/(VLOOKUP("Mexico",Poblacion!$A$2:$B$5,2,0)))*100000</f>
        <v>3.75319874</v>
      </c>
      <c r="L52" s="22">
        <f>(J52/(VLOOKUP("Mexico",Poblacion!$A$2:$B$5,2,0)))*100000</f>
        <v>4.870304426</v>
      </c>
      <c r="M52" s="22">
        <f t="shared" ref="M52:N52" si="53">K52+M51</f>
        <v>146.3233162</v>
      </c>
      <c r="N52" s="65">
        <f t="shared" si="53"/>
        <v>395.5344842</v>
      </c>
      <c r="O52" s="55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tr">
        <f>IFERROR(__xludf.DUMMYFUNCTION("""COMPUTED_VALUE"""),"Mexico")</f>
        <v>Mexico</v>
      </c>
      <c r="B53" s="61">
        <f>IFERROR(__xludf.DUMMYFUNCTION("""COMPUTED_VALUE"""),44263.0)</f>
        <v>44263</v>
      </c>
      <c r="C53" s="19">
        <f>IFERROR(__xludf.DUMMYFUNCTION("""COMPUTED_VALUE"""),44269.0)</f>
        <v>44269</v>
      </c>
      <c r="D53" s="17">
        <f>IFERROR(__xludf.DUMMYFUNCTION("""COMPUTED_VALUE"""),10.0)</f>
        <v>10</v>
      </c>
      <c r="E53" s="17">
        <f>IFERROR(__xludf.DUMMYFUNCTION("""COMPUTED_VALUE"""),19752.0)</f>
        <v>19752</v>
      </c>
      <c r="F53" s="17">
        <f>IFERROR(__xludf.DUMMYFUNCTION("""COMPUTED_VALUE"""),4106.0)</f>
        <v>4106</v>
      </c>
      <c r="G53" s="62">
        <v>52.0</v>
      </c>
      <c r="H53" s="63">
        <f t="shared" si="2"/>
        <v>29609</v>
      </c>
      <c r="I53" s="63">
        <v>15430.0</v>
      </c>
      <c r="J53" s="21">
        <f t="shared" si="3"/>
        <v>5896.333333</v>
      </c>
      <c r="K53" s="22">
        <f>(F53/(VLOOKUP("Mexico",Poblacion!$A$2:$B$5,2,0)))*100000</f>
        <v>3.152103503</v>
      </c>
      <c r="L53" s="22">
        <f>(J53/(VLOOKUP("Mexico",Poblacion!$A$2:$B$5,2,0)))*100000</f>
        <v>4.526510705</v>
      </c>
      <c r="M53" s="22">
        <f t="shared" ref="M53:N53" si="54">K53+M52</f>
        <v>149.4754197</v>
      </c>
      <c r="N53" s="65">
        <f t="shared" si="54"/>
        <v>400.0609949</v>
      </c>
      <c r="O53" s="55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tr">
        <f>IFERROR(__xludf.DUMMYFUNCTION("""COMPUTED_VALUE"""),"Mexico")</f>
        <v>Mexico</v>
      </c>
      <c r="B54" s="61">
        <f>IFERROR(__xludf.DUMMYFUNCTION("""COMPUTED_VALUE"""),44270.0)</f>
        <v>44270</v>
      </c>
      <c r="C54" s="19">
        <f>IFERROR(__xludf.DUMMYFUNCTION("""COMPUTED_VALUE"""),44276.0)</f>
        <v>44276</v>
      </c>
      <c r="D54" s="17">
        <f>IFERROR(__xludf.DUMMYFUNCTION("""COMPUTED_VALUE"""),11.0)</f>
        <v>11</v>
      </c>
      <c r="E54" s="17">
        <f>IFERROR(__xludf.DUMMYFUNCTION("""COMPUTED_VALUE"""),18508.0)</f>
        <v>18508</v>
      </c>
      <c r="F54" s="17">
        <f>IFERROR(__xludf.DUMMYFUNCTION("""COMPUTED_VALUE"""),3326.0)</f>
        <v>3326</v>
      </c>
      <c r="G54" s="62">
        <v>53.0</v>
      </c>
      <c r="H54" s="63">
        <f t="shared" si="2"/>
        <v>32637</v>
      </c>
      <c r="I54" s="63">
        <v>14170.0</v>
      </c>
      <c r="J54" s="21">
        <f t="shared" si="3"/>
        <v>4912.333333</v>
      </c>
      <c r="K54" s="22">
        <f>(F54/(VLOOKUP("Mexico",Poblacion!$A$2:$B$5,2,0)))*100000</f>
        <v>2.553311313</v>
      </c>
      <c r="L54" s="22">
        <f>(J54/(VLOOKUP("Mexico",Poblacion!$A$2:$B$5,2,0)))*100000</f>
        <v>3.771111327</v>
      </c>
      <c r="M54" s="22">
        <f t="shared" ref="M54:N54" si="55">K54+M53</f>
        <v>152.028731</v>
      </c>
      <c r="N54" s="65">
        <f t="shared" si="55"/>
        <v>403.8321062</v>
      </c>
      <c r="O54" s="55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tr">
        <f>IFERROR(__xludf.DUMMYFUNCTION("""COMPUTED_VALUE"""),"Mexico")</f>
        <v>Mexico</v>
      </c>
      <c r="B55" s="61">
        <f>IFERROR(__xludf.DUMMYFUNCTION("""COMPUTED_VALUE"""),44277.0)</f>
        <v>44277</v>
      </c>
      <c r="C55" s="19">
        <f>IFERROR(__xludf.DUMMYFUNCTION("""COMPUTED_VALUE"""),44283.0)</f>
        <v>44283</v>
      </c>
      <c r="D55" s="17">
        <f>IFERROR(__xludf.DUMMYFUNCTION("""COMPUTED_VALUE"""),12.0)</f>
        <v>12</v>
      </c>
      <c r="E55" s="17">
        <f>IFERROR(__xludf.DUMMYFUNCTION("""COMPUTED_VALUE"""),17801.0)</f>
        <v>17801</v>
      </c>
      <c r="F55" s="17">
        <f>IFERROR(__xludf.DUMMYFUNCTION("""COMPUTED_VALUE"""),3587.0)</f>
        <v>3587</v>
      </c>
      <c r="G55" s="62"/>
      <c r="H55" s="63"/>
      <c r="I55" s="63"/>
      <c r="J55" s="21">
        <f t="shared" si="3"/>
        <v>4332.4</v>
      </c>
      <c r="K55" s="22">
        <f>(F55/(VLOOKUP("Mexico",Poblacion!$A$2:$B$5,2,0)))*100000</f>
        <v>2.753676392</v>
      </c>
      <c r="L55" s="22">
        <f>(J55/(VLOOKUP("Mexico",Poblacion!$A$2:$B$5,2,0)))*100000</f>
        <v>3.325906775</v>
      </c>
      <c r="M55" s="22">
        <f t="shared" ref="M55:N55" si="56">K55+M54</f>
        <v>154.7824074</v>
      </c>
      <c r="N55" s="65">
        <f t="shared" si="56"/>
        <v>407.158013</v>
      </c>
      <c r="O55" s="55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tr">
        <f>IFERROR(__xludf.DUMMYFUNCTION("""COMPUTED_VALUE"""),"Mexico")</f>
        <v>Mexico</v>
      </c>
      <c r="B56" s="61">
        <f>IFERROR(__xludf.DUMMYFUNCTION("""COMPUTED_VALUE"""),44284.0)</f>
        <v>44284</v>
      </c>
      <c r="C56" s="19">
        <f>IFERROR(__xludf.DUMMYFUNCTION("""COMPUTED_VALUE"""),44290.0)</f>
        <v>44290</v>
      </c>
      <c r="D56" s="17">
        <f>IFERROR(__xludf.DUMMYFUNCTION("""COMPUTED_VALUE"""),13.0)</f>
        <v>13</v>
      </c>
      <c r="E56" s="17">
        <f>IFERROR(__xludf.DUMMYFUNCTION("""COMPUTED_VALUE"""),16992.0)</f>
        <v>16992</v>
      </c>
      <c r="F56" s="17">
        <f>IFERROR(__xludf.DUMMYFUNCTION("""COMPUTED_VALUE"""),2524.0)</f>
        <v>2524</v>
      </c>
      <c r="G56" s="63"/>
      <c r="H56" s="63"/>
      <c r="I56" s="63"/>
      <c r="J56" s="21">
        <f t="shared" si="3"/>
        <v>3816.4</v>
      </c>
      <c r="K56" s="22">
        <f>(F56/(VLOOKUP("Mexico",Poblacion!$A$2:$B$5,2,0)))*100000</f>
        <v>1.937630113</v>
      </c>
      <c r="L56" s="22">
        <f>(J56/(VLOOKUP("Mexico",Poblacion!$A$2:$B$5,2,0)))*100000</f>
        <v>2.929782711</v>
      </c>
      <c r="M56" s="22">
        <f t="shared" ref="M56:N56" si="57">K56+M55</f>
        <v>156.7200375</v>
      </c>
      <c r="N56" s="65">
        <f t="shared" si="57"/>
        <v>410.0877957</v>
      </c>
      <c r="O56" s="55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tr">
        <f>IFERROR(__xludf.DUMMYFUNCTION("""COMPUTED_VALUE"""),"Mexico")</f>
        <v>Mexico</v>
      </c>
      <c r="B57" s="61">
        <f>IFERROR(__xludf.DUMMYFUNCTION("""COMPUTED_VALUE"""),44291.0)</f>
        <v>44291</v>
      </c>
      <c r="C57" s="19">
        <f>IFERROR(__xludf.DUMMYFUNCTION("""COMPUTED_VALUE"""),44297.0)</f>
        <v>44297</v>
      </c>
      <c r="D57" s="17">
        <f>IFERROR(__xludf.DUMMYFUNCTION("""COMPUTED_VALUE"""),14.0)</f>
        <v>14</v>
      </c>
      <c r="E57" s="17">
        <f>IFERROR(__xludf.DUMMYFUNCTION("""COMPUTED_VALUE"""),17364.0)</f>
        <v>17364</v>
      </c>
      <c r="F57" s="17">
        <f>IFERROR(__xludf.DUMMYFUNCTION("""COMPUTED_VALUE"""),5191.0)</f>
        <v>5191</v>
      </c>
      <c r="G57" s="63"/>
      <c r="H57" s="63"/>
      <c r="I57" s="63"/>
      <c r="J57" s="21">
        <f t="shared" si="3"/>
        <v>4107.4</v>
      </c>
      <c r="K57" s="22">
        <f>(F57/(VLOOKUP("Mexico",Poblacion!$A$2:$B$5,2,0)))*100000</f>
        <v>3.985038793</v>
      </c>
      <c r="L57" s="22">
        <f>(J57/(VLOOKUP("Mexico",Poblacion!$A$2:$B$5,2,0)))*100000</f>
        <v>3.153178258</v>
      </c>
      <c r="M57" s="22">
        <f t="shared" ref="M57:N57" si="58">K57+M56</f>
        <v>160.7050763</v>
      </c>
      <c r="N57" s="65">
        <f t="shared" si="58"/>
        <v>413.240974</v>
      </c>
      <c r="O57" s="55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tr">
        <f>IFERROR(__xludf.DUMMYFUNCTION("""COMPUTED_VALUE"""),"Mexico")</f>
        <v>Mexico</v>
      </c>
      <c r="B58" s="61">
        <f>IFERROR(__xludf.DUMMYFUNCTION("""COMPUTED_VALUE"""),44298.0)</f>
        <v>44298</v>
      </c>
      <c r="C58" s="19">
        <f>IFERROR(__xludf.DUMMYFUNCTION("""COMPUTED_VALUE"""),44304.0)</f>
        <v>44304</v>
      </c>
      <c r="D58" s="17">
        <f>IFERROR(__xludf.DUMMYFUNCTION("""COMPUTED_VALUE"""),15.0)</f>
        <v>15</v>
      </c>
      <c r="E58" s="17">
        <f>IFERROR(__xludf.DUMMYFUNCTION("""COMPUTED_VALUE"""),16927.0)</f>
        <v>16927</v>
      </c>
      <c r="F58" s="17">
        <f>IFERROR(__xludf.DUMMYFUNCTION("""COMPUTED_VALUE"""),3001.0)</f>
        <v>3001</v>
      </c>
      <c r="G58" s="63"/>
      <c r="H58" s="63"/>
      <c r="I58" s="63"/>
      <c r="J58" s="21">
        <f t="shared" si="3"/>
        <v>4039</v>
      </c>
      <c r="K58" s="22">
        <f>(F58/(VLOOKUP("Mexico",Poblacion!$A$2:$B$5,2,0)))*100000</f>
        <v>2.303814567</v>
      </c>
      <c r="L58" s="22">
        <f>(J58/(VLOOKUP("Mexico",Poblacion!$A$2:$B$5,2,0)))*100000</f>
        <v>3.100668789</v>
      </c>
      <c r="M58" s="22">
        <f t="shared" ref="M58:N58" si="59">K58+M57</f>
        <v>163.0088908</v>
      </c>
      <c r="N58" s="65">
        <f t="shared" si="59"/>
        <v>416.3416428</v>
      </c>
      <c r="O58" s="55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tr">
        <f>IFERROR(__xludf.DUMMYFUNCTION("""COMPUTED_VALUE"""),"Mexico")</f>
        <v>Mexico</v>
      </c>
      <c r="B59" s="61">
        <f>IFERROR(__xludf.DUMMYFUNCTION("""COMPUTED_VALUE"""),44305.0)</f>
        <v>44305</v>
      </c>
      <c r="C59" s="19">
        <f>IFERROR(__xludf.DUMMYFUNCTION("""COMPUTED_VALUE"""),44311.0)</f>
        <v>44311</v>
      </c>
      <c r="D59" s="17">
        <f>IFERROR(__xludf.DUMMYFUNCTION("""COMPUTED_VALUE"""),16.0)</f>
        <v>16</v>
      </c>
      <c r="E59" s="17">
        <f>IFERROR(__xludf.DUMMYFUNCTION("""COMPUTED_VALUE"""),16037.0)</f>
        <v>16037</v>
      </c>
      <c r="F59" s="17">
        <f>IFERROR(__xludf.DUMMYFUNCTION("""COMPUTED_VALUE"""),2608.0)</f>
        <v>2608</v>
      </c>
      <c r="G59" s="63"/>
      <c r="H59" s="63"/>
      <c r="I59" s="63"/>
      <c r="J59" s="21">
        <f t="shared" si="3"/>
        <v>3283</v>
      </c>
      <c r="K59" s="22">
        <f>(F59/(VLOOKUP("Mexico",Poblacion!$A$2:$B$5,2,0)))*100000</f>
        <v>2.002115425</v>
      </c>
      <c r="L59" s="22">
        <f>(J59/(VLOOKUP("Mexico",Poblacion!$A$2:$B$5,2,0)))*100000</f>
        <v>2.520300974</v>
      </c>
      <c r="M59" s="22">
        <f t="shared" ref="M59:N59" si="60">K59+M58</f>
        <v>165.0110063</v>
      </c>
      <c r="N59" s="65">
        <f t="shared" si="60"/>
        <v>418.8619438</v>
      </c>
      <c r="O59" s="55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tr">
        <f>IFERROR(__xludf.DUMMYFUNCTION("""COMPUTED_VALUE"""),"Mexico")</f>
        <v>Mexico</v>
      </c>
      <c r="B60" s="61">
        <f>IFERROR(__xludf.DUMMYFUNCTION("""COMPUTED_VALUE"""),44312.0)</f>
        <v>44312</v>
      </c>
      <c r="C60" s="19">
        <f>IFERROR(__xludf.DUMMYFUNCTION("""COMPUTED_VALUE"""),44318.0)</f>
        <v>44318</v>
      </c>
      <c r="D60" s="17">
        <f>IFERROR(__xludf.DUMMYFUNCTION("""COMPUTED_VALUE"""),17.0)</f>
        <v>17</v>
      </c>
      <c r="E60" s="17">
        <f>IFERROR(__xludf.DUMMYFUNCTION("""COMPUTED_VALUE"""),15511.0)</f>
        <v>15511</v>
      </c>
      <c r="F60" s="17">
        <f>IFERROR(__xludf.DUMMYFUNCTION("""COMPUTED_VALUE"""),2286.0)</f>
        <v>2286</v>
      </c>
      <c r="G60" s="63"/>
      <c r="H60" s="63"/>
      <c r="I60" s="63"/>
      <c r="J60" s="21">
        <f t="shared" si="3"/>
        <v>2586.6</v>
      </c>
      <c r="K60" s="22">
        <f>(F60/(VLOOKUP("Mexico",Poblacion!$A$2:$B$5,2,0)))*100000</f>
        <v>1.754921726</v>
      </c>
      <c r="L60" s="22">
        <f>(J60/(VLOOKUP("Mexico",Poblacion!$A$2:$B$5,2,0)))*100000</f>
        <v>1.985687024</v>
      </c>
      <c r="M60" s="22">
        <f t="shared" ref="M60:N60" si="61">K60+M59</f>
        <v>166.765928</v>
      </c>
      <c r="N60" s="65">
        <f t="shared" si="61"/>
        <v>420.8476308</v>
      </c>
      <c r="O60" s="55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tr">
        <f>IFERROR(__xludf.DUMMYFUNCTION("""COMPUTED_VALUE"""),"Mexico")</f>
        <v>Mexico</v>
      </c>
      <c r="B61" s="61">
        <f>IFERROR(__xludf.DUMMYFUNCTION("""COMPUTED_VALUE"""),44319.0)</f>
        <v>44319</v>
      </c>
      <c r="C61" s="19">
        <f>IFERROR(__xludf.DUMMYFUNCTION("""COMPUTED_VALUE"""),44325.0)</f>
        <v>44325</v>
      </c>
      <c r="D61" s="17">
        <f>IFERROR(__xludf.DUMMYFUNCTION("""COMPUTED_VALUE"""),18.0)</f>
        <v>18</v>
      </c>
      <c r="E61" s="17">
        <f>IFERROR(__xludf.DUMMYFUNCTION("""COMPUTED_VALUE"""),15125.0)</f>
        <v>15125</v>
      </c>
      <c r="F61" s="17">
        <f>IFERROR(__xludf.DUMMYFUNCTION("""COMPUTED_VALUE"""),1752.0)</f>
        <v>1752</v>
      </c>
      <c r="G61" s="63"/>
      <c r="H61" s="63"/>
      <c r="I61" s="63"/>
      <c r="J61" s="21">
        <f t="shared" si="3"/>
        <v>2277</v>
      </c>
      <c r="K61" s="22">
        <f>(F61/(VLOOKUP("Mexico",Poblacion!$A$2:$B$5,2,0)))*100000</f>
        <v>1.344979381</v>
      </c>
      <c r="L61" s="22">
        <f>(J61/(VLOOKUP("Mexico",Poblacion!$A$2:$B$5,2,0)))*100000</f>
        <v>1.748012586</v>
      </c>
      <c r="M61" s="22">
        <f t="shared" ref="M61:N61" si="62">K61+M60</f>
        <v>168.1109074</v>
      </c>
      <c r="N61" s="65">
        <f t="shared" si="62"/>
        <v>422.5956434</v>
      </c>
      <c r="O61" s="55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tr">
        <f>IFERROR(__xludf.DUMMYFUNCTION("""COMPUTED_VALUE"""),"Mexico")</f>
        <v>Mexico</v>
      </c>
      <c r="B62" s="61">
        <f>IFERROR(__xludf.DUMMYFUNCTION("""COMPUTED_VALUE"""),44326.0)</f>
        <v>44326</v>
      </c>
      <c r="C62" s="19">
        <f>IFERROR(__xludf.DUMMYFUNCTION("""COMPUTED_VALUE"""),44332.0)</f>
        <v>44332</v>
      </c>
      <c r="D62" s="17">
        <f>IFERROR(__xludf.DUMMYFUNCTION("""COMPUTED_VALUE"""),19.0)</f>
        <v>19</v>
      </c>
      <c r="E62" s="17">
        <f>IFERROR(__xludf.DUMMYFUNCTION("""COMPUTED_VALUE"""),14734.0)</f>
        <v>14734</v>
      </c>
      <c r="F62" s="17">
        <f>IFERROR(__xludf.DUMMYFUNCTION("""COMPUTED_VALUE"""),1452.0)</f>
        <v>1452</v>
      </c>
      <c r="G62" s="63"/>
      <c r="H62" s="63"/>
      <c r="I62" s="63"/>
      <c r="J62" s="21">
        <f t="shared" si="3"/>
        <v>1937.8</v>
      </c>
      <c r="K62" s="22">
        <f>(F62/(VLOOKUP("Mexico",Poblacion!$A$2:$B$5,2,0)))*100000</f>
        <v>1.114674692</v>
      </c>
      <c r="L62" s="22">
        <f>(J62/(VLOOKUP("Mexico",Poblacion!$A$2:$B$5,2,0)))*100000</f>
        <v>1.487614751</v>
      </c>
      <c r="M62" s="22">
        <f t="shared" ref="M62:N62" si="63">K62+M61</f>
        <v>169.2255821</v>
      </c>
      <c r="N62" s="65">
        <f t="shared" si="63"/>
        <v>424.0832581</v>
      </c>
      <c r="O62" s="55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tr">
        <f>IFERROR(__xludf.DUMMYFUNCTION("""COMPUTED_VALUE"""),"Mexico")</f>
        <v>Mexico</v>
      </c>
      <c r="B63" s="61">
        <f>IFERROR(__xludf.DUMMYFUNCTION("""COMPUTED_VALUE"""),44333.0)</f>
        <v>44333</v>
      </c>
      <c r="C63" s="19">
        <f>IFERROR(__xludf.DUMMYFUNCTION("""COMPUTED_VALUE"""),44339.0)</f>
        <v>44339</v>
      </c>
      <c r="D63" s="17">
        <f>IFERROR(__xludf.DUMMYFUNCTION("""COMPUTED_VALUE"""),20.0)</f>
        <v>20</v>
      </c>
      <c r="E63" s="17">
        <f>IFERROR(__xludf.DUMMYFUNCTION("""COMPUTED_VALUE"""),14264.0)</f>
        <v>14264</v>
      </c>
      <c r="F63" s="17">
        <f>IFERROR(__xludf.DUMMYFUNCTION("""COMPUTED_VALUE"""),1210.0)</f>
        <v>1210</v>
      </c>
      <c r="G63" s="63"/>
      <c r="H63" s="63"/>
      <c r="I63" s="63"/>
      <c r="J63" s="21">
        <f t="shared" si="3"/>
        <v>1396.4</v>
      </c>
      <c r="K63" s="22">
        <f>(F63/(VLOOKUP("Mexico",Poblacion!$A$2:$B$5,2,0)))*100000</f>
        <v>0.9288955769</v>
      </c>
      <c r="L63" s="22">
        <f>(J63/(VLOOKUP("Mexico",Poblacion!$A$2:$B$5,2,0)))*100000</f>
        <v>1.071991557</v>
      </c>
      <c r="M63" s="22">
        <f t="shared" ref="M63:N63" si="64">K63+M62</f>
        <v>170.1544776</v>
      </c>
      <c r="N63" s="65">
        <f t="shared" si="64"/>
        <v>425.1552497</v>
      </c>
      <c r="O63" s="55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tr">
        <f>IFERROR(__xludf.DUMMYFUNCTION("""COMPUTED_VALUE"""),"Mexico")</f>
        <v>Mexico</v>
      </c>
      <c r="B64" s="61">
        <f>IFERROR(__xludf.DUMMYFUNCTION("""COMPUTED_VALUE"""),44340.0)</f>
        <v>44340</v>
      </c>
      <c r="C64" s="19">
        <f>IFERROR(__xludf.DUMMYFUNCTION("""COMPUTED_VALUE"""),44346.0)</f>
        <v>44346</v>
      </c>
      <c r="D64" s="17">
        <f>IFERROR(__xludf.DUMMYFUNCTION("""COMPUTED_VALUE"""),21.0)</f>
        <v>21</v>
      </c>
      <c r="E64" s="17">
        <f>IFERROR(__xludf.DUMMYFUNCTION("""COMPUTED_VALUE"""),14358.0)</f>
        <v>14358</v>
      </c>
      <c r="F64" s="17">
        <f>IFERROR(__xludf.DUMMYFUNCTION("""COMPUTED_VALUE"""),1860.0)</f>
        <v>1860</v>
      </c>
      <c r="G64" s="63"/>
      <c r="H64" s="63"/>
      <c r="I64" s="63"/>
      <c r="J64" s="21">
        <f t="shared" si="3"/>
        <v>1293</v>
      </c>
      <c r="K64" s="22">
        <f>(F64/(VLOOKUP("Mexico",Poblacion!$A$2:$B$5,2,0)))*100000</f>
        <v>1.427889069</v>
      </c>
      <c r="L64" s="22">
        <f>(J64/(VLOOKUP("Mexico",Poblacion!$A$2:$B$5,2,0)))*100000</f>
        <v>0.9926132074</v>
      </c>
      <c r="M64" s="22">
        <f t="shared" ref="M64:N64" si="65">K64+M63</f>
        <v>171.5823667</v>
      </c>
      <c r="N64" s="65">
        <f t="shared" si="65"/>
        <v>426.1478629</v>
      </c>
      <c r="O64" s="55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tr">
        <f>IFERROR(__xludf.DUMMYFUNCTION("""COMPUTED_VALUE"""),"Mexico")</f>
        <v>Mexico</v>
      </c>
      <c r="B65" s="61">
        <f>IFERROR(__xludf.DUMMYFUNCTION("""COMPUTED_VALUE"""),44347.0)</f>
        <v>44347</v>
      </c>
      <c r="C65" s="19">
        <f>IFERROR(__xludf.DUMMYFUNCTION("""COMPUTED_VALUE"""),44353.0)</f>
        <v>44353</v>
      </c>
      <c r="D65" s="17">
        <f>IFERROR(__xludf.DUMMYFUNCTION("""COMPUTED_VALUE"""),22.0)</f>
        <v>22</v>
      </c>
      <c r="E65" s="17">
        <f>IFERROR(__xludf.DUMMYFUNCTION("""COMPUTED_VALUE"""),13943.0)</f>
        <v>13943</v>
      </c>
      <c r="F65" s="17">
        <f>IFERROR(__xludf.DUMMYFUNCTION("""COMPUTED_VALUE"""),1025.0)</f>
        <v>1025</v>
      </c>
      <c r="G65" s="63"/>
      <c r="H65" s="63"/>
      <c r="I65" s="63"/>
      <c r="J65" s="21">
        <f t="shared" si="3"/>
        <v>1274</v>
      </c>
      <c r="K65" s="22">
        <f>(F65/(VLOOKUP("Mexico",Poblacion!$A$2:$B$5,2,0)))*100000</f>
        <v>0.7868743524</v>
      </c>
      <c r="L65" s="22">
        <f>(J65/(VLOOKUP("Mexico",Poblacion!$A$2:$B$5,2,0)))*100000</f>
        <v>0.9780272438</v>
      </c>
      <c r="M65" s="22">
        <f t="shared" ref="M65:N65" si="66">K65+M64</f>
        <v>172.3692411</v>
      </c>
      <c r="N65" s="65">
        <f t="shared" si="66"/>
        <v>427.1258901</v>
      </c>
      <c r="O65" s="55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tr">
        <f>IFERROR(__xludf.DUMMYFUNCTION("""COMPUTED_VALUE"""),"Mexico")</f>
        <v>Mexico</v>
      </c>
      <c r="B66" s="61">
        <f>IFERROR(__xludf.DUMMYFUNCTION("""COMPUTED_VALUE"""),44354.0)</f>
        <v>44354</v>
      </c>
      <c r="C66" s="19">
        <f>IFERROR(__xludf.DUMMYFUNCTION("""COMPUTED_VALUE"""),44360.0)</f>
        <v>44360</v>
      </c>
      <c r="D66" s="17">
        <f>IFERROR(__xludf.DUMMYFUNCTION("""COMPUTED_VALUE"""),23.0)</f>
        <v>23</v>
      </c>
      <c r="E66" s="17">
        <f>IFERROR(__xludf.DUMMYFUNCTION("""COMPUTED_VALUE"""),14140.0)</f>
        <v>14140</v>
      </c>
      <c r="F66" s="17">
        <f>IFERROR(__xludf.DUMMYFUNCTION("""COMPUTED_VALUE"""),1346.0)</f>
        <v>1346</v>
      </c>
      <c r="G66" s="63"/>
      <c r="H66" s="63"/>
      <c r="I66" s="63"/>
      <c r="J66" s="21">
        <f t="shared" si="3"/>
        <v>1530.6</v>
      </c>
      <c r="K66" s="22">
        <f>(F66/(VLOOKUP("Mexico",Poblacion!$A$2:$B$5,2,0)))*100000</f>
        <v>1.033300369</v>
      </c>
      <c r="L66" s="22">
        <f>(J66/(VLOOKUP("Mexico",Poblacion!$A$2:$B$5,2,0)))*100000</f>
        <v>1.175014521</v>
      </c>
      <c r="M66" s="22">
        <f t="shared" ref="M66:N66" si="67">K66+M65</f>
        <v>173.4025414</v>
      </c>
      <c r="N66" s="65">
        <f t="shared" si="67"/>
        <v>428.3009046</v>
      </c>
      <c r="O66" s="55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tr">
        <f>IFERROR(__xludf.DUMMYFUNCTION("""COMPUTED_VALUE"""),"Mexico")</f>
        <v>Mexico</v>
      </c>
      <c r="B67" s="61">
        <f>IFERROR(__xludf.DUMMYFUNCTION("""COMPUTED_VALUE"""),44361.0)</f>
        <v>44361</v>
      </c>
      <c r="C67" s="19">
        <f>IFERROR(__xludf.DUMMYFUNCTION("""COMPUTED_VALUE"""),44367.0)</f>
        <v>44367</v>
      </c>
      <c r="D67" s="17">
        <f>IFERROR(__xludf.DUMMYFUNCTION("""COMPUTED_VALUE"""),24.0)</f>
        <v>24</v>
      </c>
      <c r="E67" s="17">
        <f>IFERROR(__xludf.DUMMYFUNCTION("""COMPUTED_VALUE"""),14261.0)</f>
        <v>14261</v>
      </c>
      <c r="F67" s="17">
        <f>IFERROR(__xludf.DUMMYFUNCTION("""COMPUTED_VALUE"""),1037.0)</f>
        <v>1037</v>
      </c>
      <c r="G67" s="63"/>
      <c r="H67" s="63"/>
      <c r="I67" s="63"/>
      <c r="J67" s="21">
        <f t="shared" si="3"/>
        <v>1805.8</v>
      </c>
      <c r="K67" s="22">
        <f>(F67/(VLOOKUP("Mexico",Poblacion!$A$2:$B$5,2,0)))*100000</f>
        <v>0.7960865399</v>
      </c>
      <c r="L67" s="22">
        <f>(J67/(VLOOKUP("Mexico",Poblacion!$A$2:$B$5,2,0)))*100000</f>
        <v>1.386280688</v>
      </c>
      <c r="M67" s="22">
        <f t="shared" ref="M67:N67" si="68">K67+M66</f>
        <v>174.198628</v>
      </c>
      <c r="N67" s="65">
        <f t="shared" si="68"/>
        <v>429.6871853</v>
      </c>
      <c r="O67" s="55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tr">
        <f>IFERROR(__xludf.DUMMYFUNCTION("""COMPUTED_VALUE"""),"Mexico")</f>
        <v>Mexico</v>
      </c>
      <c r="B68" s="61">
        <f>IFERROR(__xludf.DUMMYFUNCTION("""COMPUTED_VALUE"""),44368.0)</f>
        <v>44368</v>
      </c>
      <c r="C68" s="19">
        <f>IFERROR(__xludf.DUMMYFUNCTION("""COMPUTED_VALUE"""),44374.0)</f>
        <v>44374</v>
      </c>
      <c r="D68" s="17">
        <f>IFERROR(__xludf.DUMMYFUNCTION("""COMPUTED_VALUE"""),25.0)</f>
        <v>25</v>
      </c>
      <c r="E68" s="17">
        <f>IFERROR(__xludf.DUMMYFUNCTION("""COMPUTED_VALUE"""),14323.0)</f>
        <v>14323</v>
      </c>
      <c r="F68" s="17">
        <f>IFERROR(__xludf.DUMMYFUNCTION("""COMPUTED_VALUE"""),1377.0)</f>
        <v>1377</v>
      </c>
      <c r="G68" s="63"/>
      <c r="H68" s="63"/>
      <c r="I68" s="63"/>
      <c r="J68" s="21">
        <f t="shared" si="3"/>
        <v>1668</v>
      </c>
      <c r="K68" s="22">
        <f>(F68/(VLOOKUP("Mexico",Poblacion!$A$2:$B$5,2,0)))*100000</f>
        <v>1.05709852</v>
      </c>
      <c r="L68" s="22">
        <f>(J68/(VLOOKUP("Mexico",Poblacion!$A$2:$B$5,2,0)))*100000</f>
        <v>1.280494068</v>
      </c>
      <c r="M68" s="22">
        <f t="shared" ref="M68:N68" si="69">K68+M67</f>
        <v>175.2557265</v>
      </c>
      <c r="N68" s="65">
        <f t="shared" si="69"/>
        <v>430.9676794</v>
      </c>
      <c r="O68" s="55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tr">
        <f>IFERROR(__xludf.DUMMYFUNCTION("""COMPUTED_VALUE"""),"Mexico")</f>
        <v>Mexico</v>
      </c>
      <c r="B69" s="61">
        <f>IFERROR(__xludf.DUMMYFUNCTION("""COMPUTED_VALUE"""),44375.0)</f>
        <v>44375</v>
      </c>
      <c r="C69" s="19">
        <f>IFERROR(__xludf.DUMMYFUNCTION("""COMPUTED_VALUE"""),44381.0)</f>
        <v>44381</v>
      </c>
      <c r="D69" s="17">
        <f>IFERROR(__xludf.DUMMYFUNCTION("""COMPUTED_VALUE"""),26.0)</f>
        <v>26</v>
      </c>
      <c r="E69" s="17">
        <f>IFERROR(__xludf.DUMMYFUNCTION("""COMPUTED_VALUE"""),14582.0)</f>
        <v>14582</v>
      </c>
      <c r="F69" s="17">
        <f>IFERROR(__xludf.DUMMYFUNCTION("""COMPUTED_VALUE"""),1058.0)</f>
        <v>1058</v>
      </c>
      <c r="G69" s="63"/>
      <c r="H69" s="63"/>
      <c r="I69" s="63"/>
      <c r="J69" s="21">
        <f t="shared" si="3"/>
        <v>2135.8</v>
      </c>
      <c r="K69" s="22">
        <f>(F69/(VLOOKUP("Mexico",Poblacion!$A$2:$B$5,2,0)))*100000</f>
        <v>0.8122078681</v>
      </c>
      <c r="L69" s="22">
        <f>(J69/(VLOOKUP("Mexico",Poblacion!$A$2:$B$5,2,0)))*100000</f>
        <v>1.639615846</v>
      </c>
      <c r="M69" s="22">
        <f t="shared" ref="M69:N69" si="70">K69+M68</f>
        <v>176.0679344</v>
      </c>
      <c r="N69" s="65">
        <f t="shared" si="70"/>
        <v>432.6072952</v>
      </c>
      <c r="O69" s="55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tr">
        <f>IFERROR(__xludf.DUMMYFUNCTION("""COMPUTED_VALUE"""),"Mexico")</f>
        <v>Mexico</v>
      </c>
      <c r="B70" s="61">
        <f>IFERROR(__xludf.DUMMYFUNCTION("""COMPUTED_VALUE"""),44382.0)</f>
        <v>44382</v>
      </c>
      <c r="C70" s="19">
        <f>IFERROR(__xludf.DUMMYFUNCTION("""COMPUTED_VALUE"""),44388.0)</f>
        <v>44388</v>
      </c>
      <c r="D70" s="17">
        <f>IFERROR(__xludf.DUMMYFUNCTION("""COMPUTED_VALUE"""),27.0)</f>
        <v>27</v>
      </c>
      <c r="E70" s="17">
        <f>IFERROR(__xludf.DUMMYFUNCTION("""COMPUTED_VALUE"""),15444.0)</f>
        <v>15444</v>
      </c>
      <c r="F70" s="17">
        <f>IFERROR(__xludf.DUMMYFUNCTION("""COMPUTED_VALUE"""),1347.0)</f>
        <v>1347</v>
      </c>
      <c r="G70" s="63"/>
      <c r="H70" s="63"/>
      <c r="I70" s="63"/>
      <c r="J70" s="21">
        <f t="shared" si="3"/>
        <v>2871</v>
      </c>
      <c r="K70" s="22">
        <f>(F70/(VLOOKUP("Mexico",Poblacion!$A$2:$B$5,2,0)))*100000</f>
        <v>1.034068051</v>
      </c>
      <c r="L70" s="22">
        <f>(J70/(VLOOKUP("Mexico",Poblacion!$A$2:$B$5,2,0)))*100000</f>
        <v>2.204015869</v>
      </c>
      <c r="M70" s="22">
        <f t="shared" ref="M70:N70" si="71">K70+M69</f>
        <v>177.1020024</v>
      </c>
      <c r="N70" s="65">
        <f t="shared" si="71"/>
        <v>434.8113111</v>
      </c>
      <c r="O70" s="55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tr">
        <f>IFERROR(__xludf.DUMMYFUNCTION("""COMPUTED_VALUE"""),"Mexico")</f>
        <v>Mexico</v>
      </c>
      <c r="B71" s="61">
        <f>IFERROR(__xludf.DUMMYFUNCTION("""COMPUTED_VALUE"""),44389.0)</f>
        <v>44389</v>
      </c>
      <c r="C71" s="19">
        <f>IFERROR(__xludf.DUMMYFUNCTION("""COMPUTED_VALUE"""),44395.0)</f>
        <v>44395</v>
      </c>
      <c r="D71" s="17">
        <f>IFERROR(__xludf.DUMMYFUNCTION("""COMPUTED_VALUE"""),28.0)</f>
        <v>28</v>
      </c>
      <c r="E71" s="17">
        <f>IFERROR(__xludf.DUMMYFUNCTION("""COMPUTED_VALUE"""),16410.0)</f>
        <v>16410</v>
      </c>
      <c r="F71" s="17">
        <f>IFERROR(__xludf.DUMMYFUNCTION("""COMPUTED_VALUE"""),1362.0)</f>
        <v>1362</v>
      </c>
      <c r="G71" s="63"/>
      <c r="H71" s="63"/>
      <c r="I71" s="63"/>
      <c r="J71" s="21">
        <f t="shared" si="3"/>
        <v>3837.8</v>
      </c>
      <c r="K71" s="22">
        <f>(F71/(VLOOKUP("Mexico",Poblacion!$A$2:$B$5,2,0)))*100000</f>
        <v>1.045583286</v>
      </c>
      <c r="L71" s="22">
        <f>(J71/(VLOOKUP("Mexico",Poblacion!$A$2:$B$5,2,0)))*100000</f>
        <v>2.946211112</v>
      </c>
      <c r="M71" s="22">
        <f t="shared" ref="M71:N71" si="72">K71+M70</f>
        <v>178.1475857</v>
      </c>
      <c r="N71" s="65">
        <f t="shared" si="72"/>
        <v>437.7575222</v>
      </c>
      <c r="O71" s="55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tr">
        <f>IFERROR(__xludf.DUMMYFUNCTION("""COMPUTED_VALUE"""),"Mexico")</f>
        <v>Mexico</v>
      </c>
      <c r="B72" s="61">
        <f>IFERROR(__xludf.DUMMYFUNCTION("""COMPUTED_VALUE"""),44396.0)</f>
        <v>44396</v>
      </c>
      <c r="C72" s="19">
        <f>IFERROR(__xludf.DUMMYFUNCTION("""COMPUTED_VALUE"""),44402.0)</f>
        <v>44402</v>
      </c>
      <c r="D72" s="17">
        <f>IFERROR(__xludf.DUMMYFUNCTION("""COMPUTED_VALUE"""),29.0)</f>
        <v>29</v>
      </c>
      <c r="E72" s="17">
        <f>IFERROR(__xludf.DUMMYFUNCTION("""COMPUTED_VALUE"""),18342.0)</f>
        <v>18342</v>
      </c>
      <c r="F72" s="17">
        <f>IFERROR(__xludf.DUMMYFUNCTION("""COMPUTED_VALUE"""),2093.0)</f>
        <v>2093</v>
      </c>
      <c r="G72" s="63"/>
      <c r="H72" s="63"/>
      <c r="I72" s="63"/>
      <c r="J72" s="21">
        <f t="shared" si="3"/>
        <v>5653.8</v>
      </c>
      <c r="K72" s="22">
        <f>(F72/(VLOOKUP("Mexico",Poblacion!$A$2:$B$5,2,0)))*100000</f>
        <v>1.606759043</v>
      </c>
      <c r="L72" s="22">
        <f>(J72/(VLOOKUP("Mexico",Poblacion!$A$2:$B$5,2,0)))*100000</f>
        <v>4.340322159</v>
      </c>
      <c r="M72" s="22">
        <f t="shared" ref="M72:N72" si="73">K72+M71</f>
        <v>179.7543447</v>
      </c>
      <c r="N72" s="65">
        <f t="shared" si="73"/>
        <v>442.0978444</v>
      </c>
      <c r="O72" s="55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tr">
        <f>IFERROR(__xludf.DUMMYFUNCTION("""COMPUTED_VALUE"""),"Mexico")</f>
        <v>Mexico</v>
      </c>
      <c r="B73" s="61">
        <f>IFERROR(__xludf.DUMMYFUNCTION("""COMPUTED_VALUE"""),44403.0)</f>
        <v>44403</v>
      </c>
      <c r="C73" s="19">
        <f>IFERROR(__xludf.DUMMYFUNCTION("""COMPUTED_VALUE"""),44409.0)</f>
        <v>44409</v>
      </c>
      <c r="D73" s="17">
        <f>IFERROR(__xludf.DUMMYFUNCTION("""COMPUTED_VALUE"""),30.0)</f>
        <v>30</v>
      </c>
      <c r="E73" s="17">
        <f>IFERROR(__xludf.DUMMYFUNCTION("""COMPUTED_VALUE"""),20721.0)</f>
        <v>20721</v>
      </c>
      <c r="F73" s="17">
        <f>IFERROR(__xludf.DUMMYFUNCTION("""COMPUTED_VALUE"""),2610.0)</f>
        <v>2610</v>
      </c>
      <c r="G73" s="63"/>
      <c r="H73" s="63"/>
      <c r="I73" s="63"/>
      <c r="J73" s="21">
        <f t="shared" si="3"/>
        <v>7976.6</v>
      </c>
      <c r="K73" s="22">
        <f>(F73/(VLOOKUP("Mexico",Poblacion!$A$2:$B$5,2,0)))*100000</f>
        <v>2.00365079</v>
      </c>
      <c r="L73" s="22">
        <f>(J73/(VLOOKUP("Mexico",Poblacion!$A$2:$B$5,2,0)))*100000</f>
        <v>6.123494594</v>
      </c>
      <c r="M73" s="22">
        <f t="shared" ref="M73:N73" si="74">K73+M72</f>
        <v>181.7579955</v>
      </c>
      <c r="N73" s="65">
        <f t="shared" si="74"/>
        <v>448.221339</v>
      </c>
      <c r="O73" s="55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tr">
        <f>IFERROR(__xludf.DUMMYFUNCTION("""COMPUTED_VALUE"""),"Mexico")</f>
        <v>Mexico</v>
      </c>
      <c r="B74" s="61">
        <f>IFERROR(__xludf.DUMMYFUNCTION("""COMPUTED_VALUE"""),44410.0)</f>
        <v>44410</v>
      </c>
      <c r="C74" s="19">
        <f>IFERROR(__xludf.DUMMYFUNCTION("""COMPUTED_VALUE"""),44416.0)</f>
        <v>44416</v>
      </c>
      <c r="D74" s="17">
        <f>IFERROR(__xludf.DUMMYFUNCTION("""COMPUTED_VALUE"""),31.0)</f>
        <v>31</v>
      </c>
      <c r="E74" s="17">
        <f>IFERROR(__xludf.DUMMYFUNCTION("""COMPUTED_VALUE"""),23457.0)</f>
        <v>23457</v>
      </c>
      <c r="F74" s="17">
        <f>IFERROR(__xludf.DUMMYFUNCTION("""COMPUTED_VALUE"""),3386.0)</f>
        <v>3386</v>
      </c>
      <c r="G74" s="63"/>
      <c r="H74" s="63"/>
      <c r="I74" s="63"/>
      <c r="J74" s="21">
        <f t="shared" si="3"/>
        <v>10637.2</v>
      </c>
      <c r="K74" s="22">
        <f>(F74/(VLOOKUP("Mexico",Poblacion!$A$2:$B$5,2,0)))*100000</f>
        <v>2.599372251</v>
      </c>
      <c r="L74" s="22">
        <f>(J74/(VLOOKUP("Mexico",Poblacion!$A$2:$B$5,2,0)))*100000</f>
        <v>8.165990108</v>
      </c>
      <c r="M74" s="22">
        <f t="shared" ref="M74:N74" si="75">K74+M73</f>
        <v>184.3573678</v>
      </c>
      <c r="N74" s="65">
        <f t="shared" si="75"/>
        <v>456.3873291</v>
      </c>
      <c r="O74" s="55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tr">
        <f>IFERROR(__xludf.DUMMYFUNCTION("""COMPUTED_VALUE"""),"Mexico")</f>
        <v>Mexico</v>
      </c>
      <c r="B75" s="61">
        <f>IFERROR(__xludf.DUMMYFUNCTION("""COMPUTED_VALUE"""),44417.0)</f>
        <v>44417</v>
      </c>
      <c r="C75" s="19">
        <f>IFERROR(__xludf.DUMMYFUNCTION("""COMPUTED_VALUE"""),44423.0)</f>
        <v>44423</v>
      </c>
      <c r="D75" s="17">
        <f>IFERROR(__xludf.DUMMYFUNCTION("""COMPUTED_VALUE"""),32.0)</f>
        <v>32</v>
      </c>
      <c r="E75" s="17">
        <f>IFERROR(__xludf.DUMMYFUNCTION("""COMPUTED_VALUE"""),25423.0)</f>
        <v>25423</v>
      </c>
      <c r="F75" s="17">
        <f>IFERROR(__xludf.DUMMYFUNCTION("""COMPUTED_VALUE"""),3747.0)</f>
        <v>3747</v>
      </c>
      <c r="G75" s="63"/>
      <c r="H75" s="63"/>
      <c r="I75" s="63"/>
      <c r="J75" s="21">
        <f t="shared" si="3"/>
        <v>12879.4</v>
      </c>
      <c r="K75" s="22">
        <f>(F75/(VLOOKUP("Mexico",Poblacion!$A$2:$B$5,2,0)))*100000</f>
        <v>2.876505559</v>
      </c>
      <c r="L75" s="22">
        <f>(J75/(VLOOKUP("Mexico",Poblacion!$A$2:$B$5,2,0)))*100000</f>
        <v>9.88728735</v>
      </c>
      <c r="M75" s="22">
        <f t="shared" ref="M75:N75" si="76">K75+M74</f>
        <v>187.2338733</v>
      </c>
      <c r="N75" s="65">
        <f t="shared" si="76"/>
        <v>466.2746164</v>
      </c>
      <c r="O75" s="55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tr">
        <f>IFERROR(__xludf.DUMMYFUNCTION("""COMPUTED_VALUE"""),"Mexico")</f>
        <v>Mexico</v>
      </c>
      <c r="B76" s="61">
        <f>IFERROR(__xludf.DUMMYFUNCTION("""COMPUTED_VALUE"""),44424.0)</f>
        <v>44424</v>
      </c>
      <c r="C76" s="19">
        <f>IFERROR(__xludf.DUMMYFUNCTION("""COMPUTED_VALUE"""),44430.0)</f>
        <v>44430</v>
      </c>
      <c r="D76" s="17">
        <f>IFERROR(__xludf.DUMMYFUNCTION("""COMPUTED_VALUE"""),33.0)</f>
        <v>33</v>
      </c>
      <c r="E76" s="17">
        <f>IFERROR(__xludf.DUMMYFUNCTION("""COMPUTED_VALUE"""),26786.0)</f>
        <v>26786</v>
      </c>
      <c r="F76" s="17">
        <f>IFERROR(__xludf.DUMMYFUNCTION("""COMPUTED_VALUE"""),4988.0)</f>
        <v>4988</v>
      </c>
      <c r="G76" s="63"/>
      <c r="H76" s="63"/>
      <c r="I76" s="63"/>
      <c r="J76" s="21">
        <f t="shared" si="3"/>
        <v>14183</v>
      </c>
      <c r="K76" s="22">
        <f>(F76/(VLOOKUP("Mexico",Poblacion!$A$2:$B$5,2,0)))*100000</f>
        <v>3.829199287</v>
      </c>
      <c r="L76" s="22">
        <f>(J76/(VLOOKUP("Mexico",Poblacion!$A$2:$B$5,2,0)))*100000</f>
        <v>10.88803799</v>
      </c>
      <c r="M76" s="22">
        <f t="shared" ref="M76:N76" si="77">K76+M75</f>
        <v>191.0630726</v>
      </c>
      <c r="N76" s="65">
        <f t="shared" si="77"/>
        <v>477.1626544</v>
      </c>
      <c r="O76" s="55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tr">
        <f>IFERROR(__xludf.DUMMYFUNCTION("""COMPUTED_VALUE"""),"Mexico")</f>
        <v>Mexico</v>
      </c>
      <c r="B77" s="61">
        <f>IFERROR(__xludf.DUMMYFUNCTION("""COMPUTED_VALUE"""),44431.0)</f>
        <v>44431</v>
      </c>
      <c r="C77" s="19">
        <f>IFERROR(__xludf.DUMMYFUNCTION("""COMPUTED_VALUE"""),44437.0)</f>
        <v>44437</v>
      </c>
      <c r="D77" s="17">
        <f>IFERROR(__xludf.DUMMYFUNCTION("""COMPUTED_VALUE"""),34.0)</f>
        <v>34</v>
      </c>
      <c r="E77" s="17">
        <f>IFERROR(__xludf.DUMMYFUNCTION("""COMPUTED_VALUE"""),25778.0)</f>
        <v>25778</v>
      </c>
      <c r="F77" s="17">
        <f>IFERROR(__xludf.DUMMYFUNCTION("""COMPUTED_VALUE"""),5010.0)</f>
        <v>5010</v>
      </c>
      <c r="G77" s="63"/>
      <c r="H77" s="63"/>
      <c r="I77" s="63"/>
      <c r="J77" s="21">
        <f t="shared" si="3"/>
        <v>13349.4</v>
      </c>
      <c r="K77" s="22">
        <f>(F77/(VLOOKUP("Mexico",Poblacion!$A$2:$B$5,2,0)))*100000</f>
        <v>3.846088298</v>
      </c>
      <c r="L77" s="22">
        <f>(J77/(VLOOKUP("Mexico",Poblacion!$A$2:$B$5,2,0)))*100000</f>
        <v>10.24809803</v>
      </c>
      <c r="M77" s="22">
        <f t="shared" ref="M77:N77" si="78">K77+M76</f>
        <v>194.9091609</v>
      </c>
      <c r="N77" s="65">
        <f t="shared" si="78"/>
        <v>487.4107525</v>
      </c>
      <c r="O77" s="55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tr">
        <f>IFERROR(__xludf.DUMMYFUNCTION("""COMPUTED_VALUE"""),"Mexico")</f>
        <v>Mexico</v>
      </c>
      <c r="B78" s="61">
        <f>IFERROR(__xludf.DUMMYFUNCTION("""COMPUTED_VALUE"""),44438.0)</f>
        <v>44438</v>
      </c>
      <c r="C78" s="19">
        <f>IFERROR(__xludf.DUMMYFUNCTION("""COMPUTED_VALUE"""),44444.0)</f>
        <v>44444</v>
      </c>
      <c r="D78" s="17">
        <f>IFERROR(__xludf.DUMMYFUNCTION("""COMPUTED_VALUE"""),35.0)</f>
        <v>35</v>
      </c>
      <c r="E78" s="17">
        <f>IFERROR(__xludf.DUMMYFUNCTION("""COMPUTED_VALUE"""),25052.0)</f>
        <v>25052</v>
      </c>
      <c r="F78" s="17">
        <f>IFERROR(__xludf.DUMMYFUNCTION("""COMPUTED_VALUE"""),4975.0)</f>
        <v>4975</v>
      </c>
      <c r="G78" s="63"/>
      <c r="H78" s="63"/>
      <c r="I78" s="63"/>
      <c r="J78" s="21">
        <f t="shared" si="3"/>
        <v>12687.4</v>
      </c>
      <c r="K78" s="22">
        <f>(F78/(VLOOKUP("Mexico",Poblacion!$A$2:$B$5,2,0)))*100000</f>
        <v>3.819219418</v>
      </c>
      <c r="L78" s="22">
        <f>(J78/(VLOOKUP("Mexico",Poblacion!$A$2:$B$5,2,0)))*100000</f>
        <v>9.739892349</v>
      </c>
      <c r="M78" s="22">
        <f t="shared" ref="M78:N78" si="79">K78+M77</f>
        <v>198.7283803</v>
      </c>
      <c r="N78" s="65">
        <f t="shared" si="79"/>
        <v>497.1506448</v>
      </c>
      <c r="O78" s="55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tr">
        <f>IFERROR(__xludf.DUMMYFUNCTION("""COMPUTED_VALUE"""),"Mexico")</f>
        <v>Mexico</v>
      </c>
      <c r="B79" s="61">
        <f>IFERROR(__xludf.DUMMYFUNCTION("""COMPUTED_VALUE"""),44445.0)</f>
        <v>44445</v>
      </c>
      <c r="C79" s="19">
        <f>IFERROR(__xludf.DUMMYFUNCTION("""COMPUTED_VALUE"""),44451.0)</f>
        <v>44451</v>
      </c>
      <c r="D79" s="17">
        <f>IFERROR(__xludf.DUMMYFUNCTION("""COMPUTED_VALUE"""),36.0)</f>
        <v>36</v>
      </c>
      <c r="E79" s="17">
        <f>IFERROR(__xludf.DUMMYFUNCTION("""COMPUTED_VALUE"""),23022.0)</f>
        <v>23022</v>
      </c>
      <c r="F79" s="17">
        <f>IFERROR(__xludf.DUMMYFUNCTION("""COMPUTED_VALUE"""),4608.0)</f>
        <v>4608</v>
      </c>
      <c r="G79" s="63"/>
      <c r="H79" s="63"/>
      <c r="I79" s="63"/>
      <c r="J79" s="21">
        <f t="shared" si="3"/>
        <v>10536.4</v>
      </c>
      <c r="K79" s="22">
        <f>(F79/(VLOOKUP("Mexico",Poblacion!$A$2:$B$5,2,0)))*100000</f>
        <v>3.537480015</v>
      </c>
      <c r="L79" s="22">
        <f>(J79/(VLOOKUP("Mexico",Poblacion!$A$2:$B$5,2,0)))*100000</f>
        <v>8.088607733</v>
      </c>
      <c r="M79" s="22">
        <f t="shared" ref="M79:N79" si="80">K79+M78</f>
        <v>202.2658604</v>
      </c>
      <c r="N79" s="65">
        <f t="shared" si="80"/>
        <v>505.2392525</v>
      </c>
      <c r="O79" s="55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tr">
        <f>IFERROR(__xludf.DUMMYFUNCTION("""COMPUTED_VALUE"""),"Mexico")</f>
        <v>Mexico</v>
      </c>
      <c r="B80" s="61">
        <f>IFERROR(__xludf.DUMMYFUNCTION("""COMPUTED_VALUE"""),44452.0)</f>
        <v>44452</v>
      </c>
      <c r="C80" s="19">
        <f>IFERROR(__xludf.DUMMYFUNCTION("""COMPUTED_VALUE"""),44458.0)</f>
        <v>44458</v>
      </c>
      <c r="D80" s="17">
        <f>IFERROR(__xludf.DUMMYFUNCTION("""COMPUTED_VALUE"""),37.0)</f>
        <v>37</v>
      </c>
      <c r="E80" s="17">
        <f>IFERROR(__xludf.DUMMYFUNCTION("""COMPUTED_VALUE"""),21506.0)</f>
        <v>21506</v>
      </c>
      <c r="F80" s="17">
        <f>IFERROR(__xludf.DUMMYFUNCTION("""COMPUTED_VALUE"""),3755.0)</f>
        <v>3755</v>
      </c>
      <c r="G80" s="63"/>
      <c r="H80" s="63"/>
      <c r="I80" s="63"/>
      <c r="J80" s="21">
        <f t="shared" si="3"/>
        <v>8833.8</v>
      </c>
      <c r="K80" s="22">
        <f>(F80/(VLOOKUP("Mexico",Poblacion!$A$2:$B$5,2,0)))*100000</f>
        <v>2.882647018</v>
      </c>
      <c r="L80" s="22">
        <f>(J80/(VLOOKUP("Mexico",Poblacion!$A$2:$B$5,2,0)))*100000</f>
        <v>6.781551857</v>
      </c>
      <c r="M80" s="22">
        <f t="shared" ref="M80:N80" si="81">K80+M79</f>
        <v>205.1485074</v>
      </c>
      <c r="N80" s="65">
        <f t="shared" si="81"/>
        <v>512.0208044</v>
      </c>
      <c r="O80" s="55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tr">
        <f>IFERROR(__xludf.DUMMYFUNCTION("""COMPUTED_VALUE"""),"Mexico")</f>
        <v>Mexico</v>
      </c>
      <c r="B81" s="61">
        <f>IFERROR(__xludf.DUMMYFUNCTION("""COMPUTED_VALUE"""),44459.0)</f>
        <v>44459</v>
      </c>
      <c r="C81" s="19">
        <f>IFERROR(__xludf.DUMMYFUNCTION("""COMPUTED_VALUE"""),44465.0)</f>
        <v>44465</v>
      </c>
      <c r="D81" s="17">
        <f>IFERROR(__xludf.DUMMYFUNCTION("""COMPUTED_VALUE"""),38.0)</f>
        <v>38</v>
      </c>
      <c r="E81" s="17">
        <f>IFERROR(__xludf.DUMMYFUNCTION("""COMPUTED_VALUE"""),19587.0)</f>
        <v>19587</v>
      </c>
      <c r="F81" s="17">
        <f>IFERROR(__xludf.DUMMYFUNCTION("""COMPUTED_VALUE"""),3947.0)</f>
        <v>3947</v>
      </c>
      <c r="G81" s="63"/>
      <c r="H81" s="63"/>
      <c r="I81" s="63"/>
      <c r="J81" s="21">
        <f t="shared" si="3"/>
        <v>6755.8</v>
      </c>
      <c r="K81" s="22">
        <f>(F81/(VLOOKUP("Mexico",Poblacion!$A$2:$B$5,2,0)))*100000</f>
        <v>3.030042018</v>
      </c>
      <c r="L81" s="22">
        <f>(J81/(VLOOKUP("Mexico",Poblacion!$A$2:$B$5,2,0)))*100000</f>
        <v>5.186308048</v>
      </c>
      <c r="M81" s="22">
        <f t="shared" ref="M81:N81" si="82">K81+M80</f>
        <v>208.1785494</v>
      </c>
      <c r="N81" s="65">
        <f t="shared" si="82"/>
        <v>517.2071124</v>
      </c>
      <c r="O81" s="55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tr">
        <f>IFERROR(__xludf.DUMMYFUNCTION("""COMPUTED_VALUE"""),"Mexico")</f>
        <v>Mexico</v>
      </c>
      <c r="B82" s="61">
        <f>IFERROR(__xludf.DUMMYFUNCTION("""COMPUTED_VALUE"""),44466.0)</f>
        <v>44466</v>
      </c>
      <c r="C82" s="19">
        <f>IFERROR(__xludf.DUMMYFUNCTION("""COMPUTED_VALUE"""),44472.0)</f>
        <v>44472</v>
      </c>
      <c r="D82" s="17">
        <f>IFERROR(__xludf.DUMMYFUNCTION("""COMPUTED_VALUE"""),39.0)</f>
        <v>39</v>
      </c>
      <c r="E82" s="17">
        <f>IFERROR(__xludf.DUMMYFUNCTION("""COMPUTED_VALUE"""),17718.0)</f>
        <v>17718</v>
      </c>
      <c r="F82" s="17">
        <f>IFERROR(__xludf.DUMMYFUNCTION("""COMPUTED_VALUE"""),3142.0)</f>
        <v>3142</v>
      </c>
      <c r="G82" s="63"/>
      <c r="H82" s="63"/>
      <c r="I82" s="63"/>
      <c r="J82" s="21">
        <f t="shared" si="3"/>
        <v>5159.6</v>
      </c>
      <c r="K82" s="22">
        <f>(F82/(VLOOKUP("Mexico",Poblacion!$A$2:$B$5,2,0)))*100000</f>
        <v>2.412057771</v>
      </c>
      <c r="L82" s="22">
        <f>(J82/(VLOOKUP("Mexico",Poblacion!$A$2:$B$5,2,0)))*100000</f>
        <v>3.960933569</v>
      </c>
      <c r="M82" s="22">
        <f t="shared" ref="M82:N82" si="83">K82+M81</f>
        <v>210.5906072</v>
      </c>
      <c r="N82" s="65">
        <f t="shared" si="83"/>
        <v>521.168046</v>
      </c>
      <c r="O82" s="55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tr">
        <f>IFERROR(__xludf.DUMMYFUNCTION("""COMPUTED_VALUE"""),"Mexico")</f>
        <v>Mexico</v>
      </c>
      <c r="B83" s="61">
        <f>IFERROR(__xludf.DUMMYFUNCTION("""COMPUTED_VALUE"""),44473.0)</f>
        <v>44473</v>
      </c>
      <c r="C83" s="19">
        <f>IFERROR(__xludf.DUMMYFUNCTION("""COMPUTED_VALUE"""),44479.0)</f>
        <v>44479</v>
      </c>
      <c r="D83" s="17">
        <f>IFERROR(__xludf.DUMMYFUNCTION("""COMPUTED_VALUE"""),40.0)</f>
        <v>40</v>
      </c>
      <c r="E83" s="17">
        <f>IFERROR(__xludf.DUMMYFUNCTION("""COMPUTED_VALUE"""),15572.0)</f>
        <v>15572</v>
      </c>
      <c r="F83" s="17">
        <f>IFERROR(__xludf.DUMMYFUNCTION("""COMPUTED_VALUE"""),3494.0)</f>
        <v>3494</v>
      </c>
      <c r="G83" s="63"/>
      <c r="H83" s="63"/>
      <c r="I83" s="63"/>
      <c r="J83" s="21">
        <f t="shared" si="3"/>
        <v>2697.2</v>
      </c>
      <c r="K83" s="22">
        <f>(F83/(VLOOKUP("Mexico",Poblacion!$A$2:$B$5,2,0)))*100000</f>
        <v>2.682281939</v>
      </c>
      <c r="L83" s="22">
        <f>(J83/(VLOOKUP("Mexico",Poblacion!$A$2:$B$5,2,0)))*100000</f>
        <v>2.070592686</v>
      </c>
      <c r="M83" s="22">
        <f t="shared" ref="M83:N83" si="84">K83+M82</f>
        <v>213.2728891</v>
      </c>
      <c r="N83" s="65">
        <f t="shared" si="84"/>
        <v>523.2386387</v>
      </c>
      <c r="O83" s="55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/>
      <c r="B84" s="67"/>
      <c r="C84" s="17"/>
      <c r="D84" s="17"/>
      <c r="E84" s="17"/>
      <c r="F84" s="17"/>
      <c r="G84" s="21"/>
      <c r="H84" s="21"/>
      <c r="I84" s="68"/>
      <c r="J84" s="21"/>
      <c r="K84" s="22"/>
      <c r="L84" s="22"/>
      <c r="M84" s="22"/>
      <c r="N84" s="22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/>
      <c r="B85" s="67"/>
      <c r="C85" s="17"/>
      <c r="D85" s="17"/>
      <c r="E85" s="17"/>
      <c r="F85" s="17"/>
      <c r="G85" s="21"/>
      <c r="H85" s="21"/>
      <c r="I85" s="68"/>
      <c r="J85" s="21"/>
      <c r="K85" s="22"/>
      <c r="L85" s="22"/>
      <c r="M85" s="22"/>
      <c r="N85" s="22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/>
      <c r="B86" s="67"/>
      <c r="C86" s="17"/>
      <c r="D86" s="17"/>
      <c r="E86" s="17"/>
      <c r="F86" s="17"/>
      <c r="G86" s="21"/>
      <c r="H86" s="21"/>
      <c r="I86" s="68"/>
      <c r="J86" s="21"/>
      <c r="K86" s="22"/>
      <c r="L86" s="22"/>
      <c r="M86" s="22"/>
      <c r="N86" s="22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/>
      <c r="B87" s="67"/>
      <c r="C87" s="17"/>
      <c r="D87" s="17"/>
      <c r="E87" s="17"/>
      <c r="F87" s="17"/>
      <c r="G87" s="21"/>
      <c r="H87" s="21"/>
      <c r="I87" s="68"/>
      <c r="J87" s="21"/>
      <c r="K87" s="22"/>
      <c r="L87" s="22"/>
      <c r="M87" s="22"/>
      <c r="N87" s="22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/>
      <c r="B88" s="67"/>
      <c r="C88" s="17"/>
      <c r="D88" s="17"/>
      <c r="E88" s="17"/>
      <c r="F88" s="17"/>
      <c r="G88" s="21"/>
      <c r="H88" s="21"/>
      <c r="I88" s="68"/>
      <c r="J88" s="21"/>
      <c r="K88" s="22"/>
      <c r="L88" s="22"/>
      <c r="M88" s="22"/>
      <c r="N88" s="22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/>
      <c r="B89" s="67"/>
      <c r="C89" s="17"/>
      <c r="D89" s="17"/>
      <c r="E89" s="17"/>
      <c r="F89" s="17"/>
      <c r="G89" s="21"/>
      <c r="H89" s="21"/>
      <c r="I89" s="21"/>
      <c r="J89" s="21"/>
      <c r="K89" s="22"/>
      <c r="L89" s="22"/>
      <c r="M89" s="22"/>
      <c r="N89" s="22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/>
      <c r="B90" s="67"/>
      <c r="C90" s="17"/>
      <c r="D90" s="17"/>
      <c r="E90" s="17"/>
      <c r="F90" s="17"/>
      <c r="G90" s="21"/>
      <c r="H90" s="21"/>
      <c r="I90" s="21"/>
      <c r="J90" s="21"/>
      <c r="K90" s="22"/>
      <c r="L90" s="22"/>
      <c r="M90" s="22"/>
      <c r="N90" s="22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/>
      <c r="B91" s="67"/>
      <c r="C91" s="17"/>
      <c r="D91" s="17"/>
      <c r="E91" s="17"/>
      <c r="F91" s="17"/>
      <c r="G91" s="21"/>
      <c r="H91" s="21"/>
      <c r="I91" s="21"/>
      <c r="J91" s="21"/>
      <c r="K91" s="22"/>
      <c r="L91" s="22"/>
      <c r="M91" s="22"/>
      <c r="N91" s="22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/>
      <c r="B92" s="67"/>
      <c r="C92" s="17"/>
      <c r="D92" s="17"/>
      <c r="E92" s="17"/>
      <c r="F92" s="17"/>
      <c r="G92" s="21"/>
      <c r="H92" s="21"/>
      <c r="I92" s="21"/>
      <c r="J92" s="21"/>
      <c r="K92" s="22"/>
      <c r="L92" s="22"/>
      <c r="M92" s="22"/>
      <c r="N92" s="22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/>
      <c r="B93" s="67"/>
      <c r="C93" s="17"/>
      <c r="D93" s="17"/>
      <c r="E93" s="17"/>
      <c r="F93" s="17"/>
      <c r="G93" s="21"/>
      <c r="H93" s="21"/>
      <c r="I93" s="21"/>
      <c r="J93" s="21"/>
      <c r="K93" s="22"/>
      <c r="L93" s="22"/>
      <c r="M93" s="22"/>
      <c r="N93" s="22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/>
      <c r="B94" s="67"/>
      <c r="C94" s="17"/>
      <c r="D94" s="17"/>
      <c r="E94" s="17"/>
      <c r="F94" s="17"/>
      <c r="G94" s="21"/>
      <c r="H94" s="21"/>
      <c r="I94" s="21"/>
      <c r="J94" s="21"/>
      <c r="K94" s="22"/>
      <c r="L94" s="22"/>
      <c r="M94" s="22"/>
      <c r="N94" s="22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/>
      <c r="B95" s="67"/>
      <c r="C95" s="17"/>
      <c r="D95" s="17"/>
      <c r="E95" s="17"/>
      <c r="F95" s="17"/>
      <c r="G95" s="21"/>
      <c r="H95" s="21"/>
      <c r="I95" s="21"/>
      <c r="J95" s="21"/>
      <c r="K95" s="22"/>
      <c r="L95" s="22"/>
      <c r="M95" s="22"/>
      <c r="N95" s="22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/>
      <c r="B96" s="67"/>
      <c r="C96" s="17"/>
      <c r="D96" s="17"/>
      <c r="E96" s="17"/>
      <c r="F96" s="17"/>
      <c r="G96" s="21"/>
      <c r="H96" s="21"/>
      <c r="I96" s="21"/>
      <c r="J96" s="21"/>
      <c r="K96" s="22"/>
      <c r="L96" s="22"/>
      <c r="M96" s="22"/>
      <c r="N96" s="22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/>
      <c r="B97" s="67"/>
      <c r="C97" s="17"/>
      <c r="D97" s="17"/>
      <c r="E97" s="17"/>
      <c r="F97" s="17"/>
      <c r="G97" s="21"/>
      <c r="H97" s="21"/>
      <c r="I97" s="21"/>
      <c r="J97" s="21"/>
      <c r="K97" s="22"/>
      <c r="L97" s="22"/>
      <c r="M97" s="22"/>
      <c r="N97" s="22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/>
      <c r="B98" s="67"/>
      <c r="C98" s="17"/>
      <c r="D98" s="17"/>
      <c r="E98" s="17"/>
      <c r="F98" s="17"/>
      <c r="G98" s="21"/>
      <c r="H98" s="21"/>
      <c r="I98" s="21"/>
      <c r="J98" s="21"/>
      <c r="K98" s="22"/>
      <c r="L98" s="22"/>
      <c r="M98" s="22"/>
      <c r="N98" s="22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/>
      <c r="B99" s="67"/>
      <c r="C99" s="17"/>
      <c r="D99" s="17"/>
      <c r="E99" s="17"/>
      <c r="F99" s="17"/>
      <c r="G99" s="21"/>
      <c r="H99" s="21"/>
      <c r="I99" s="21"/>
      <c r="J99" s="21"/>
      <c r="K99" s="22"/>
      <c r="L99" s="22"/>
      <c r="M99" s="22"/>
      <c r="N99" s="22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/>
      <c r="B100" s="67"/>
      <c r="C100" s="17"/>
      <c r="D100" s="17"/>
      <c r="E100" s="17"/>
      <c r="F100" s="17"/>
      <c r="G100" s="21"/>
      <c r="H100" s="21"/>
      <c r="I100" s="21"/>
      <c r="J100" s="21"/>
      <c r="K100" s="22"/>
      <c r="L100" s="22"/>
      <c r="M100" s="22"/>
      <c r="N100" s="22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/>
      <c r="B101" s="67"/>
      <c r="C101" s="17"/>
      <c r="D101" s="17"/>
      <c r="E101" s="17"/>
      <c r="F101" s="17"/>
      <c r="G101" s="21"/>
      <c r="H101" s="21"/>
      <c r="I101" s="21"/>
      <c r="J101" s="21"/>
      <c r="K101" s="22"/>
      <c r="L101" s="22"/>
      <c r="M101" s="22"/>
      <c r="N101" s="22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/>
      <c r="B102" s="67"/>
      <c r="C102" s="17"/>
      <c r="D102" s="17"/>
      <c r="E102" s="17"/>
      <c r="F102" s="17"/>
      <c r="G102" s="21"/>
      <c r="H102" s="21"/>
      <c r="I102" s="21"/>
      <c r="J102" s="21"/>
      <c r="K102" s="22"/>
      <c r="L102" s="22"/>
      <c r="M102" s="22"/>
      <c r="N102" s="22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/>
      <c r="B103" s="67"/>
      <c r="C103" s="17"/>
      <c r="D103" s="17"/>
      <c r="E103" s="17"/>
      <c r="F103" s="17"/>
      <c r="G103" s="21"/>
      <c r="H103" s="21"/>
      <c r="I103" s="21"/>
      <c r="J103" s="21"/>
      <c r="K103" s="22"/>
      <c r="L103" s="22"/>
      <c r="M103" s="22"/>
      <c r="N103" s="22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/>
      <c r="B104" s="67"/>
      <c r="C104" s="17"/>
      <c r="D104" s="17"/>
      <c r="E104" s="17"/>
      <c r="F104" s="17"/>
      <c r="G104" s="21"/>
      <c r="H104" s="21"/>
      <c r="I104" s="21"/>
      <c r="J104" s="21"/>
      <c r="K104" s="22"/>
      <c r="L104" s="22"/>
      <c r="M104" s="22"/>
      <c r="N104" s="22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/>
      <c r="B105" s="67"/>
      <c r="C105" s="17"/>
      <c r="D105" s="17"/>
      <c r="E105" s="17"/>
      <c r="F105" s="17"/>
      <c r="G105" s="21"/>
      <c r="H105" s="21"/>
      <c r="I105" s="21"/>
      <c r="J105" s="21"/>
      <c r="K105" s="22"/>
      <c r="L105" s="22"/>
      <c r="M105" s="22"/>
      <c r="N105" s="22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/>
      <c r="B106" s="67"/>
      <c r="C106" s="17"/>
      <c r="D106" s="17"/>
      <c r="E106" s="17"/>
      <c r="F106" s="17"/>
      <c r="G106" s="21"/>
      <c r="H106" s="21"/>
      <c r="I106" s="21"/>
      <c r="J106" s="21"/>
      <c r="K106" s="22"/>
      <c r="L106" s="22"/>
      <c r="M106" s="22"/>
      <c r="N106" s="22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/>
      <c r="B107" s="67"/>
      <c r="C107" s="17"/>
      <c r="D107" s="17"/>
      <c r="E107" s="17"/>
      <c r="F107" s="17"/>
      <c r="G107" s="21"/>
      <c r="H107" s="21"/>
      <c r="I107" s="21"/>
      <c r="J107" s="21"/>
      <c r="K107" s="22"/>
      <c r="L107" s="22"/>
      <c r="M107" s="22"/>
      <c r="N107" s="22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/>
      <c r="B108" s="67"/>
      <c r="C108" s="17"/>
      <c r="D108" s="17"/>
      <c r="E108" s="17"/>
      <c r="F108" s="17"/>
      <c r="G108" s="21"/>
      <c r="H108" s="21"/>
      <c r="I108" s="21"/>
      <c r="J108" s="21"/>
      <c r="K108" s="22"/>
      <c r="L108" s="22"/>
      <c r="M108" s="22"/>
      <c r="N108" s="22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/>
      <c r="B109" s="67"/>
      <c r="C109" s="17"/>
      <c r="D109" s="17"/>
      <c r="E109" s="17"/>
      <c r="F109" s="17"/>
      <c r="G109" s="21"/>
      <c r="H109" s="21"/>
      <c r="I109" s="21"/>
      <c r="J109" s="21"/>
      <c r="K109" s="22"/>
      <c r="L109" s="22"/>
      <c r="M109" s="22"/>
      <c r="N109" s="22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/>
      <c r="B110" s="67"/>
      <c r="C110" s="17"/>
      <c r="D110" s="17"/>
      <c r="E110" s="17"/>
      <c r="F110" s="17"/>
      <c r="G110" s="21"/>
      <c r="H110" s="21"/>
      <c r="I110" s="21"/>
      <c r="J110" s="21"/>
      <c r="K110" s="22"/>
      <c r="L110" s="22"/>
      <c r="M110" s="22"/>
      <c r="N110" s="22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/>
      <c r="B111" s="67"/>
      <c r="C111" s="17"/>
      <c r="D111" s="17"/>
      <c r="E111" s="17"/>
      <c r="F111" s="17"/>
      <c r="G111" s="21"/>
      <c r="H111" s="21"/>
      <c r="I111" s="21"/>
      <c r="J111" s="21"/>
      <c r="K111" s="22"/>
      <c r="L111" s="22"/>
      <c r="M111" s="22"/>
      <c r="N111" s="22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/>
      <c r="B112" s="67"/>
      <c r="C112" s="17"/>
      <c r="D112" s="17"/>
      <c r="E112" s="17"/>
      <c r="F112" s="17"/>
      <c r="G112" s="21"/>
      <c r="H112" s="21"/>
      <c r="I112" s="21"/>
      <c r="J112" s="21"/>
      <c r="K112" s="22"/>
      <c r="L112" s="22"/>
      <c r="M112" s="22"/>
      <c r="N112" s="22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/>
      <c r="B113" s="67"/>
      <c r="C113" s="17"/>
      <c r="D113" s="17"/>
      <c r="E113" s="17"/>
      <c r="F113" s="17"/>
      <c r="G113" s="21"/>
      <c r="H113" s="21"/>
      <c r="I113" s="21"/>
      <c r="J113" s="21"/>
      <c r="K113" s="22"/>
      <c r="L113" s="22"/>
      <c r="M113" s="22"/>
      <c r="N113" s="22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/>
      <c r="B114" s="67"/>
      <c r="C114" s="17"/>
      <c r="D114" s="17"/>
      <c r="E114" s="17"/>
      <c r="F114" s="17"/>
      <c r="G114" s="21"/>
      <c r="H114" s="21"/>
      <c r="I114" s="21"/>
      <c r="J114" s="21"/>
      <c r="K114" s="22"/>
      <c r="L114" s="22"/>
      <c r="M114" s="22"/>
      <c r="N114" s="22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/>
      <c r="B115" s="67"/>
      <c r="C115" s="17"/>
      <c r="D115" s="17"/>
      <c r="E115" s="17"/>
      <c r="F115" s="17"/>
      <c r="G115" s="21"/>
      <c r="H115" s="21"/>
      <c r="I115" s="21"/>
      <c r="J115" s="21"/>
      <c r="K115" s="22"/>
      <c r="L115" s="22"/>
      <c r="M115" s="22"/>
      <c r="N115" s="22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/>
      <c r="B116" s="67"/>
      <c r="C116" s="17"/>
      <c r="D116" s="17"/>
      <c r="E116" s="17"/>
      <c r="F116" s="17"/>
      <c r="G116" s="21"/>
      <c r="H116" s="21"/>
      <c r="I116" s="21"/>
      <c r="J116" s="21"/>
      <c r="K116" s="22"/>
      <c r="L116" s="22"/>
      <c r="M116" s="22"/>
      <c r="N116" s="22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/>
      <c r="B117" s="67"/>
      <c r="C117" s="17"/>
      <c r="D117" s="17"/>
      <c r="E117" s="17"/>
      <c r="F117" s="17"/>
      <c r="G117" s="21"/>
      <c r="H117" s="21"/>
      <c r="I117" s="21"/>
      <c r="J117" s="21"/>
      <c r="K117" s="22"/>
      <c r="L117" s="22"/>
      <c r="M117" s="22"/>
      <c r="N117" s="22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/>
      <c r="B118" s="67"/>
      <c r="C118" s="17"/>
      <c r="D118" s="17"/>
      <c r="E118" s="17"/>
      <c r="F118" s="17"/>
      <c r="G118" s="21"/>
      <c r="H118" s="21"/>
      <c r="I118" s="21"/>
      <c r="J118" s="21"/>
      <c r="K118" s="22"/>
      <c r="L118" s="22"/>
      <c r="M118" s="22"/>
      <c r="N118" s="22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/>
      <c r="B119" s="67"/>
      <c r="C119" s="17"/>
      <c r="D119" s="17"/>
      <c r="E119" s="17"/>
      <c r="F119" s="17"/>
      <c r="G119" s="21"/>
      <c r="H119" s="21"/>
      <c r="I119" s="21"/>
      <c r="J119" s="21"/>
      <c r="K119" s="22"/>
      <c r="L119" s="22"/>
      <c r="M119" s="22"/>
      <c r="N119" s="22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/>
      <c r="B120" s="67"/>
      <c r="C120" s="17"/>
      <c r="D120" s="17"/>
      <c r="E120" s="17"/>
      <c r="F120" s="17"/>
      <c r="G120" s="21"/>
      <c r="H120" s="21"/>
      <c r="I120" s="21"/>
      <c r="J120" s="21"/>
      <c r="K120" s="22"/>
      <c r="L120" s="22"/>
      <c r="M120" s="22"/>
      <c r="N120" s="22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/>
      <c r="B121" s="67"/>
      <c r="C121" s="17"/>
      <c r="D121" s="17"/>
      <c r="E121" s="17"/>
      <c r="F121" s="17"/>
      <c r="G121" s="21"/>
      <c r="H121" s="21"/>
      <c r="I121" s="21"/>
      <c r="J121" s="21"/>
      <c r="K121" s="22"/>
      <c r="L121" s="22"/>
      <c r="M121" s="22"/>
      <c r="N121" s="22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/>
      <c r="B122" s="67"/>
      <c r="C122" s="17"/>
      <c r="D122" s="17"/>
      <c r="E122" s="17"/>
      <c r="F122" s="17"/>
      <c r="G122" s="21"/>
      <c r="H122" s="21"/>
      <c r="I122" s="21"/>
      <c r="J122" s="21"/>
      <c r="K122" s="22"/>
      <c r="L122" s="22"/>
      <c r="M122" s="22"/>
      <c r="N122" s="22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/>
      <c r="B123" s="67"/>
      <c r="C123" s="17"/>
      <c r="D123" s="17"/>
      <c r="E123" s="17"/>
      <c r="F123" s="17"/>
      <c r="G123" s="21"/>
      <c r="H123" s="21"/>
      <c r="I123" s="21"/>
      <c r="J123" s="21"/>
      <c r="K123" s="22"/>
      <c r="L123" s="22"/>
      <c r="M123" s="22"/>
      <c r="N123" s="22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/>
      <c r="B124" s="67"/>
      <c r="C124" s="17"/>
      <c r="D124" s="17"/>
      <c r="E124" s="17"/>
      <c r="F124" s="17"/>
      <c r="G124" s="21"/>
      <c r="H124" s="21"/>
      <c r="I124" s="21"/>
      <c r="J124" s="21"/>
      <c r="K124" s="22"/>
      <c r="L124" s="22"/>
      <c r="M124" s="22"/>
      <c r="N124" s="22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/>
      <c r="B125" s="67"/>
      <c r="C125" s="17"/>
      <c r="D125" s="17"/>
      <c r="E125" s="17"/>
      <c r="F125" s="17"/>
      <c r="G125" s="21"/>
      <c r="H125" s="21"/>
      <c r="I125" s="21"/>
      <c r="J125" s="21"/>
      <c r="K125" s="22"/>
      <c r="L125" s="22"/>
      <c r="M125" s="22"/>
      <c r="N125" s="22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/>
      <c r="B126" s="67"/>
      <c r="C126" s="17"/>
      <c r="D126" s="17"/>
      <c r="E126" s="17"/>
      <c r="F126" s="17"/>
      <c r="G126" s="21"/>
      <c r="H126" s="21"/>
      <c r="I126" s="21"/>
      <c r="J126" s="21"/>
      <c r="K126" s="22"/>
      <c r="L126" s="22"/>
      <c r="M126" s="22"/>
      <c r="N126" s="22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/>
      <c r="B127" s="67"/>
      <c r="C127" s="17"/>
      <c r="D127" s="17"/>
      <c r="E127" s="17"/>
      <c r="F127" s="17"/>
      <c r="G127" s="21"/>
      <c r="H127" s="21"/>
      <c r="I127" s="21"/>
      <c r="J127" s="21"/>
      <c r="K127" s="22"/>
      <c r="L127" s="22"/>
      <c r="M127" s="22"/>
      <c r="N127" s="22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/>
      <c r="B128" s="67"/>
      <c r="C128" s="17"/>
      <c r="D128" s="17"/>
      <c r="E128" s="17"/>
      <c r="F128" s="17"/>
      <c r="G128" s="21"/>
      <c r="H128" s="21"/>
      <c r="I128" s="21"/>
      <c r="J128" s="21"/>
      <c r="K128" s="22"/>
      <c r="L128" s="22"/>
      <c r="M128" s="22"/>
      <c r="N128" s="22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/>
      <c r="B129" s="67"/>
      <c r="C129" s="17"/>
      <c r="D129" s="17"/>
      <c r="E129" s="17"/>
      <c r="F129" s="17"/>
      <c r="G129" s="21"/>
      <c r="H129" s="21"/>
      <c r="I129" s="21"/>
      <c r="J129" s="21"/>
      <c r="K129" s="22"/>
      <c r="L129" s="22"/>
      <c r="M129" s="22"/>
      <c r="N129" s="22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/>
      <c r="B130" s="67"/>
      <c r="C130" s="17"/>
      <c r="D130" s="17"/>
      <c r="E130" s="17"/>
      <c r="F130" s="17"/>
      <c r="G130" s="21"/>
      <c r="H130" s="21"/>
      <c r="I130" s="21"/>
      <c r="J130" s="21"/>
      <c r="K130" s="22"/>
      <c r="L130" s="22"/>
      <c r="M130" s="22"/>
      <c r="N130" s="22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/>
      <c r="B131" s="67"/>
      <c r="C131" s="17"/>
      <c r="D131" s="17"/>
      <c r="E131" s="17"/>
      <c r="F131" s="17"/>
      <c r="G131" s="21"/>
      <c r="H131" s="21"/>
      <c r="I131" s="21"/>
      <c r="J131" s="21"/>
      <c r="K131" s="22"/>
      <c r="L131" s="22"/>
      <c r="M131" s="22"/>
      <c r="N131" s="22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/>
      <c r="B132" s="67"/>
      <c r="C132" s="17"/>
      <c r="D132" s="17"/>
      <c r="E132" s="17"/>
      <c r="F132" s="17"/>
      <c r="G132" s="21"/>
      <c r="H132" s="21"/>
      <c r="I132" s="21"/>
      <c r="J132" s="21"/>
      <c r="K132" s="22"/>
      <c r="L132" s="22"/>
      <c r="M132" s="22"/>
      <c r="N132" s="22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/>
      <c r="B133" s="67"/>
      <c r="C133" s="17"/>
      <c r="D133" s="17"/>
      <c r="E133" s="17"/>
      <c r="F133" s="17"/>
      <c r="G133" s="21"/>
      <c r="H133" s="21"/>
      <c r="I133" s="21"/>
      <c r="J133" s="21"/>
      <c r="K133" s="22"/>
      <c r="L133" s="22"/>
      <c r="M133" s="22"/>
      <c r="N133" s="22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/>
      <c r="B134" s="67"/>
      <c r="C134" s="17"/>
      <c r="D134" s="17"/>
      <c r="E134" s="17"/>
      <c r="F134" s="17"/>
      <c r="G134" s="21"/>
      <c r="H134" s="21"/>
      <c r="I134" s="21"/>
      <c r="J134" s="21"/>
      <c r="K134" s="22"/>
      <c r="L134" s="22"/>
      <c r="M134" s="22"/>
      <c r="N134" s="22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/>
      <c r="B135" s="67"/>
      <c r="C135" s="17"/>
      <c r="D135" s="17"/>
      <c r="E135" s="17"/>
      <c r="F135" s="17"/>
      <c r="G135" s="21"/>
      <c r="H135" s="21"/>
      <c r="I135" s="21"/>
      <c r="J135" s="21"/>
      <c r="K135" s="22"/>
      <c r="L135" s="22"/>
      <c r="M135" s="22"/>
      <c r="N135" s="22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/>
      <c r="B136" s="67"/>
      <c r="C136" s="17"/>
      <c r="D136" s="17"/>
      <c r="E136" s="17"/>
      <c r="F136" s="17"/>
      <c r="G136" s="21"/>
      <c r="H136" s="21"/>
      <c r="I136" s="21"/>
      <c r="J136" s="21"/>
      <c r="K136" s="22"/>
      <c r="L136" s="22"/>
      <c r="M136" s="22"/>
      <c r="N136" s="22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/>
      <c r="B137" s="67"/>
      <c r="C137" s="17"/>
      <c r="D137" s="17"/>
      <c r="E137" s="17"/>
      <c r="F137" s="17"/>
      <c r="G137" s="21"/>
      <c r="H137" s="21"/>
      <c r="I137" s="21"/>
      <c r="J137" s="21"/>
      <c r="K137" s="22"/>
      <c r="L137" s="22"/>
      <c r="M137" s="22"/>
      <c r="N137" s="22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/>
      <c r="B138" s="67"/>
      <c r="C138" s="17"/>
      <c r="D138" s="17"/>
      <c r="E138" s="17"/>
      <c r="F138" s="17"/>
      <c r="G138" s="21"/>
      <c r="H138" s="21"/>
      <c r="I138" s="21"/>
      <c r="J138" s="21"/>
      <c r="K138" s="22"/>
      <c r="L138" s="22"/>
      <c r="M138" s="22"/>
      <c r="N138" s="22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/>
      <c r="B139" s="67"/>
      <c r="C139" s="17"/>
      <c r="D139" s="17"/>
      <c r="E139" s="17"/>
      <c r="F139" s="17"/>
      <c r="G139" s="21"/>
      <c r="H139" s="21"/>
      <c r="I139" s="21"/>
      <c r="J139" s="21"/>
      <c r="K139" s="22"/>
      <c r="L139" s="22"/>
      <c r="M139" s="22"/>
      <c r="N139" s="22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/>
      <c r="B140" s="67"/>
      <c r="C140" s="17"/>
      <c r="D140" s="17"/>
      <c r="E140" s="17"/>
      <c r="F140" s="17"/>
      <c r="G140" s="21"/>
      <c r="H140" s="21"/>
      <c r="I140" s="21"/>
      <c r="J140" s="21"/>
      <c r="K140" s="22"/>
      <c r="L140" s="22"/>
      <c r="M140" s="22"/>
      <c r="N140" s="22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/>
      <c r="B141" s="67"/>
      <c r="C141" s="17"/>
      <c r="D141" s="17"/>
      <c r="E141" s="17"/>
      <c r="F141" s="17"/>
      <c r="G141" s="21"/>
      <c r="H141" s="21"/>
      <c r="I141" s="21"/>
      <c r="J141" s="21"/>
      <c r="K141" s="22"/>
      <c r="L141" s="22"/>
      <c r="M141" s="22"/>
      <c r="N141" s="22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/>
      <c r="B142" s="67"/>
      <c r="C142" s="17"/>
      <c r="D142" s="17"/>
      <c r="E142" s="17"/>
      <c r="F142" s="17"/>
      <c r="G142" s="21"/>
      <c r="H142" s="21"/>
      <c r="I142" s="21"/>
      <c r="J142" s="21"/>
      <c r="K142" s="22"/>
      <c r="L142" s="22"/>
      <c r="M142" s="22"/>
      <c r="N142" s="22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/>
      <c r="B143" s="67"/>
      <c r="C143" s="17"/>
      <c r="D143" s="17"/>
      <c r="E143" s="17"/>
      <c r="F143" s="17"/>
      <c r="G143" s="21"/>
      <c r="H143" s="21"/>
      <c r="I143" s="21"/>
      <c r="J143" s="21"/>
      <c r="K143" s="22"/>
      <c r="L143" s="22"/>
      <c r="M143" s="22"/>
      <c r="N143" s="22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/>
      <c r="B144" s="67"/>
      <c r="C144" s="17"/>
      <c r="D144" s="17"/>
      <c r="E144" s="17"/>
      <c r="F144" s="17"/>
      <c r="G144" s="21"/>
      <c r="H144" s="21"/>
      <c r="I144" s="21"/>
      <c r="J144" s="21"/>
      <c r="K144" s="22"/>
      <c r="L144" s="22"/>
      <c r="M144" s="22"/>
      <c r="N144" s="22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/>
      <c r="B145" s="67"/>
      <c r="C145" s="17"/>
      <c r="D145" s="17"/>
      <c r="E145" s="17"/>
      <c r="F145" s="17"/>
      <c r="G145" s="21"/>
      <c r="H145" s="21"/>
      <c r="I145" s="21"/>
      <c r="J145" s="21"/>
      <c r="K145" s="22"/>
      <c r="L145" s="22"/>
      <c r="M145" s="22"/>
      <c r="N145" s="22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/>
      <c r="B146" s="67"/>
      <c r="C146" s="17"/>
      <c r="D146" s="17"/>
      <c r="E146" s="17"/>
      <c r="F146" s="17"/>
      <c r="G146" s="21"/>
      <c r="H146" s="21"/>
      <c r="I146" s="21"/>
      <c r="J146" s="21"/>
      <c r="K146" s="22"/>
      <c r="L146" s="22"/>
      <c r="M146" s="22"/>
      <c r="N146" s="22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/>
      <c r="B147" s="67"/>
      <c r="C147" s="17"/>
      <c r="D147" s="17"/>
      <c r="E147" s="17"/>
      <c r="F147" s="17"/>
      <c r="G147" s="21"/>
      <c r="H147" s="21"/>
      <c r="I147" s="21"/>
      <c r="J147" s="21"/>
      <c r="K147" s="22"/>
      <c r="L147" s="22"/>
      <c r="M147" s="22"/>
      <c r="N147" s="22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/>
      <c r="B148" s="67"/>
      <c r="C148" s="17"/>
      <c r="D148" s="17"/>
      <c r="E148" s="17"/>
      <c r="F148" s="17"/>
      <c r="G148" s="21"/>
      <c r="H148" s="21"/>
      <c r="I148" s="21"/>
      <c r="J148" s="21"/>
      <c r="K148" s="22"/>
      <c r="L148" s="22"/>
      <c r="M148" s="22"/>
      <c r="N148" s="22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/>
      <c r="B149" s="67"/>
      <c r="C149" s="17"/>
      <c r="D149" s="17"/>
      <c r="E149" s="17"/>
      <c r="F149" s="17"/>
      <c r="G149" s="21"/>
      <c r="H149" s="21"/>
      <c r="I149" s="21"/>
      <c r="J149" s="21"/>
      <c r="K149" s="22"/>
      <c r="L149" s="22"/>
      <c r="M149" s="22"/>
      <c r="N149" s="22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/>
      <c r="B150" s="67"/>
      <c r="C150" s="17"/>
      <c r="D150" s="17"/>
      <c r="E150" s="17"/>
      <c r="F150" s="17"/>
      <c r="G150" s="21"/>
      <c r="H150" s="21"/>
      <c r="I150" s="21"/>
      <c r="J150" s="21"/>
      <c r="K150" s="22"/>
      <c r="L150" s="22"/>
      <c r="M150" s="22"/>
      <c r="N150" s="22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/>
      <c r="B151" s="67"/>
      <c r="C151" s="17"/>
      <c r="D151" s="17"/>
      <c r="E151" s="17"/>
      <c r="F151" s="17"/>
      <c r="G151" s="21"/>
      <c r="H151" s="21"/>
      <c r="I151" s="21"/>
      <c r="J151" s="21"/>
      <c r="K151" s="22"/>
      <c r="L151" s="22"/>
      <c r="M151" s="22"/>
      <c r="N151" s="22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/>
      <c r="B152" s="67"/>
      <c r="C152" s="17"/>
      <c r="D152" s="17"/>
      <c r="E152" s="17"/>
      <c r="F152" s="17"/>
      <c r="G152" s="21"/>
      <c r="H152" s="21"/>
      <c r="I152" s="21"/>
      <c r="J152" s="21"/>
      <c r="K152" s="22"/>
      <c r="L152" s="22"/>
      <c r="M152" s="22"/>
      <c r="N152" s="22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/>
      <c r="B153" s="67"/>
      <c r="C153" s="17"/>
      <c r="D153" s="17"/>
      <c r="E153" s="17"/>
      <c r="F153" s="17"/>
      <c r="G153" s="21"/>
      <c r="H153" s="21"/>
      <c r="I153" s="21"/>
      <c r="J153" s="21"/>
      <c r="K153" s="22"/>
      <c r="L153" s="22"/>
      <c r="M153" s="22"/>
      <c r="N153" s="22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/>
      <c r="B154" s="67"/>
      <c r="C154" s="17"/>
      <c r="D154" s="17"/>
      <c r="E154" s="17"/>
      <c r="F154" s="17"/>
      <c r="G154" s="21"/>
      <c r="H154" s="21"/>
      <c r="I154" s="21"/>
      <c r="J154" s="21"/>
      <c r="K154" s="22"/>
      <c r="L154" s="22"/>
      <c r="M154" s="22"/>
      <c r="N154" s="22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/>
      <c r="B155" s="67"/>
      <c r="C155" s="17"/>
      <c r="D155" s="17"/>
      <c r="E155" s="17"/>
      <c r="F155" s="17"/>
      <c r="G155" s="21"/>
      <c r="H155" s="21"/>
      <c r="I155" s="21"/>
      <c r="J155" s="21"/>
      <c r="K155" s="22"/>
      <c r="L155" s="22"/>
      <c r="M155" s="22"/>
      <c r="N155" s="22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/>
      <c r="B156" s="67"/>
      <c r="C156" s="17"/>
      <c r="D156" s="17"/>
      <c r="E156" s="17"/>
      <c r="F156" s="17"/>
      <c r="G156" s="21"/>
      <c r="H156" s="21"/>
      <c r="I156" s="21"/>
      <c r="J156" s="21"/>
      <c r="K156" s="22"/>
      <c r="L156" s="22"/>
      <c r="M156" s="22"/>
      <c r="N156" s="22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/>
      <c r="B157" s="67"/>
      <c r="C157" s="17"/>
      <c r="D157" s="17"/>
      <c r="E157" s="17"/>
      <c r="F157" s="17"/>
      <c r="G157" s="21"/>
      <c r="H157" s="21"/>
      <c r="I157" s="21"/>
      <c r="J157" s="21"/>
      <c r="K157" s="22"/>
      <c r="L157" s="22"/>
      <c r="M157" s="22"/>
      <c r="N157" s="22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/>
      <c r="B158" s="67"/>
      <c r="C158" s="17"/>
      <c r="D158" s="17"/>
      <c r="E158" s="17"/>
      <c r="F158" s="17"/>
      <c r="G158" s="21"/>
      <c r="H158" s="21"/>
      <c r="I158" s="21"/>
      <c r="J158" s="21"/>
      <c r="K158" s="22"/>
      <c r="L158" s="22"/>
      <c r="M158" s="22"/>
      <c r="N158" s="22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/>
      <c r="B159" s="67"/>
      <c r="C159" s="17"/>
      <c r="D159" s="17"/>
      <c r="E159" s="17"/>
      <c r="F159" s="17"/>
      <c r="G159" s="21"/>
      <c r="H159" s="21"/>
      <c r="I159" s="21"/>
      <c r="J159" s="21"/>
      <c r="K159" s="22"/>
      <c r="L159" s="22"/>
      <c r="M159" s="22"/>
      <c r="N159" s="22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/>
      <c r="B160" s="67"/>
      <c r="C160" s="17"/>
      <c r="D160" s="17"/>
      <c r="E160" s="17"/>
      <c r="F160" s="17"/>
      <c r="G160" s="21"/>
      <c r="H160" s="21"/>
      <c r="I160" s="21"/>
      <c r="J160" s="21"/>
      <c r="K160" s="22"/>
      <c r="L160" s="22"/>
      <c r="M160" s="22"/>
      <c r="N160" s="22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/>
      <c r="B161" s="67"/>
      <c r="C161" s="17"/>
      <c r="D161" s="17"/>
      <c r="E161" s="17"/>
      <c r="F161" s="17"/>
      <c r="G161" s="21"/>
      <c r="H161" s="21"/>
      <c r="I161" s="21"/>
      <c r="J161" s="21"/>
      <c r="K161" s="22"/>
      <c r="L161" s="22"/>
      <c r="M161" s="22"/>
      <c r="N161" s="22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/>
      <c r="B162" s="67"/>
      <c r="C162" s="17"/>
      <c r="D162" s="17"/>
      <c r="E162" s="17"/>
      <c r="F162" s="17"/>
      <c r="G162" s="21"/>
      <c r="H162" s="21"/>
      <c r="I162" s="21"/>
      <c r="J162" s="21"/>
      <c r="K162" s="22"/>
      <c r="L162" s="22"/>
      <c r="M162" s="22"/>
      <c r="N162" s="22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/>
      <c r="B163" s="67"/>
      <c r="C163" s="17"/>
      <c r="D163" s="17"/>
      <c r="E163" s="17"/>
      <c r="F163" s="17"/>
      <c r="G163" s="21"/>
      <c r="H163" s="21"/>
      <c r="I163" s="21"/>
      <c r="J163" s="21"/>
      <c r="K163" s="22"/>
      <c r="L163" s="22"/>
      <c r="M163" s="22"/>
      <c r="N163" s="22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/>
      <c r="B164" s="67"/>
      <c r="C164" s="17"/>
      <c r="D164" s="17"/>
      <c r="E164" s="17"/>
      <c r="F164" s="17"/>
      <c r="G164" s="21"/>
      <c r="H164" s="21"/>
      <c r="I164" s="21"/>
      <c r="J164" s="21"/>
      <c r="K164" s="22"/>
      <c r="L164" s="22"/>
      <c r="M164" s="22"/>
      <c r="N164" s="22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/>
      <c r="B165" s="67"/>
      <c r="C165" s="17"/>
      <c r="D165" s="17"/>
      <c r="E165" s="17"/>
      <c r="F165" s="17"/>
      <c r="G165" s="21"/>
      <c r="H165" s="21"/>
      <c r="I165" s="21"/>
      <c r="J165" s="21"/>
      <c r="K165" s="22"/>
      <c r="L165" s="22"/>
      <c r="M165" s="22"/>
      <c r="N165" s="22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/>
      <c r="B166" s="67"/>
      <c r="C166" s="17"/>
      <c r="D166" s="17"/>
      <c r="E166" s="17"/>
      <c r="F166" s="17"/>
      <c r="G166" s="21"/>
      <c r="H166" s="21"/>
      <c r="I166" s="21"/>
      <c r="J166" s="21"/>
      <c r="K166" s="22"/>
      <c r="L166" s="22"/>
      <c r="M166" s="22"/>
      <c r="N166" s="22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/>
      <c r="B167" s="67"/>
      <c r="C167" s="17"/>
      <c r="D167" s="17"/>
      <c r="E167" s="17"/>
      <c r="F167" s="17"/>
      <c r="G167" s="21"/>
      <c r="H167" s="21"/>
      <c r="I167" s="21"/>
      <c r="J167" s="21"/>
      <c r="K167" s="22"/>
      <c r="L167" s="22"/>
      <c r="M167" s="22"/>
      <c r="N167" s="22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/>
      <c r="B168" s="67"/>
      <c r="C168" s="17"/>
      <c r="D168" s="17"/>
      <c r="E168" s="17"/>
      <c r="F168" s="17"/>
      <c r="G168" s="21"/>
      <c r="H168" s="21"/>
      <c r="I168" s="21"/>
      <c r="J168" s="21"/>
      <c r="K168" s="22"/>
      <c r="L168" s="22"/>
      <c r="M168" s="22"/>
      <c r="N168" s="22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/>
      <c r="B169" s="67"/>
      <c r="C169" s="17"/>
      <c r="D169" s="17"/>
      <c r="E169" s="17"/>
      <c r="F169" s="17"/>
      <c r="G169" s="21"/>
      <c r="H169" s="21"/>
      <c r="I169" s="21"/>
      <c r="J169" s="21"/>
      <c r="K169" s="22"/>
      <c r="L169" s="22"/>
      <c r="M169" s="22"/>
      <c r="N169" s="22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/>
      <c r="B170" s="67"/>
      <c r="C170" s="17"/>
      <c r="D170" s="17"/>
      <c r="E170" s="17"/>
      <c r="F170" s="17"/>
      <c r="G170" s="21"/>
      <c r="H170" s="21"/>
      <c r="I170" s="21"/>
      <c r="J170" s="21"/>
      <c r="K170" s="22"/>
      <c r="L170" s="22"/>
      <c r="M170" s="22"/>
      <c r="N170" s="22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/>
      <c r="B171" s="67"/>
      <c r="C171" s="17"/>
      <c r="D171" s="17"/>
      <c r="E171" s="17"/>
      <c r="F171" s="17"/>
      <c r="G171" s="21"/>
      <c r="H171" s="21"/>
      <c r="I171" s="21"/>
      <c r="J171" s="21"/>
      <c r="K171" s="22"/>
      <c r="L171" s="22"/>
      <c r="M171" s="22"/>
      <c r="N171" s="22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67"/>
      <c r="C172" s="17"/>
      <c r="D172" s="17"/>
      <c r="E172" s="17"/>
      <c r="F172" s="17"/>
      <c r="G172" s="21"/>
      <c r="H172" s="21"/>
      <c r="I172" s="21"/>
      <c r="J172" s="21"/>
      <c r="K172" s="22"/>
      <c r="L172" s="22"/>
      <c r="M172" s="22"/>
      <c r="N172" s="22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67"/>
      <c r="C173" s="17"/>
      <c r="D173" s="17"/>
      <c r="E173" s="17"/>
      <c r="F173" s="17"/>
      <c r="G173" s="21"/>
      <c r="H173" s="21"/>
      <c r="I173" s="21"/>
      <c r="J173" s="21"/>
      <c r="K173" s="22"/>
      <c r="L173" s="22"/>
      <c r="M173" s="22"/>
      <c r="N173" s="22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67"/>
      <c r="C174" s="17"/>
      <c r="D174" s="17"/>
      <c r="E174" s="17"/>
      <c r="F174" s="17"/>
      <c r="G174" s="21"/>
      <c r="H174" s="21"/>
      <c r="I174" s="21"/>
      <c r="J174" s="21"/>
      <c r="K174" s="22"/>
      <c r="L174" s="22"/>
      <c r="M174" s="22"/>
      <c r="N174" s="22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67"/>
      <c r="C175" s="17"/>
      <c r="D175" s="17"/>
      <c r="E175" s="17"/>
      <c r="F175" s="17"/>
      <c r="G175" s="21"/>
      <c r="H175" s="21"/>
      <c r="I175" s="21"/>
      <c r="J175" s="21"/>
      <c r="K175" s="22"/>
      <c r="L175" s="22"/>
      <c r="M175" s="22"/>
      <c r="N175" s="22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67"/>
      <c r="C176" s="17"/>
      <c r="D176" s="17"/>
      <c r="E176" s="17"/>
      <c r="F176" s="17"/>
      <c r="G176" s="21"/>
      <c r="H176" s="21"/>
      <c r="I176" s="21"/>
      <c r="J176" s="21"/>
      <c r="K176" s="22"/>
      <c r="L176" s="22"/>
      <c r="M176" s="22"/>
      <c r="N176" s="22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67"/>
      <c r="C177" s="17"/>
      <c r="D177" s="17"/>
      <c r="E177" s="17"/>
      <c r="F177" s="17"/>
      <c r="G177" s="21"/>
      <c r="H177" s="21"/>
      <c r="I177" s="21"/>
      <c r="J177" s="21"/>
      <c r="K177" s="22"/>
      <c r="L177" s="22"/>
      <c r="M177" s="22"/>
      <c r="N177" s="22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67"/>
      <c r="C178" s="17"/>
      <c r="D178" s="17"/>
      <c r="E178" s="17"/>
      <c r="F178" s="17"/>
      <c r="G178" s="21"/>
      <c r="H178" s="21"/>
      <c r="I178" s="21"/>
      <c r="J178" s="21"/>
      <c r="K178" s="22"/>
      <c r="L178" s="22"/>
      <c r="M178" s="22"/>
      <c r="N178" s="22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67"/>
      <c r="C179" s="17"/>
      <c r="D179" s="17"/>
      <c r="E179" s="17"/>
      <c r="F179" s="17"/>
      <c r="G179" s="21"/>
      <c r="H179" s="21"/>
      <c r="I179" s="21"/>
      <c r="J179" s="21"/>
      <c r="K179" s="22"/>
      <c r="L179" s="22"/>
      <c r="M179" s="22"/>
      <c r="N179" s="22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67"/>
      <c r="C180" s="17"/>
      <c r="D180" s="17"/>
      <c r="E180" s="17"/>
      <c r="F180" s="17"/>
      <c r="G180" s="21"/>
      <c r="H180" s="21"/>
      <c r="I180" s="21"/>
      <c r="J180" s="21"/>
      <c r="K180" s="22"/>
      <c r="L180" s="22"/>
      <c r="M180" s="22"/>
      <c r="N180" s="22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67"/>
      <c r="C181" s="17"/>
      <c r="D181" s="17"/>
      <c r="E181" s="17"/>
      <c r="F181" s="17"/>
      <c r="G181" s="21"/>
      <c r="H181" s="21"/>
      <c r="I181" s="21"/>
      <c r="J181" s="21"/>
      <c r="K181" s="22"/>
      <c r="L181" s="22"/>
      <c r="M181" s="22"/>
      <c r="N181" s="22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67"/>
      <c r="C182" s="17"/>
      <c r="D182" s="17"/>
      <c r="E182" s="17"/>
      <c r="F182" s="17"/>
      <c r="G182" s="21"/>
      <c r="H182" s="21"/>
      <c r="I182" s="21"/>
      <c r="J182" s="21"/>
      <c r="K182" s="22"/>
      <c r="L182" s="22"/>
      <c r="M182" s="22"/>
      <c r="N182" s="22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67"/>
      <c r="C183" s="17"/>
      <c r="D183" s="17"/>
      <c r="E183" s="17"/>
      <c r="F183" s="17"/>
      <c r="G183" s="21"/>
      <c r="H183" s="21"/>
      <c r="I183" s="21"/>
      <c r="J183" s="21"/>
      <c r="K183" s="22"/>
      <c r="L183" s="22"/>
      <c r="M183" s="22"/>
      <c r="N183" s="22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67"/>
      <c r="C184" s="17"/>
      <c r="D184" s="17"/>
      <c r="E184" s="17"/>
      <c r="F184" s="17"/>
      <c r="G184" s="21"/>
      <c r="H184" s="21"/>
      <c r="I184" s="21"/>
      <c r="J184" s="21"/>
      <c r="K184" s="22"/>
      <c r="L184" s="22"/>
      <c r="M184" s="22"/>
      <c r="N184" s="22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67"/>
      <c r="C185" s="17"/>
      <c r="D185" s="17"/>
      <c r="E185" s="17"/>
      <c r="F185" s="17"/>
      <c r="G185" s="21"/>
      <c r="H185" s="21"/>
      <c r="I185" s="21"/>
      <c r="J185" s="21"/>
      <c r="K185" s="22"/>
      <c r="L185" s="22"/>
      <c r="M185" s="22"/>
      <c r="N185" s="22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67"/>
      <c r="C186" s="17"/>
      <c r="D186" s="17"/>
      <c r="E186" s="17"/>
      <c r="F186" s="17"/>
      <c r="G186" s="21"/>
      <c r="H186" s="21"/>
      <c r="I186" s="21"/>
      <c r="J186" s="21"/>
      <c r="K186" s="22"/>
      <c r="L186" s="22"/>
      <c r="M186" s="22"/>
      <c r="N186" s="22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67"/>
      <c r="C187" s="17"/>
      <c r="D187" s="17"/>
      <c r="E187" s="17"/>
      <c r="F187" s="17"/>
      <c r="G187" s="21"/>
      <c r="H187" s="21"/>
      <c r="I187" s="21"/>
      <c r="J187" s="21"/>
      <c r="K187" s="22"/>
      <c r="L187" s="22"/>
      <c r="M187" s="22"/>
      <c r="N187" s="22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67"/>
      <c r="C188" s="17"/>
      <c r="D188" s="17"/>
      <c r="E188" s="17"/>
      <c r="F188" s="17"/>
      <c r="G188" s="21"/>
      <c r="H188" s="21"/>
      <c r="I188" s="21"/>
      <c r="J188" s="21"/>
      <c r="K188" s="22"/>
      <c r="L188" s="22"/>
      <c r="M188" s="22"/>
      <c r="N188" s="22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67"/>
      <c r="C189" s="17"/>
      <c r="D189" s="17"/>
      <c r="E189" s="17"/>
      <c r="F189" s="17"/>
      <c r="G189" s="21"/>
      <c r="H189" s="21"/>
      <c r="I189" s="21"/>
      <c r="J189" s="21"/>
      <c r="K189" s="22"/>
      <c r="L189" s="22"/>
      <c r="M189" s="22"/>
      <c r="N189" s="22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67"/>
      <c r="C190" s="17"/>
      <c r="D190" s="17"/>
      <c r="E190" s="17"/>
      <c r="F190" s="17"/>
      <c r="G190" s="21"/>
      <c r="H190" s="21"/>
      <c r="I190" s="21"/>
      <c r="J190" s="21"/>
      <c r="K190" s="22"/>
      <c r="L190" s="22"/>
      <c r="M190" s="22"/>
      <c r="N190" s="22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67"/>
      <c r="C191" s="17"/>
      <c r="D191" s="17"/>
      <c r="E191" s="17"/>
      <c r="F191" s="17"/>
      <c r="G191" s="21"/>
      <c r="H191" s="21"/>
      <c r="I191" s="21"/>
      <c r="J191" s="21"/>
      <c r="K191" s="22"/>
      <c r="L191" s="22"/>
      <c r="M191" s="22"/>
      <c r="N191" s="22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67"/>
      <c r="C192" s="17"/>
      <c r="D192" s="17"/>
      <c r="E192" s="17"/>
      <c r="F192" s="17"/>
      <c r="G192" s="21"/>
      <c r="H192" s="21"/>
      <c r="I192" s="21"/>
      <c r="J192" s="21"/>
      <c r="K192" s="22"/>
      <c r="L192" s="22"/>
      <c r="M192" s="22"/>
      <c r="N192" s="22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67"/>
      <c r="C193" s="17"/>
      <c r="D193" s="17"/>
      <c r="E193" s="17"/>
      <c r="F193" s="17"/>
      <c r="G193" s="21"/>
      <c r="H193" s="21"/>
      <c r="I193" s="21"/>
      <c r="J193" s="21"/>
      <c r="K193" s="22"/>
      <c r="L193" s="22"/>
      <c r="M193" s="22"/>
      <c r="N193" s="22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67"/>
      <c r="C194" s="17"/>
      <c r="D194" s="17"/>
      <c r="E194" s="17"/>
      <c r="F194" s="17"/>
      <c r="G194" s="21"/>
      <c r="H194" s="21"/>
      <c r="I194" s="21"/>
      <c r="J194" s="21"/>
      <c r="K194" s="22"/>
      <c r="L194" s="22"/>
      <c r="M194" s="22"/>
      <c r="N194" s="22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67"/>
      <c r="C195" s="17"/>
      <c r="D195" s="17"/>
      <c r="E195" s="17"/>
      <c r="F195" s="17"/>
      <c r="G195" s="21"/>
      <c r="H195" s="21"/>
      <c r="I195" s="21"/>
      <c r="J195" s="21"/>
      <c r="K195" s="22"/>
      <c r="L195" s="22"/>
      <c r="M195" s="22"/>
      <c r="N195" s="22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67"/>
      <c r="C196" s="17"/>
      <c r="D196" s="17"/>
      <c r="E196" s="17"/>
      <c r="F196" s="17"/>
      <c r="G196" s="21"/>
      <c r="H196" s="21"/>
      <c r="I196" s="21"/>
      <c r="J196" s="21"/>
      <c r="K196" s="22"/>
      <c r="L196" s="22"/>
      <c r="M196" s="22"/>
      <c r="N196" s="22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67"/>
      <c r="C197" s="17"/>
      <c r="D197" s="17"/>
      <c r="E197" s="17"/>
      <c r="F197" s="17"/>
      <c r="G197" s="21"/>
      <c r="H197" s="21"/>
      <c r="I197" s="21"/>
      <c r="J197" s="21"/>
      <c r="K197" s="22"/>
      <c r="L197" s="22"/>
      <c r="M197" s="22"/>
      <c r="N197" s="22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67"/>
      <c r="C198" s="17"/>
      <c r="D198" s="17"/>
      <c r="E198" s="17"/>
      <c r="F198" s="17"/>
      <c r="G198" s="21"/>
      <c r="H198" s="21"/>
      <c r="I198" s="21"/>
      <c r="J198" s="21"/>
      <c r="K198" s="22"/>
      <c r="L198" s="22"/>
      <c r="M198" s="22"/>
      <c r="N198" s="22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67"/>
      <c r="C199" s="17"/>
      <c r="D199" s="17"/>
      <c r="E199" s="17"/>
      <c r="F199" s="17"/>
      <c r="G199" s="21"/>
      <c r="H199" s="21"/>
      <c r="I199" s="21"/>
      <c r="J199" s="21"/>
      <c r="K199" s="22"/>
      <c r="L199" s="22"/>
      <c r="M199" s="22"/>
      <c r="N199" s="22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67"/>
      <c r="C200" s="17"/>
      <c r="D200" s="17"/>
      <c r="E200" s="17"/>
      <c r="F200" s="17"/>
      <c r="G200" s="21"/>
      <c r="H200" s="21"/>
      <c r="I200" s="21"/>
      <c r="J200" s="21"/>
      <c r="K200" s="22"/>
      <c r="L200" s="22"/>
      <c r="M200" s="22"/>
      <c r="N200" s="22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67"/>
      <c r="C201" s="17"/>
      <c r="D201" s="17"/>
      <c r="E201" s="17"/>
      <c r="F201" s="17"/>
      <c r="G201" s="21"/>
      <c r="H201" s="21"/>
      <c r="I201" s="21"/>
      <c r="J201" s="21"/>
      <c r="K201" s="22"/>
      <c r="L201" s="22"/>
      <c r="M201" s="22"/>
      <c r="N201" s="22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67"/>
      <c r="C202" s="17"/>
      <c r="D202" s="17"/>
      <c r="E202" s="17"/>
      <c r="F202" s="17"/>
      <c r="G202" s="21"/>
      <c r="H202" s="21"/>
      <c r="I202" s="21"/>
      <c r="J202" s="21"/>
      <c r="K202" s="22"/>
      <c r="L202" s="22"/>
      <c r="M202" s="22"/>
      <c r="N202" s="22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67"/>
      <c r="C203" s="17"/>
      <c r="D203" s="17"/>
      <c r="E203" s="17"/>
      <c r="F203" s="17"/>
      <c r="G203" s="21"/>
      <c r="H203" s="21"/>
      <c r="I203" s="21"/>
      <c r="J203" s="21"/>
      <c r="K203" s="22"/>
      <c r="L203" s="22"/>
      <c r="M203" s="22"/>
      <c r="N203" s="22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67"/>
      <c r="C204" s="17"/>
      <c r="D204" s="17"/>
      <c r="E204" s="17"/>
      <c r="F204" s="17"/>
      <c r="G204" s="21"/>
      <c r="H204" s="21"/>
      <c r="I204" s="21"/>
      <c r="J204" s="21"/>
      <c r="K204" s="22"/>
      <c r="L204" s="22"/>
      <c r="M204" s="22"/>
      <c r="N204" s="22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67"/>
      <c r="C205" s="17"/>
      <c r="D205" s="17"/>
      <c r="E205" s="17"/>
      <c r="F205" s="17"/>
      <c r="G205" s="21"/>
      <c r="H205" s="21"/>
      <c r="I205" s="21"/>
      <c r="J205" s="21"/>
      <c r="K205" s="22"/>
      <c r="L205" s="22"/>
      <c r="M205" s="22"/>
      <c r="N205" s="22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67"/>
      <c r="C206" s="17"/>
      <c r="D206" s="17"/>
      <c r="E206" s="17"/>
      <c r="F206" s="17"/>
      <c r="G206" s="21"/>
      <c r="H206" s="21"/>
      <c r="I206" s="21"/>
      <c r="J206" s="21"/>
      <c r="K206" s="22"/>
      <c r="L206" s="22"/>
      <c r="M206" s="22"/>
      <c r="N206" s="22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67"/>
      <c r="C207" s="17"/>
      <c r="D207" s="17"/>
      <c r="E207" s="17"/>
      <c r="F207" s="17"/>
      <c r="G207" s="21"/>
      <c r="H207" s="21"/>
      <c r="I207" s="21"/>
      <c r="J207" s="21"/>
      <c r="K207" s="22"/>
      <c r="L207" s="22"/>
      <c r="M207" s="22"/>
      <c r="N207" s="22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67"/>
      <c r="C208" s="17"/>
      <c r="D208" s="17"/>
      <c r="E208" s="17"/>
      <c r="F208" s="17"/>
      <c r="G208" s="21"/>
      <c r="H208" s="21"/>
      <c r="I208" s="21"/>
      <c r="J208" s="21"/>
      <c r="K208" s="22"/>
      <c r="L208" s="22"/>
      <c r="M208" s="22"/>
      <c r="N208" s="22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67"/>
      <c r="C209" s="17"/>
      <c r="D209" s="17"/>
      <c r="E209" s="17"/>
      <c r="F209" s="17"/>
      <c r="G209" s="21"/>
      <c r="H209" s="21"/>
      <c r="I209" s="21"/>
      <c r="J209" s="21"/>
      <c r="K209" s="22"/>
      <c r="L209" s="22"/>
      <c r="M209" s="22"/>
      <c r="N209" s="22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67"/>
      <c r="C210" s="17"/>
      <c r="D210" s="17"/>
      <c r="E210" s="17"/>
      <c r="F210" s="17"/>
      <c r="G210" s="21"/>
      <c r="H210" s="21"/>
      <c r="I210" s="21"/>
      <c r="J210" s="21"/>
      <c r="K210" s="22"/>
      <c r="L210" s="22"/>
      <c r="M210" s="22"/>
      <c r="N210" s="22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67"/>
      <c r="C211" s="17"/>
      <c r="D211" s="17"/>
      <c r="E211" s="17"/>
      <c r="F211" s="17"/>
      <c r="G211" s="21"/>
      <c r="H211" s="21"/>
      <c r="I211" s="21"/>
      <c r="J211" s="21"/>
      <c r="K211" s="22"/>
      <c r="L211" s="22"/>
      <c r="M211" s="22"/>
      <c r="N211" s="22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67"/>
      <c r="C212" s="17"/>
      <c r="D212" s="17"/>
      <c r="E212" s="17"/>
      <c r="F212" s="17"/>
      <c r="G212" s="21"/>
      <c r="H212" s="21"/>
      <c r="I212" s="21"/>
      <c r="J212" s="21"/>
      <c r="K212" s="22"/>
      <c r="L212" s="22"/>
      <c r="M212" s="22"/>
      <c r="N212" s="22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67"/>
      <c r="C213" s="17"/>
      <c r="D213" s="17"/>
      <c r="E213" s="17"/>
      <c r="F213" s="17"/>
      <c r="G213" s="21"/>
      <c r="H213" s="21"/>
      <c r="I213" s="21"/>
      <c r="J213" s="21"/>
      <c r="K213" s="22"/>
      <c r="L213" s="22"/>
      <c r="M213" s="22"/>
      <c r="N213" s="22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67"/>
      <c r="C214" s="17"/>
      <c r="D214" s="17"/>
      <c r="E214" s="17"/>
      <c r="F214" s="17"/>
      <c r="G214" s="21"/>
      <c r="H214" s="21"/>
      <c r="I214" s="21"/>
      <c r="J214" s="21"/>
      <c r="K214" s="22"/>
      <c r="L214" s="22"/>
      <c r="M214" s="22"/>
      <c r="N214" s="22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67"/>
      <c r="C215" s="17"/>
      <c r="D215" s="17"/>
      <c r="E215" s="17"/>
      <c r="F215" s="17"/>
      <c r="G215" s="21"/>
      <c r="H215" s="21"/>
      <c r="I215" s="21"/>
      <c r="J215" s="21"/>
      <c r="K215" s="22"/>
      <c r="L215" s="22"/>
      <c r="M215" s="22"/>
      <c r="N215" s="22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67"/>
      <c r="C216" s="17"/>
      <c r="D216" s="17"/>
      <c r="E216" s="17"/>
      <c r="F216" s="17"/>
      <c r="G216" s="21"/>
      <c r="H216" s="21"/>
      <c r="I216" s="21"/>
      <c r="J216" s="21"/>
      <c r="K216" s="22"/>
      <c r="L216" s="22"/>
      <c r="M216" s="22"/>
      <c r="N216" s="22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67"/>
      <c r="C217" s="17"/>
      <c r="D217" s="17"/>
      <c r="E217" s="17"/>
      <c r="F217" s="17"/>
      <c r="G217" s="21"/>
      <c r="H217" s="21"/>
      <c r="I217" s="21"/>
      <c r="J217" s="21"/>
      <c r="K217" s="22"/>
      <c r="L217" s="22"/>
      <c r="M217" s="22"/>
      <c r="N217" s="22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67"/>
      <c r="C218" s="17"/>
      <c r="D218" s="17"/>
      <c r="E218" s="17"/>
      <c r="F218" s="17"/>
      <c r="G218" s="21"/>
      <c r="H218" s="21"/>
      <c r="I218" s="21"/>
      <c r="J218" s="21"/>
      <c r="K218" s="22"/>
      <c r="L218" s="22"/>
      <c r="M218" s="22"/>
      <c r="N218" s="22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67"/>
      <c r="C219" s="17"/>
      <c r="D219" s="17"/>
      <c r="E219" s="17"/>
      <c r="F219" s="17"/>
      <c r="G219" s="21"/>
      <c r="H219" s="21"/>
      <c r="I219" s="21"/>
      <c r="J219" s="21"/>
      <c r="K219" s="22"/>
      <c r="L219" s="22"/>
      <c r="M219" s="22"/>
      <c r="N219" s="22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67"/>
      <c r="C220" s="17"/>
      <c r="D220" s="17"/>
      <c r="E220" s="17"/>
      <c r="F220" s="17"/>
      <c r="G220" s="21"/>
      <c r="H220" s="21"/>
      <c r="I220" s="21"/>
      <c r="J220" s="21"/>
      <c r="K220" s="22"/>
      <c r="L220" s="22"/>
      <c r="M220" s="22"/>
      <c r="N220" s="22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67"/>
      <c r="C221" s="17"/>
      <c r="D221" s="17"/>
      <c r="E221" s="17"/>
      <c r="F221" s="17"/>
      <c r="G221" s="21"/>
      <c r="H221" s="21"/>
      <c r="I221" s="21"/>
      <c r="J221" s="21"/>
      <c r="K221" s="22"/>
      <c r="L221" s="22"/>
      <c r="M221" s="22"/>
      <c r="N221" s="22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67"/>
      <c r="C222" s="17"/>
      <c r="D222" s="17"/>
      <c r="E222" s="17"/>
      <c r="F222" s="17"/>
      <c r="G222" s="21"/>
      <c r="H222" s="21"/>
      <c r="I222" s="21"/>
      <c r="J222" s="21"/>
      <c r="K222" s="22"/>
      <c r="L222" s="22"/>
      <c r="M222" s="22"/>
      <c r="N222" s="22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67"/>
      <c r="C223" s="17"/>
      <c r="D223" s="17"/>
      <c r="E223" s="17"/>
      <c r="F223" s="17"/>
      <c r="G223" s="21"/>
      <c r="H223" s="21"/>
      <c r="I223" s="21"/>
      <c r="J223" s="21"/>
      <c r="K223" s="22"/>
      <c r="L223" s="22"/>
      <c r="M223" s="22"/>
      <c r="N223" s="22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67"/>
      <c r="C224" s="17"/>
      <c r="D224" s="17"/>
      <c r="E224" s="17"/>
      <c r="F224" s="17"/>
      <c r="G224" s="21"/>
      <c r="H224" s="21"/>
      <c r="I224" s="21"/>
      <c r="J224" s="21"/>
      <c r="K224" s="22"/>
      <c r="L224" s="22"/>
      <c r="M224" s="22"/>
      <c r="N224" s="22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67"/>
      <c r="C225" s="17"/>
      <c r="D225" s="17"/>
      <c r="E225" s="17"/>
      <c r="F225" s="17"/>
      <c r="G225" s="21"/>
      <c r="H225" s="21"/>
      <c r="I225" s="21"/>
      <c r="J225" s="21"/>
      <c r="K225" s="22"/>
      <c r="L225" s="22"/>
      <c r="M225" s="22"/>
      <c r="N225" s="22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67"/>
      <c r="C226" s="17"/>
      <c r="D226" s="17"/>
      <c r="E226" s="17"/>
      <c r="F226" s="17"/>
      <c r="G226" s="21"/>
      <c r="H226" s="21"/>
      <c r="I226" s="21"/>
      <c r="J226" s="21"/>
      <c r="K226" s="22"/>
      <c r="L226" s="22"/>
      <c r="M226" s="22"/>
      <c r="N226" s="22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67"/>
      <c r="C227" s="17"/>
      <c r="D227" s="17"/>
      <c r="E227" s="17"/>
      <c r="F227" s="17"/>
      <c r="G227" s="21"/>
      <c r="H227" s="21"/>
      <c r="I227" s="21"/>
      <c r="J227" s="21"/>
      <c r="K227" s="22"/>
      <c r="L227" s="22"/>
      <c r="M227" s="22"/>
      <c r="N227" s="22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67"/>
      <c r="C228" s="17"/>
      <c r="D228" s="17"/>
      <c r="E228" s="17"/>
      <c r="F228" s="17"/>
      <c r="G228" s="21"/>
      <c r="H228" s="21"/>
      <c r="I228" s="21"/>
      <c r="J228" s="21"/>
      <c r="K228" s="22"/>
      <c r="L228" s="22"/>
      <c r="M228" s="22"/>
      <c r="N228" s="22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67"/>
      <c r="C229" s="17"/>
      <c r="D229" s="17"/>
      <c r="E229" s="17"/>
      <c r="F229" s="17"/>
      <c r="G229" s="21"/>
      <c r="H229" s="21"/>
      <c r="I229" s="21"/>
      <c r="J229" s="21"/>
      <c r="K229" s="22"/>
      <c r="L229" s="22"/>
      <c r="M229" s="22"/>
      <c r="N229" s="22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67"/>
      <c r="C230" s="17"/>
      <c r="D230" s="17"/>
      <c r="E230" s="17"/>
      <c r="F230" s="17"/>
      <c r="G230" s="21"/>
      <c r="H230" s="21"/>
      <c r="I230" s="21"/>
      <c r="J230" s="21"/>
      <c r="K230" s="22"/>
      <c r="L230" s="22"/>
      <c r="M230" s="22"/>
      <c r="N230" s="22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67"/>
      <c r="C231" s="17"/>
      <c r="D231" s="17"/>
      <c r="E231" s="17"/>
      <c r="F231" s="17"/>
      <c r="G231" s="21"/>
      <c r="H231" s="21"/>
      <c r="I231" s="21"/>
      <c r="J231" s="21"/>
      <c r="K231" s="22"/>
      <c r="L231" s="22"/>
      <c r="M231" s="22"/>
      <c r="N231" s="22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67"/>
      <c r="C232" s="17"/>
      <c r="D232" s="17"/>
      <c r="E232" s="17"/>
      <c r="F232" s="17"/>
      <c r="G232" s="21"/>
      <c r="H232" s="21"/>
      <c r="I232" s="21"/>
      <c r="J232" s="21"/>
      <c r="K232" s="22"/>
      <c r="L232" s="22"/>
      <c r="M232" s="22"/>
      <c r="N232" s="22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67"/>
      <c r="C233" s="17"/>
      <c r="D233" s="17"/>
      <c r="E233" s="17"/>
      <c r="F233" s="17"/>
      <c r="G233" s="21"/>
      <c r="H233" s="21"/>
      <c r="I233" s="21"/>
      <c r="J233" s="21"/>
      <c r="K233" s="22"/>
      <c r="L233" s="22"/>
      <c r="M233" s="22"/>
      <c r="N233" s="22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67"/>
      <c r="C234" s="17"/>
      <c r="D234" s="17"/>
      <c r="E234" s="17"/>
      <c r="F234" s="17"/>
      <c r="G234" s="21"/>
      <c r="H234" s="21"/>
      <c r="I234" s="21"/>
      <c r="J234" s="21"/>
      <c r="K234" s="22"/>
      <c r="L234" s="22"/>
      <c r="M234" s="22"/>
      <c r="N234" s="22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67"/>
      <c r="C235" s="17"/>
      <c r="D235" s="17"/>
      <c r="E235" s="17"/>
      <c r="F235" s="17"/>
      <c r="G235" s="21"/>
      <c r="H235" s="21"/>
      <c r="I235" s="21"/>
      <c r="J235" s="21"/>
      <c r="K235" s="22"/>
      <c r="L235" s="22"/>
      <c r="M235" s="22"/>
      <c r="N235" s="22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67"/>
      <c r="C236" s="17"/>
      <c r="D236" s="17"/>
      <c r="E236" s="17"/>
      <c r="F236" s="17"/>
      <c r="G236" s="21"/>
      <c r="H236" s="21"/>
      <c r="I236" s="21"/>
      <c r="J236" s="21"/>
      <c r="K236" s="22"/>
      <c r="L236" s="22"/>
      <c r="M236" s="22"/>
      <c r="N236" s="22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67"/>
      <c r="C237" s="17"/>
      <c r="D237" s="17"/>
      <c r="E237" s="17"/>
      <c r="F237" s="17"/>
      <c r="G237" s="21"/>
      <c r="H237" s="21"/>
      <c r="I237" s="21"/>
      <c r="J237" s="21"/>
      <c r="K237" s="22"/>
      <c r="L237" s="22"/>
      <c r="M237" s="22"/>
      <c r="N237" s="22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67"/>
      <c r="C238" s="17"/>
      <c r="D238" s="17"/>
      <c r="E238" s="17"/>
      <c r="F238" s="17"/>
      <c r="G238" s="21"/>
      <c r="H238" s="21"/>
      <c r="I238" s="21"/>
      <c r="J238" s="21"/>
      <c r="K238" s="22"/>
      <c r="L238" s="22"/>
      <c r="M238" s="22"/>
      <c r="N238" s="22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67"/>
      <c r="C239" s="17"/>
      <c r="D239" s="17"/>
      <c r="E239" s="17"/>
      <c r="F239" s="17"/>
      <c r="G239" s="21"/>
      <c r="H239" s="21"/>
      <c r="I239" s="21"/>
      <c r="J239" s="21"/>
      <c r="K239" s="22"/>
      <c r="L239" s="22"/>
      <c r="M239" s="22"/>
      <c r="N239" s="22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67"/>
      <c r="C240" s="17"/>
      <c r="D240" s="17"/>
      <c r="E240" s="17"/>
      <c r="F240" s="17"/>
      <c r="G240" s="21"/>
      <c r="H240" s="21"/>
      <c r="I240" s="21"/>
      <c r="J240" s="21"/>
      <c r="K240" s="22"/>
      <c r="L240" s="22"/>
      <c r="M240" s="22"/>
      <c r="N240" s="22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67"/>
      <c r="C241" s="17"/>
      <c r="D241" s="17"/>
      <c r="E241" s="17"/>
      <c r="F241" s="17"/>
      <c r="G241" s="21"/>
      <c r="H241" s="21"/>
      <c r="I241" s="21"/>
      <c r="J241" s="21"/>
      <c r="K241" s="22"/>
      <c r="L241" s="22"/>
      <c r="M241" s="22"/>
      <c r="N241" s="22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67"/>
      <c r="C242" s="17"/>
      <c r="D242" s="17"/>
      <c r="E242" s="17"/>
      <c r="F242" s="17"/>
      <c r="G242" s="21"/>
      <c r="H242" s="21"/>
      <c r="I242" s="21"/>
      <c r="J242" s="21"/>
      <c r="K242" s="22"/>
      <c r="L242" s="22"/>
      <c r="M242" s="22"/>
      <c r="N242" s="22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67"/>
      <c r="C243" s="17"/>
      <c r="D243" s="17"/>
      <c r="E243" s="17"/>
      <c r="F243" s="17"/>
      <c r="G243" s="21"/>
      <c r="H243" s="21"/>
      <c r="I243" s="21"/>
      <c r="J243" s="21"/>
      <c r="K243" s="22"/>
      <c r="L243" s="22"/>
      <c r="M243" s="22"/>
      <c r="N243" s="22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67"/>
      <c r="C244" s="17"/>
      <c r="D244" s="17"/>
      <c r="E244" s="17"/>
      <c r="F244" s="17"/>
      <c r="G244" s="21"/>
      <c r="H244" s="21"/>
      <c r="I244" s="21"/>
      <c r="J244" s="21"/>
      <c r="K244" s="22"/>
      <c r="L244" s="22"/>
      <c r="M244" s="22"/>
      <c r="N244" s="22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67"/>
      <c r="C245" s="17"/>
      <c r="D245" s="17"/>
      <c r="E245" s="17"/>
      <c r="F245" s="17"/>
      <c r="G245" s="21"/>
      <c r="H245" s="21"/>
      <c r="I245" s="21"/>
      <c r="J245" s="21"/>
      <c r="K245" s="22"/>
      <c r="L245" s="22"/>
      <c r="M245" s="22"/>
      <c r="N245" s="22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67"/>
      <c r="C246" s="17"/>
      <c r="D246" s="17"/>
      <c r="E246" s="17"/>
      <c r="F246" s="17"/>
      <c r="G246" s="21"/>
      <c r="H246" s="21"/>
      <c r="I246" s="21"/>
      <c r="J246" s="21"/>
      <c r="K246" s="22"/>
      <c r="L246" s="22"/>
      <c r="M246" s="22"/>
      <c r="N246" s="22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67"/>
      <c r="C247" s="17"/>
      <c r="D247" s="17"/>
      <c r="E247" s="17"/>
      <c r="F247" s="17"/>
      <c r="G247" s="21"/>
      <c r="H247" s="21"/>
      <c r="I247" s="21"/>
      <c r="J247" s="21"/>
      <c r="K247" s="22"/>
      <c r="L247" s="22"/>
      <c r="M247" s="22"/>
      <c r="N247" s="22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67"/>
      <c r="C248" s="17"/>
      <c r="D248" s="17"/>
      <c r="E248" s="17"/>
      <c r="F248" s="17"/>
      <c r="G248" s="21"/>
      <c r="H248" s="21"/>
      <c r="I248" s="21"/>
      <c r="J248" s="21"/>
      <c r="K248" s="22"/>
      <c r="L248" s="22"/>
      <c r="M248" s="22"/>
      <c r="N248" s="22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67"/>
      <c r="C249" s="17"/>
      <c r="D249" s="17"/>
      <c r="E249" s="17"/>
      <c r="F249" s="17"/>
      <c r="G249" s="21"/>
      <c r="H249" s="21"/>
      <c r="I249" s="21"/>
      <c r="J249" s="21"/>
      <c r="K249" s="22"/>
      <c r="L249" s="22"/>
      <c r="M249" s="22"/>
      <c r="N249" s="22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67"/>
      <c r="C250" s="17"/>
      <c r="D250" s="17"/>
      <c r="E250" s="17"/>
      <c r="F250" s="17"/>
      <c r="G250" s="21"/>
      <c r="H250" s="21"/>
      <c r="I250" s="21"/>
      <c r="J250" s="21"/>
      <c r="K250" s="22"/>
      <c r="L250" s="22"/>
      <c r="M250" s="22"/>
      <c r="N250" s="22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67"/>
      <c r="C251" s="17"/>
      <c r="D251" s="17"/>
      <c r="E251" s="17"/>
      <c r="F251" s="17"/>
      <c r="G251" s="21"/>
      <c r="H251" s="21"/>
      <c r="I251" s="21"/>
      <c r="J251" s="21"/>
      <c r="K251" s="22"/>
      <c r="L251" s="22"/>
      <c r="M251" s="22"/>
      <c r="N251" s="22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67"/>
      <c r="C252" s="17"/>
      <c r="D252" s="17"/>
      <c r="E252" s="17"/>
      <c r="F252" s="17"/>
      <c r="G252" s="21"/>
      <c r="H252" s="21"/>
      <c r="I252" s="21"/>
      <c r="J252" s="21"/>
      <c r="K252" s="22"/>
      <c r="L252" s="22"/>
      <c r="M252" s="22"/>
      <c r="N252" s="22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67"/>
      <c r="C253" s="17"/>
      <c r="D253" s="17"/>
      <c r="E253" s="17"/>
      <c r="F253" s="17"/>
      <c r="G253" s="21"/>
      <c r="H253" s="21"/>
      <c r="I253" s="21"/>
      <c r="J253" s="21"/>
      <c r="K253" s="22"/>
      <c r="L253" s="22"/>
      <c r="M253" s="22"/>
      <c r="N253" s="22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67"/>
      <c r="C254" s="17"/>
      <c r="D254" s="17"/>
      <c r="E254" s="17"/>
      <c r="F254" s="17"/>
      <c r="G254" s="21"/>
      <c r="H254" s="21"/>
      <c r="I254" s="21"/>
      <c r="J254" s="21"/>
      <c r="K254" s="22"/>
      <c r="L254" s="22"/>
      <c r="M254" s="22"/>
      <c r="N254" s="22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67"/>
      <c r="C255" s="17"/>
      <c r="D255" s="17"/>
      <c r="E255" s="17"/>
      <c r="F255" s="17"/>
      <c r="G255" s="21"/>
      <c r="H255" s="21"/>
      <c r="I255" s="21"/>
      <c r="J255" s="21"/>
      <c r="K255" s="22"/>
      <c r="L255" s="22"/>
      <c r="M255" s="22"/>
      <c r="N255" s="22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67"/>
      <c r="C256" s="17"/>
      <c r="D256" s="17"/>
      <c r="E256" s="17"/>
      <c r="F256" s="17"/>
      <c r="G256" s="21"/>
      <c r="H256" s="21"/>
      <c r="I256" s="21"/>
      <c r="J256" s="21"/>
      <c r="K256" s="22"/>
      <c r="L256" s="22"/>
      <c r="M256" s="22"/>
      <c r="N256" s="22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67"/>
      <c r="C257" s="17"/>
      <c r="D257" s="17"/>
      <c r="E257" s="17"/>
      <c r="F257" s="17"/>
      <c r="G257" s="21"/>
      <c r="H257" s="21"/>
      <c r="I257" s="21"/>
      <c r="J257" s="21"/>
      <c r="K257" s="22"/>
      <c r="L257" s="22"/>
      <c r="M257" s="22"/>
      <c r="N257" s="22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67"/>
      <c r="C258" s="17"/>
      <c r="D258" s="17"/>
      <c r="E258" s="17"/>
      <c r="F258" s="17"/>
      <c r="G258" s="21"/>
      <c r="H258" s="21"/>
      <c r="I258" s="21"/>
      <c r="J258" s="21"/>
      <c r="K258" s="22"/>
      <c r="L258" s="22"/>
      <c r="M258" s="22"/>
      <c r="N258" s="22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67"/>
      <c r="C259" s="17"/>
      <c r="D259" s="17"/>
      <c r="E259" s="17"/>
      <c r="F259" s="17"/>
      <c r="G259" s="21"/>
      <c r="H259" s="21"/>
      <c r="I259" s="21"/>
      <c r="J259" s="21"/>
      <c r="K259" s="22"/>
      <c r="L259" s="22"/>
      <c r="M259" s="22"/>
      <c r="N259" s="22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67"/>
      <c r="C260" s="17"/>
      <c r="D260" s="17"/>
      <c r="E260" s="17"/>
      <c r="F260" s="17"/>
      <c r="G260" s="21"/>
      <c r="H260" s="21"/>
      <c r="I260" s="21"/>
      <c r="J260" s="21"/>
      <c r="K260" s="22"/>
      <c r="L260" s="22"/>
      <c r="M260" s="22"/>
      <c r="N260" s="22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67"/>
      <c r="C261" s="17"/>
      <c r="D261" s="17"/>
      <c r="E261" s="17"/>
      <c r="F261" s="17"/>
      <c r="G261" s="21"/>
      <c r="H261" s="21"/>
      <c r="I261" s="21"/>
      <c r="J261" s="21"/>
      <c r="K261" s="22"/>
      <c r="L261" s="22"/>
      <c r="M261" s="22"/>
      <c r="N261" s="22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67"/>
      <c r="C262" s="17"/>
      <c r="D262" s="17"/>
      <c r="E262" s="17"/>
      <c r="F262" s="17"/>
      <c r="G262" s="21"/>
      <c r="H262" s="21"/>
      <c r="I262" s="21"/>
      <c r="J262" s="21"/>
      <c r="K262" s="22"/>
      <c r="L262" s="22"/>
      <c r="M262" s="22"/>
      <c r="N262" s="22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67"/>
      <c r="C263" s="17"/>
      <c r="D263" s="17"/>
      <c r="E263" s="17"/>
      <c r="F263" s="17"/>
      <c r="G263" s="21"/>
      <c r="H263" s="21"/>
      <c r="I263" s="21"/>
      <c r="J263" s="21"/>
      <c r="K263" s="22"/>
      <c r="L263" s="22"/>
      <c r="M263" s="22"/>
      <c r="N263" s="22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67"/>
      <c r="C264" s="17"/>
      <c r="D264" s="17"/>
      <c r="E264" s="17"/>
      <c r="F264" s="17"/>
      <c r="G264" s="21"/>
      <c r="H264" s="21"/>
      <c r="I264" s="21"/>
      <c r="J264" s="21"/>
      <c r="K264" s="22"/>
      <c r="L264" s="22"/>
      <c r="M264" s="22"/>
      <c r="N264" s="22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67"/>
      <c r="C265" s="17"/>
      <c r="D265" s="17"/>
      <c r="E265" s="17"/>
      <c r="F265" s="17"/>
      <c r="G265" s="21"/>
      <c r="H265" s="21"/>
      <c r="I265" s="21"/>
      <c r="J265" s="21"/>
      <c r="K265" s="22"/>
      <c r="L265" s="22"/>
      <c r="M265" s="22"/>
      <c r="N265" s="22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67"/>
      <c r="C266" s="17"/>
      <c r="D266" s="17"/>
      <c r="E266" s="17"/>
      <c r="F266" s="17"/>
      <c r="G266" s="21"/>
      <c r="H266" s="21"/>
      <c r="I266" s="21"/>
      <c r="J266" s="21"/>
      <c r="K266" s="22"/>
      <c r="L266" s="22"/>
      <c r="M266" s="22"/>
      <c r="N266" s="22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67"/>
      <c r="C267" s="17"/>
      <c r="D267" s="17"/>
      <c r="E267" s="17"/>
      <c r="F267" s="17"/>
      <c r="G267" s="21"/>
      <c r="H267" s="21"/>
      <c r="I267" s="21"/>
      <c r="J267" s="21"/>
      <c r="K267" s="22"/>
      <c r="L267" s="22"/>
      <c r="M267" s="22"/>
      <c r="N267" s="22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67"/>
      <c r="C268" s="17"/>
      <c r="D268" s="17"/>
      <c r="E268" s="17"/>
      <c r="F268" s="17"/>
      <c r="G268" s="21"/>
      <c r="H268" s="21"/>
      <c r="I268" s="21"/>
      <c r="J268" s="21"/>
      <c r="K268" s="22"/>
      <c r="L268" s="22"/>
      <c r="M268" s="22"/>
      <c r="N268" s="22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67"/>
      <c r="C269" s="17"/>
      <c r="D269" s="17"/>
      <c r="E269" s="17"/>
      <c r="F269" s="17"/>
      <c r="G269" s="21"/>
      <c r="H269" s="21"/>
      <c r="I269" s="21"/>
      <c r="J269" s="21"/>
      <c r="K269" s="22"/>
      <c r="L269" s="22"/>
      <c r="M269" s="22"/>
      <c r="N269" s="22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67"/>
      <c r="C270" s="17"/>
      <c r="D270" s="17"/>
      <c r="E270" s="17"/>
      <c r="F270" s="17"/>
      <c r="G270" s="21"/>
      <c r="H270" s="21"/>
      <c r="I270" s="21"/>
      <c r="J270" s="21"/>
      <c r="K270" s="22"/>
      <c r="L270" s="22"/>
      <c r="M270" s="22"/>
      <c r="N270" s="22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67"/>
      <c r="C271" s="17"/>
      <c r="D271" s="17"/>
      <c r="E271" s="17"/>
      <c r="F271" s="17"/>
      <c r="G271" s="21"/>
      <c r="H271" s="21"/>
      <c r="I271" s="21"/>
      <c r="J271" s="21"/>
      <c r="K271" s="22"/>
      <c r="L271" s="22"/>
      <c r="M271" s="22"/>
      <c r="N271" s="22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67"/>
      <c r="C272" s="17"/>
      <c r="D272" s="17"/>
      <c r="E272" s="17"/>
      <c r="F272" s="17"/>
      <c r="G272" s="21"/>
      <c r="H272" s="21"/>
      <c r="I272" s="21"/>
      <c r="J272" s="21"/>
      <c r="K272" s="22"/>
      <c r="L272" s="22"/>
      <c r="M272" s="22"/>
      <c r="N272" s="22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67"/>
      <c r="C273" s="17"/>
      <c r="D273" s="17"/>
      <c r="E273" s="17"/>
      <c r="F273" s="17"/>
      <c r="G273" s="21"/>
      <c r="H273" s="21"/>
      <c r="I273" s="21"/>
      <c r="J273" s="21"/>
      <c r="K273" s="22"/>
      <c r="L273" s="22"/>
      <c r="M273" s="22"/>
      <c r="N273" s="22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67"/>
      <c r="C274" s="17"/>
      <c r="D274" s="17"/>
      <c r="E274" s="17"/>
      <c r="F274" s="17"/>
      <c r="G274" s="21"/>
      <c r="H274" s="21"/>
      <c r="I274" s="21"/>
      <c r="J274" s="21"/>
      <c r="K274" s="22"/>
      <c r="L274" s="22"/>
      <c r="M274" s="22"/>
      <c r="N274" s="22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67"/>
      <c r="C275" s="17"/>
      <c r="D275" s="17"/>
      <c r="E275" s="17"/>
      <c r="F275" s="17"/>
      <c r="G275" s="21"/>
      <c r="H275" s="21"/>
      <c r="I275" s="21"/>
      <c r="J275" s="21"/>
      <c r="K275" s="22"/>
      <c r="L275" s="22"/>
      <c r="M275" s="22"/>
      <c r="N275" s="22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67"/>
      <c r="C276" s="17"/>
      <c r="D276" s="17"/>
      <c r="E276" s="17"/>
      <c r="F276" s="17"/>
      <c r="G276" s="21"/>
      <c r="H276" s="21"/>
      <c r="I276" s="21"/>
      <c r="J276" s="21"/>
      <c r="K276" s="22"/>
      <c r="L276" s="22"/>
      <c r="M276" s="22"/>
      <c r="N276" s="22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67"/>
      <c r="C277" s="17"/>
      <c r="D277" s="17"/>
      <c r="E277" s="17"/>
      <c r="F277" s="17"/>
      <c r="G277" s="21"/>
      <c r="H277" s="21"/>
      <c r="I277" s="21"/>
      <c r="J277" s="21"/>
      <c r="K277" s="22"/>
      <c r="L277" s="22"/>
      <c r="M277" s="22"/>
      <c r="N277" s="22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67"/>
      <c r="C278" s="17"/>
      <c r="D278" s="17"/>
      <c r="E278" s="17"/>
      <c r="F278" s="17"/>
      <c r="G278" s="21"/>
      <c r="H278" s="21"/>
      <c r="I278" s="21"/>
      <c r="J278" s="21"/>
      <c r="K278" s="22"/>
      <c r="L278" s="22"/>
      <c r="M278" s="22"/>
      <c r="N278" s="22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67"/>
      <c r="C279" s="17"/>
      <c r="D279" s="17"/>
      <c r="E279" s="17"/>
      <c r="F279" s="17"/>
      <c r="G279" s="21"/>
      <c r="H279" s="21"/>
      <c r="I279" s="21"/>
      <c r="J279" s="21"/>
      <c r="K279" s="22"/>
      <c r="L279" s="22"/>
      <c r="M279" s="22"/>
      <c r="N279" s="22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67"/>
      <c r="C280" s="17"/>
      <c r="D280" s="17"/>
      <c r="E280" s="17"/>
      <c r="F280" s="17"/>
      <c r="G280" s="21"/>
      <c r="H280" s="21"/>
      <c r="I280" s="21"/>
      <c r="J280" s="21"/>
      <c r="K280" s="22"/>
      <c r="L280" s="22"/>
      <c r="M280" s="22"/>
      <c r="N280" s="22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67"/>
      <c r="C281" s="17"/>
      <c r="D281" s="17"/>
      <c r="E281" s="17"/>
      <c r="F281" s="17"/>
      <c r="G281" s="21"/>
      <c r="H281" s="21"/>
      <c r="I281" s="21"/>
      <c r="J281" s="21"/>
      <c r="K281" s="22"/>
      <c r="L281" s="22"/>
      <c r="M281" s="22"/>
      <c r="N281" s="22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67"/>
      <c r="C282" s="17"/>
      <c r="D282" s="17"/>
      <c r="E282" s="17"/>
      <c r="F282" s="17"/>
      <c r="G282" s="21"/>
      <c r="H282" s="21"/>
      <c r="I282" s="21"/>
      <c r="J282" s="21"/>
      <c r="K282" s="22"/>
      <c r="L282" s="22"/>
      <c r="M282" s="22"/>
      <c r="N282" s="22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67"/>
      <c r="C283" s="17"/>
      <c r="D283" s="17"/>
      <c r="E283" s="17"/>
      <c r="F283" s="17"/>
      <c r="G283" s="21"/>
      <c r="H283" s="21"/>
      <c r="I283" s="21"/>
      <c r="J283" s="21"/>
      <c r="K283" s="22"/>
      <c r="L283" s="22"/>
      <c r="M283" s="22"/>
      <c r="N283" s="22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67"/>
      <c r="C284" s="17"/>
      <c r="D284" s="17"/>
      <c r="E284" s="17"/>
      <c r="F284" s="17"/>
      <c r="G284" s="21"/>
      <c r="H284" s="21"/>
      <c r="I284" s="21"/>
      <c r="J284" s="21"/>
      <c r="K284" s="22"/>
      <c r="L284" s="22"/>
      <c r="M284" s="22"/>
      <c r="N284" s="22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67"/>
      <c r="C285" s="17"/>
      <c r="D285" s="17"/>
      <c r="E285" s="17"/>
      <c r="F285" s="17"/>
      <c r="G285" s="21"/>
      <c r="H285" s="21"/>
      <c r="I285" s="21"/>
      <c r="J285" s="21"/>
      <c r="K285" s="22"/>
      <c r="L285" s="22"/>
      <c r="M285" s="22"/>
      <c r="N285" s="22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67"/>
      <c r="C286" s="17"/>
      <c r="D286" s="17"/>
      <c r="E286" s="17"/>
      <c r="F286" s="17"/>
      <c r="G286" s="21"/>
      <c r="H286" s="21"/>
      <c r="I286" s="21"/>
      <c r="J286" s="21"/>
      <c r="K286" s="22"/>
      <c r="L286" s="22"/>
      <c r="M286" s="22"/>
      <c r="N286" s="22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67"/>
      <c r="C287" s="17"/>
      <c r="D287" s="17"/>
      <c r="E287" s="17"/>
      <c r="F287" s="17"/>
      <c r="G287" s="21"/>
      <c r="H287" s="21"/>
      <c r="I287" s="21"/>
      <c r="J287" s="21"/>
      <c r="K287" s="22"/>
      <c r="L287" s="22"/>
      <c r="M287" s="22"/>
      <c r="N287" s="22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67"/>
      <c r="C288" s="17"/>
      <c r="D288" s="17"/>
      <c r="E288" s="17"/>
      <c r="F288" s="17"/>
      <c r="G288" s="21"/>
      <c r="H288" s="21"/>
      <c r="I288" s="21"/>
      <c r="J288" s="21"/>
      <c r="K288" s="22"/>
      <c r="L288" s="22"/>
      <c r="M288" s="22"/>
      <c r="N288" s="22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67"/>
      <c r="C289" s="17"/>
      <c r="D289" s="17"/>
      <c r="E289" s="17"/>
      <c r="F289" s="17"/>
      <c r="G289" s="21"/>
      <c r="H289" s="21"/>
      <c r="I289" s="21"/>
      <c r="J289" s="21"/>
      <c r="K289" s="22"/>
      <c r="L289" s="22"/>
      <c r="M289" s="22"/>
      <c r="N289" s="22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67"/>
      <c r="C290" s="17"/>
      <c r="D290" s="17"/>
      <c r="E290" s="17"/>
      <c r="F290" s="17"/>
      <c r="G290" s="21"/>
      <c r="H290" s="21"/>
      <c r="I290" s="21"/>
      <c r="J290" s="21"/>
      <c r="K290" s="22"/>
      <c r="L290" s="22"/>
      <c r="M290" s="22"/>
      <c r="N290" s="22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67"/>
      <c r="C291" s="17"/>
      <c r="D291" s="17"/>
      <c r="E291" s="17"/>
      <c r="F291" s="17"/>
      <c r="G291" s="21"/>
      <c r="H291" s="21"/>
      <c r="I291" s="21"/>
      <c r="J291" s="21"/>
      <c r="K291" s="22"/>
      <c r="L291" s="22"/>
      <c r="M291" s="22"/>
      <c r="N291" s="22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67"/>
      <c r="C292" s="17"/>
      <c r="D292" s="17"/>
      <c r="E292" s="17"/>
      <c r="F292" s="17"/>
      <c r="G292" s="21"/>
      <c r="H292" s="21"/>
      <c r="I292" s="21"/>
      <c r="J292" s="21"/>
      <c r="K292" s="22"/>
      <c r="L292" s="22"/>
      <c r="M292" s="22"/>
      <c r="N292" s="22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67"/>
      <c r="C293" s="17"/>
      <c r="D293" s="17"/>
      <c r="E293" s="17"/>
      <c r="F293" s="17"/>
      <c r="G293" s="21"/>
      <c r="H293" s="21"/>
      <c r="I293" s="21"/>
      <c r="J293" s="21"/>
      <c r="K293" s="22"/>
      <c r="L293" s="22"/>
      <c r="M293" s="22"/>
      <c r="N293" s="22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67"/>
      <c r="C294" s="17"/>
      <c r="D294" s="17"/>
      <c r="E294" s="17"/>
      <c r="F294" s="17"/>
      <c r="G294" s="21"/>
      <c r="H294" s="21"/>
      <c r="I294" s="21"/>
      <c r="J294" s="21"/>
      <c r="K294" s="22"/>
      <c r="L294" s="22"/>
      <c r="M294" s="22"/>
      <c r="N294" s="22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67"/>
      <c r="C295" s="17"/>
      <c r="D295" s="17"/>
      <c r="E295" s="17"/>
      <c r="F295" s="17"/>
      <c r="G295" s="21"/>
      <c r="H295" s="21"/>
      <c r="I295" s="21"/>
      <c r="J295" s="21"/>
      <c r="K295" s="22"/>
      <c r="L295" s="22"/>
      <c r="M295" s="22"/>
      <c r="N295" s="22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67"/>
      <c r="C296" s="17"/>
      <c r="D296" s="17"/>
      <c r="E296" s="17"/>
      <c r="F296" s="17"/>
      <c r="G296" s="21"/>
      <c r="H296" s="21"/>
      <c r="I296" s="21"/>
      <c r="J296" s="21"/>
      <c r="K296" s="22"/>
      <c r="L296" s="22"/>
      <c r="M296" s="22"/>
      <c r="N296" s="22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67"/>
      <c r="C297" s="17"/>
      <c r="D297" s="17"/>
      <c r="E297" s="17"/>
      <c r="F297" s="17"/>
      <c r="G297" s="21"/>
      <c r="H297" s="21"/>
      <c r="I297" s="21"/>
      <c r="J297" s="21"/>
      <c r="K297" s="22"/>
      <c r="L297" s="22"/>
      <c r="M297" s="22"/>
      <c r="N297" s="22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67"/>
      <c r="C298" s="17"/>
      <c r="D298" s="17"/>
      <c r="E298" s="17"/>
      <c r="F298" s="17"/>
      <c r="G298" s="21"/>
      <c r="H298" s="21"/>
      <c r="I298" s="21"/>
      <c r="J298" s="21"/>
      <c r="K298" s="22"/>
      <c r="L298" s="22"/>
      <c r="M298" s="22"/>
      <c r="N298" s="22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67"/>
      <c r="C299" s="17"/>
      <c r="D299" s="17"/>
      <c r="E299" s="17"/>
      <c r="F299" s="17"/>
      <c r="G299" s="21"/>
      <c r="H299" s="21"/>
      <c r="I299" s="21"/>
      <c r="J299" s="21"/>
      <c r="K299" s="22"/>
      <c r="L299" s="22"/>
      <c r="M299" s="22"/>
      <c r="N299" s="22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67"/>
      <c r="C300" s="17"/>
      <c r="D300" s="17"/>
      <c r="E300" s="17"/>
      <c r="F300" s="17"/>
      <c r="G300" s="21"/>
      <c r="H300" s="21"/>
      <c r="I300" s="21"/>
      <c r="J300" s="21"/>
      <c r="K300" s="22"/>
      <c r="L300" s="22"/>
      <c r="M300" s="22"/>
      <c r="N300" s="22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67"/>
      <c r="C301" s="17"/>
      <c r="D301" s="17"/>
      <c r="E301" s="17"/>
      <c r="F301" s="17"/>
      <c r="G301" s="21"/>
      <c r="H301" s="21"/>
      <c r="I301" s="21"/>
      <c r="J301" s="21"/>
      <c r="K301" s="22"/>
      <c r="L301" s="22"/>
      <c r="M301" s="22"/>
      <c r="N301" s="22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67"/>
      <c r="C302" s="17"/>
      <c r="D302" s="17"/>
      <c r="E302" s="17"/>
      <c r="F302" s="17"/>
      <c r="G302" s="21"/>
      <c r="H302" s="21"/>
      <c r="I302" s="21"/>
      <c r="J302" s="21"/>
      <c r="K302" s="22"/>
      <c r="L302" s="22"/>
      <c r="M302" s="22"/>
      <c r="N302" s="22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67"/>
      <c r="C303" s="17"/>
      <c r="D303" s="17"/>
      <c r="E303" s="17"/>
      <c r="F303" s="17"/>
      <c r="G303" s="21"/>
      <c r="H303" s="21"/>
      <c r="I303" s="21"/>
      <c r="J303" s="21"/>
      <c r="K303" s="22"/>
      <c r="L303" s="22"/>
      <c r="M303" s="22"/>
      <c r="N303" s="22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67"/>
      <c r="C304" s="17"/>
      <c r="D304" s="17"/>
      <c r="E304" s="17"/>
      <c r="F304" s="17"/>
      <c r="G304" s="21"/>
      <c r="H304" s="21"/>
      <c r="I304" s="21"/>
      <c r="J304" s="21"/>
      <c r="K304" s="22"/>
      <c r="L304" s="22"/>
      <c r="M304" s="22"/>
      <c r="N304" s="22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67"/>
      <c r="C305" s="17"/>
      <c r="D305" s="17"/>
      <c r="E305" s="17"/>
      <c r="F305" s="17"/>
      <c r="G305" s="21"/>
      <c r="H305" s="21"/>
      <c r="I305" s="21"/>
      <c r="J305" s="21"/>
      <c r="K305" s="22"/>
      <c r="L305" s="22"/>
      <c r="M305" s="22"/>
      <c r="N305" s="22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67"/>
      <c r="C306" s="17"/>
      <c r="D306" s="17"/>
      <c r="E306" s="17"/>
      <c r="F306" s="17"/>
      <c r="G306" s="21"/>
      <c r="H306" s="21"/>
      <c r="I306" s="21"/>
      <c r="J306" s="21"/>
      <c r="K306" s="22"/>
      <c r="L306" s="22"/>
      <c r="M306" s="22"/>
      <c r="N306" s="22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67"/>
      <c r="C307" s="17"/>
      <c r="D307" s="17"/>
      <c r="E307" s="17"/>
      <c r="F307" s="17"/>
      <c r="G307" s="21"/>
      <c r="H307" s="21"/>
      <c r="I307" s="21"/>
      <c r="J307" s="21"/>
      <c r="K307" s="22"/>
      <c r="L307" s="22"/>
      <c r="M307" s="22"/>
      <c r="N307" s="22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67"/>
      <c r="C308" s="17"/>
      <c r="D308" s="17"/>
      <c r="E308" s="17"/>
      <c r="F308" s="17"/>
      <c r="G308" s="21"/>
      <c r="H308" s="21"/>
      <c r="I308" s="21"/>
      <c r="J308" s="21"/>
      <c r="K308" s="22"/>
      <c r="L308" s="22"/>
      <c r="M308" s="22"/>
      <c r="N308" s="22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67"/>
      <c r="C309" s="17"/>
      <c r="D309" s="17"/>
      <c r="E309" s="17"/>
      <c r="F309" s="17"/>
      <c r="G309" s="21"/>
      <c r="H309" s="21"/>
      <c r="I309" s="21"/>
      <c r="J309" s="21"/>
      <c r="K309" s="22"/>
      <c r="L309" s="22"/>
      <c r="M309" s="22"/>
      <c r="N309" s="22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67"/>
      <c r="C310" s="17"/>
      <c r="D310" s="17"/>
      <c r="E310" s="17"/>
      <c r="F310" s="17"/>
      <c r="G310" s="21"/>
      <c r="H310" s="21"/>
      <c r="I310" s="21"/>
      <c r="J310" s="21"/>
      <c r="K310" s="22"/>
      <c r="L310" s="22"/>
      <c r="M310" s="22"/>
      <c r="N310" s="22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67"/>
      <c r="C311" s="17"/>
      <c r="D311" s="17"/>
      <c r="E311" s="17"/>
      <c r="F311" s="17"/>
      <c r="G311" s="21"/>
      <c r="H311" s="21"/>
      <c r="I311" s="21"/>
      <c r="J311" s="21"/>
      <c r="K311" s="22"/>
      <c r="L311" s="22"/>
      <c r="M311" s="22"/>
      <c r="N311" s="22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67"/>
      <c r="C312" s="17"/>
      <c r="D312" s="17"/>
      <c r="E312" s="17"/>
      <c r="F312" s="17"/>
      <c r="G312" s="21"/>
      <c r="H312" s="21"/>
      <c r="I312" s="21"/>
      <c r="J312" s="21"/>
      <c r="K312" s="22"/>
      <c r="L312" s="22"/>
      <c r="M312" s="22"/>
      <c r="N312" s="22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67"/>
      <c r="C313" s="17"/>
      <c r="D313" s="17"/>
      <c r="E313" s="17"/>
      <c r="F313" s="17"/>
      <c r="G313" s="21"/>
      <c r="H313" s="21"/>
      <c r="I313" s="21"/>
      <c r="J313" s="21"/>
      <c r="K313" s="22"/>
      <c r="L313" s="22"/>
      <c r="M313" s="22"/>
      <c r="N313" s="22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67"/>
      <c r="C314" s="17"/>
      <c r="D314" s="17"/>
      <c r="E314" s="17"/>
      <c r="F314" s="17"/>
      <c r="G314" s="21"/>
      <c r="H314" s="21"/>
      <c r="I314" s="21"/>
      <c r="J314" s="21"/>
      <c r="K314" s="22"/>
      <c r="L314" s="22"/>
      <c r="M314" s="22"/>
      <c r="N314" s="22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67"/>
      <c r="C315" s="17"/>
      <c r="D315" s="17"/>
      <c r="E315" s="17"/>
      <c r="F315" s="17"/>
      <c r="G315" s="21"/>
      <c r="H315" s="21"/>
      <c r="I315" s="21"/>
      <c r="J315" s="21"/>
      <c r="K315" s="22"/>
      <c r="L315" s="22"/>
      <c r="M315" s="22"/>
      <c r="N315" s="22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67"/>
      <c r="C316" s="17"/>
      <c r="D316" s="17"/>
      <c r="E316" s="17"/>
      <c r="F316" s="17"/>
      <c r="G316" s="21"/>
      <c r="H316" s="21"/>
      <c r="I316" s="21"/>
      <c r="J316" s="21"/>
      <c r="K316" s="22"/>
      <c r="L316" s="22"/>
      <c r="M316" s="22"/>
      <c r="N316" s="22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67"/>
      <c r="C317" s="17"/>
      <c r="D317" s="17"/>
      <c r="E317" s="17"/>
      <c r="F317" s="17"/>
      <c r="G317" s="21"/>
      <c r="H317" s="21"/>
      <c r="I317" s="21"/>
      <c r="J317" s="21"/>
      <c r="K317" s="22"/>
      <c r="L317" s="22"/>
      <c r="M317" s="22"/>
      <c r="N317" s="22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67"/>
      <c r="C318" s="17"/>
      <c r="D318" s="17"/>
      <c r="E318" s="17"/>
      <c r="F318" s="17"/>
      <c r="G318" s="21"/>
      <c r="H318" s="21"/>
      <c r="I318" s="21"/>
      <c r="J318" s="21"/>
      <c r="K318" s="22"/>
      <c r="L318" s="22"/>
      <c r="M318" s="22"/>
      <c r="N318" s="22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67"/>
      <c r="C319" s="17"/>
      <c r="D319" s="17"/>
      <c r="E319" s="17"/>
      <c r="F319" s="17"/>
      <c r="G319" s="21"/>
      <c r="H319" s="21"/>
      <c r="I319" s="21"/>
      <c r="J319" s="21"/>
      <c r="K319" s="22"/>
      <c r="L319" s="22"/>
      <c r="M319" s="22"/>
      <c r="N319" s="22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67"/>
      <c r="C320" s="17"/>
      <c r="D320" s="17"/>
      <c r="E320" s="17"/>
      <c r="F320" s="17"/>
      <c r="G320" s="21"/>
      <c r="H320" s="21"/>
      <c r="I320" s="21"/>
      <c r="J320" s="21"/>
      <c r="K320" s="22"/>
      <c r="L320" s="22"/>
      <c r="M320" s="22"/>
      <c r="N320" s="22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67"/>
      <c r="C321" s="17"/>
      <c r="D321" s="17"/>
      <c r="E321" s="17"/>
      <c r="F321" s="17"/>
      <c r="G321" s="21"/>
      <c r="H321" s="21"/>
      <c r="I321" s="21"/>
      <c r="J321" s="21"/>
      <c r="K321" s="22"/>
      <c r="L321" s="22"/>
      <c r="M321" s="22"/>
      <c r="N321" s="22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67"/>
      <c r="C322" s="17"/>
      <c r="D322" s="17"/>
      <c r="E322" s="17"/>
      <c r="F322" s="17"/>
      <c r="G322" s="21"/>
      <c r="H322" s="21"/>
      <c r="I322" s="21"/>
      <c r="J322" s="21"/>
      <c r="K322" s="22"/>
      <c r="L322" s="22"/>
      <c r="M322" s="22"/>
      <c r="N322" s="22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67"/>
      <c r="C323" s="17"/>
      <c r="D323" s="17"/>
      <c r="E323" s="17"/>
      <c r="F323" s="17"/>
      <c r="G323" s="21"/>
      <c r="H323" s="21"/>
      <c r="I323" s="21"/>
      <c r="J323" s="21"/>
      <c r="K323" s="22"/>
      <c r="L323" s="22"/>
      <c r="M323" s="22"/>
      <c r="N323" s="22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67"/>
      <c r="C324" s="17"/>
      <c r="D324" s="17"/>
      <c r="E324" s="17"/>
      <c r="F324" s="17"/>
      <c r="G324" s="21"/>
      <c r="H324" s="21"/>
      <c r="I324" s="21"/>
      <c r="J324" s="21"/>
      <c r="K324" s="22"/>
      <c r="L324" s="22"/>
      <c r="M324" s="22"/>
      <c r="N324" s="22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67"/>
      <c r="C325" s="17"/>
      <c r="D325" s="17"/>
      <c r="E325" s="17"/>
      <c r="F325" s="17"/>
      <c r="G325" s="21"/>
      <c r="H325" s="21"/>
      <c r="I325" s="21"/>
      <c r="J325" s="21"/>
      <c r="K325" s="22"/>
      <c r="L325" s="22"/>
      <c r="M325" s="22"/>
      <c r="N325" s="22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67"/>
      <c r="C326" s="17"/>
      <c r="D326" s="17"/>
      <c r="E326" s="17"/>
      <c r="F326" s="17"/>
      <c r="G326" s="21"/>
      <c r="H326" s="21"/>
      <c r="I326" s="21"/>
      <c r="J326" s="21"/>
      <c r="K326" s="22"/>
      <c r="L326" s="22"/>
      <c r="M326" s="22"/>
      <c r="N326" s="22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67"/>
      <c r="C327" s="17"/>
      <c r="D327" s="17"/>
      <c r="E327" s="17"/>
      <c r="F327" s="17"/>
      <c r="G327" s="21"/>
      <c r="H327" s="21"/>
      <c r="I327" s="21"/>
      <c r="J327" s="21"/>
      <c r="K327" s="22"/>
      <c r="L327" s="22"/>
      <c r="M327" s="22"/>
      <c r="N327" s="22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67"/>
      <c r="C328" s="17"/>
      <c r="D328" s="17"/>
      <c r="E328" s="17"/>
      <c r="F328" s="17"/>
      <c r="G328" s="21"/>
      <c r="H328" s="21"/>
      <c r="I328" s="21"/>
      <c r="J328" s="21"/>
      <c r="K328" s="22"/>
      <c r="L328" s="22"/>
      <c r="M328" s="22"/>
      <c r="N328" s="22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67"/>
      <c r="C329" s="17"/>
      <c r="D329" s="17"/>
      <c r="E329" s="17"/>
      <c r="F329" s="17"/>
      <c r="G329" s="21"/>
      <c r="H329" s="21"/>
      <c r="I329" s="21"/>
      <c r="J329" s="21"/>
      <c r="K329" s="22"/>
      <c r="L329" s="22"/>
      <c r="M329" s="22"/>
      <c r="N329" s="22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67"/>
      <c r="C330" s="17"/>
      <c r="D330" s="17"/>
      <c r="E330" s="17"/>
      <c r="F330" s="17"/>
      <c r="G330" s="21"/>
      <c r="H330" s="21"/>
      <c r="I330" s="21"/>
      <c r="J330" s="21"/>
      <c r="K330" s="22"/>
      <c r="L330" s="22"/>
      <c r="M330" s="22"/>
      <c r="N330" s="22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67"/>
      <c r="C331" s="17"/>
      <c r="D331" s="17"/>
      <c r="E331" s="17"/>
      <c r="F331" s="17"/>
      <c r="G331" s="21"/>
      <c r="H331" s="21"/>
      <c r="I331" s="21"/>
      <c r="J331" s="21"/>
      <c r="K331" s="22"/>
      <c r="L331" s="22"/>
      <c r="M331" s="22"/>
      <c r="N331" s="22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67"/>
      <c r="C332" s="17"/>
      <c r="D332" s="17"/>
      <c r="E332" s="17"/>
      <c r="F332" s="17"/>
      <c r="G332" s="21"/>
      <c r="H332" s="21"/>
      <c r="I332" s="21"/>
      <c r="J332" s="21"/>
      <c r="K332" s="22"/>
      <c r="L332" s="22"/>
      <c r="M332" s="22"/>
      <c r="N332" s="22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67"/>
      <c r="C333" s="17"/>
      <c r="D333" s="17"/>
      <c r="E333" s="17"/>
      <c r="F333" s="17"/>
      <c r="G333" s="21"/>
      <c r="H333" s="21"/>
      <c r="I333" s="21"/>
      <c r="J333" s="21"/>
      <c r="K333" s="22"/>
      <c r="L333" s="22"/>
      <c r="M333" s="22"/>
      <c r="N333" s="22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67"/>
      <c r="C334" s="17"/>
      <c r="D334" s="17"/>
      <c r="E334" s="17"/>
      <c r="F334" s="17"/>
      <c r="G334" s="21"/>
      <c r="H334" s="21"/>
      <c r="I334" s="21"/>
      <c r="J334" s="21"/>
      <c r="K334" s="22"/>
      <c r="L334" s="22"/>
      <c r="M334" s="22"/>
      <c r="N334" s="22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67"/>
      <c r="C335" s="17"/>
      <c r="D335" s="17"/>
      <c r="E335" s="17"/>
      <c r="F335" s="17"/>
      <c r="G335" s="21"/>
      <c r="H335" s="21"/>
      <c r="I335" s="21"/>
      <c r="J335" s="21"/>
      <c r="K335" s="22"/>
      <c r="L335" s="22"/>
      <c r="M335" s="22"/>
      <c r="N335" s="22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67"/>
      <c r="C336" s="17"/>
      <c r="D336" s="17"/>
      <c r="E336" s="17"/>
      <c r="F336" s="17"/>
      <c r="G336" s="21"/>
      <c r="H336" s="21"/>
      <c r="I336" s="21"/>
      <c r="J336" s="21"/>
      <c r="K336" s="22"/>
      <c r="L336" s="22"/>
      <c r="M336" s="22"/>
      <c r="N336" s="22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67"/>
      <c r="C337" s="17"/>
      <c r="D337" s="17"/>
      <c r="E337" s="17"/>
      <c r="F337" s="17"/>
      <c r="G337" s="21"/>
      <c r="H337" s="21"/>
      <c r="I337" s="21"/>
      <c r="J337" s="21"/>
      <c r="K337" s="22"/>
      <c r="L337" s="22"/>
      <c r="M337" s="22"/>
      <c r="N337" s="22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67"/>
      <c r="C338" s="17"/>
      <c r="D338" s="17"/>
      <c r="E338" s="17"/>
      <c r="F338" s="17"/>
      <c r="G338" s="21"/>
      <c r="H338" s="21"/>
      <c r="I338" s="21"/>
      <c r="J338" s="21"/>
      <c r="K338" s="22"/>
      <c r="L338" s="22"/>
      <c r="M338" s="22"/>
      <c r="N338" s="22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67"/>
      <c r="C339" s="17"/>
      <c r="D339" s="17"/>
      <c r="E339" s="17"/>
      <c r="F339" s="17"/>
      <c r="G339" s="21"/>
      <c r="H339" s="21"/>
      <c r="I339" s="21"/>
      <c r="J339" s="21"/>
      <c r="K339" s="22"/>
      <c r="L339" s="22"/>
      <c r="M339" s="22"/>
      <c r="N339" s="22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67"/>
      <c r="C340" s="17"/>
      <c r="D340" s="17"/>
      <c r="E340" s="17"/>
      <c r="F340" s="17"/>
      <c r="G340" s="21"/>
      <c r="H340" s="21"/>
      <c r="I340" s="21"/>
      <c r="J340" s="21"/>
      <c r="K340" s="22"/>
      <c r="L340" s="22"/>
      <c r="M340" s="22"/>
      <c r="N340" s="22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67"/>
      <c r="C341" s="17"/>
      <c r="D341" s="17"/>
      <c r="E341" s="17"/>
      <c r="F341" s="17"/>
      <c r="G341" s="21"/>
      <c r="H341" s="21"/>
      <c r="I341" s="21"/>
      <c r="J341" s="21"/>
      <c r="K341" s="22"/>
      <c r="L341" s="22"/>
      <c r="M341" s="22"/>
      <c r="N341" s="22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67"/>
      <c r="C342" s="17"/>
      <c r="D342" s="17"/>
      <c r="E342" s="17"/>
      <c r="F342" s="17"/>
      <c r="G342" s="21"/>
      <c r="H342" s="21"/>
      <c r="I342" s="21"/>
      <c r="J342" s="21"/>
      <c r="K342" s="22"/>
      <c r="L342" s="22"/>
      <c r="M342" s="22"/>
      <c r="N342" s="22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67"/>
      <c r="C343" s="17"/>
      <c r="D343" s="17"/>
      <c r="E343" s="17"/>
      <c r="F343" s="17"/>
      <c r="G343" s="21"/>
      <c r="H343" s="21"/>
      <c r="I343" s="21"/>
      <c r="J343" s="21"/>
      <c r="K343" s="22"/>
      <c r="L343" s="22"/>
      <c r="M343" s="22"/>
      <c r="N343" s="22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67"/>
      <c r="C344" s="17"/>
      <c r="D344" s="17"/>
      <c r="E344" s="17"/>
      <c r="F344" s="17"/>
      <c r="G344" s="21"/>
      <c r="H344" s="21"/>
      <c r="I344" s="21"/>
      <c r="J344" s="21"/>
      <c r="K344" s="22"/>
      <c r="L344" s="22"/>
      <c r="M344" s="22"/>
      <c r="N344" s="22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67"/>
      <c r="C345" s="17"/>
      <c r="D345" s="17"/>
      <c r="E345" s="17"/>
      <c r="F345" s="17"/>
      <c r="G345" s="21"/>
      <c r="H345" s="21"/>
      <c r="I345" s="21"/>
      <c r="J345" s="21"/>
      <c r="K345" s="22"/>
      <c r="L345" s="22"/>
      <c r="M345" s="22"/>
      <c r="N345" s="22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67"/>
      <c r="C346" s="17"/>
      <c r="D346" s="17"/>
      <c r="E346" s="17"/>
      <c r="F346" s="17"/>
      <c r="G346" s="21"/>
      <c r="H346" s="21"/>
      <c r="I346" s="21"/>
      <c r="J346" s="21"/>
      <c r="K346" s="22"/>
      <c r="L346" s="22"/>
      <c r="M346" s="22"/>
      <c r="N346" s="22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67"/>
      <c r="C347" s="17"/>
      <c r="D347" s="17"/>
      <c r="E347" s="17"/>
      <c r="F347" s="17"/>
      <c r="G347" s="21"/>
      <c r="H347" s="21"/>
      <c r="I347" s="21"/>
      <c r="J347" s="21"/>
      <c r="K347" s="22"/>
      <c r="L347" s="22"/>
      <c r="M347" s="22"/>
      <c r="N347" s="22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67"/>
      <c r="C348" s="17"/>
      <c r="D348" s="17"/>
      <c r="E348" s="17"/>
      <c r="F348" s="17"/>
      <c r="G348" s="21"/>
      <c r="H348" s="21"/>
      <c r="I348" s="21"/>
      <c r="J348" s="21"/>
      <c r="K348" s="22"/>
      <c r="L348" s="22"/>
      <c r="M348" s="22"/>
      <c r="N348" s="22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67"/>
      <c r="C349" s="17"/>
      <c r="D349" s="17"/>
      <c r="E349" s="17"/>
      <c r="F349" s="17"/>
      <c r="G349" s="21"/>
      <c r="H349" s="21"/>
      <c r="I349" s="21"/>
      <c r="J349" s="21"/>
      <c r="K349" s="22"/>
      <c r="L349" s="22"/>
      <c r="M349" s="22"/>
      <c r="N349" s="22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67"/>
      <c r="C350" s="17"/>
      <c r="D350" s="17"/>
      <c r="E350" s="17"/>
      <c r="F350" s="17"/>
      <c r="G350" s="21"/>
      <c r="H350" s="21"/>
      <c r="I350" s="21"/>
      <c r="J350" s="21"/>
      <c r="K350" s="22"/>
      <c r="L350" s="22"/>
      <c r="M350" s="22"/>
      <c r="N350" s="22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67"/>
      <c r="C351" s="17"/>
      <c r="D351" s="17"/>
      <c r="E351" s="17"/>
      <c r="F351" s="17"/>
      <c r="G351" s="21"/>
      <c r="H351" s="21"/>
      <c r="I351" s="21"/>
      <c r="J351" s="21"/>
      <c r="K351" s="22"/>
      <c r="L351" s="22"/>
      <c r="M351" s="22"/>
      <c r="N351" s="22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67"/>
      <c r="C352" s="17"/>
      <c r="D352" s="17"/>
      <c r="E352" s="17"/>
      <c r="F352" s="17"/>
      <c r="G352" s="21"/>
      <c r="H352" s="21"/>
      <c r="I352" s="21"/>
      <c r="J352" s="21"/>
      <c r="K352" s="22"/>
      <c r="L352" s="22"/>
      <c r="M352" s="22"/>
      <c r="N352" s="22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67"/>
      <c r="C353" s="17"/>
      <c r="D353" s="17"/>
      <c r="E353" s="17"/>
      <c r="F353" s="17"/>
      <c r="G353" s="21"/>
      <c r="H353" s="21"/>
      <c r="I353" s="21"/>
      <c r="J353" s="21"/>
      <c r="K353" s="22"/>
      <c r="L353" s="22"/>
      <c r="M353" s="22"/>
      <c r="N353" s="22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67"/>
      <c r="C354" s="17"/>
      <c r="D354" s="17"/>
      <c r="E354" s="17"/>
      <c r="F354" s="17"/>
      <c r="G354" s="21"/>
      <c r="H354" s="21"/>
      <c r="I354" s="21"/>
      <c r="J354" s="21"/>
      <c r="K354" s="22"/>
      <c r="L354" s="22"/>
      <c r="M354" s="22"/>
      <c r="N354" s="22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67"/>
      <c r="C355" s="17"/>
      <c r="D355" s="17"/>
      <c r="E355" s="17"/>
      <c r="F355" s="17"/>
      <c r="G355" s="21"/>
      <c r="H355" s="21"/>
      <c r="I355" s="21"/>
      <c r="J355" s="21"/>
      <c r="K355" s="22"/>
      <c r="L355" s="22"/>
      <c r="M355" s="22"/>
      <c r="N355" s="22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67"/>
      <c r="C356" s="17"/>
      <c r="D356" s="17"/>
      <c r="E356" s="17"/>
      <c r="F356" s="17"/>
      <c r="G356" s="21"/>
      <c r="H356" s="21"/>
      <c r="I356" s="21"/>
      <c r="J356" s="21"/>
      <c r="K356" s="22"/>
      <c r="L356" s="22"/>
      <c r="M356" s="22"/>
      <c r="N356" s="22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67"/>
      <c r="C357" s="17"/>
      <c r="D357" s="17"/>
      <c r="E357" s="17"/>
      <c r="F357" s="17"/>
      <c r="G357" s="21"/>
      <c r="H357" s="21"/>
      <c r="I357" s="21"/>
      <c r="J357" s="21"/>
      <c r="K357" s="22"/>
      <c r="L357" s="22"/>
      <c r="M357" s="22"/>
      <c r="N357" s="22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67"/>
      <c r="C358" s="17"/>
      <c r="D358" s="17"/>
      <c r="E358" s="17"/>
      <c r="F358" s="17"/>
      <c r="G358" s="21"/>
      <c r="H358" s="21"/>
      <c r="I358" s="21"/>
      <c r="J358" s="21"/>
      <c r="K358" s="22"/>
      <c r="L358" s="22"/>
      <c r="M358" s="22"/>
      <c r="N358" s="22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67"/>
      <c r="C359" s="17"/>
      <c r="D359" s="17"/>
      <c r="E359" s="17"/>
      <c r="F359" s="17"/>
      <c r="G359" s="21"/>
      <c r="H359" s="21"/>
      <c r="I359" s="21"/>
      <c r="J359" s="21"/>
      <c r="K359" s="22"/>
      <c r="L359" s="22"/>
      <c r="M359" s="22"/>
      <c r="N359" s="22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67"/>
      <c r="C360" s="17"/>
      <c r="D360" s="17"/>
      <c r="E360" s="17"/>
      <c r="F360" s="17"/>
      <c r="G360" s="21"/>
      <c r="H360" s="21"/>
      <c r="I360" s="21"/>
      <c r="J360" s="21"/>
      <c r="K360" s="22"/>
      <c r="L360" s="22"/>
      <c r="M360" s="22"/>
      <c r="N360" s="22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67"/>
      <c r="C361" s="17"/>
      <c r="D361" s="17"/>
      <c r="E361" s="17"/>
      <c r="F361" s="17"/>
      <c r="G361" s="21"/>
      <c r="H361" s="21"/>
      <c r="I361" s="21"/>
      <c r="J361" s="21"/>
      <c r="K361" s="22"/>
      <c r="L361" s="22"/>
      <c r="M361" s="22"/>
      <c r="N361" s="22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67"/>
      <c r="C362" s="17"/>
      <c r="D362" s="17"/>
      <c r="E362" s="17"/>
      <c r="F362" s="17"/>
      <c r="G362" s="21"/>
      <c r="H362" s="21"/>
      <c r="I362" s="21"/>
      <c r="J362" s="21"/>
      <c r="K362" s="22"/>
      <c r="L362" s="22"/>
      <c r="M362" s="22"/>
      <c r="N362" s="22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67"/>
      <c r="C363" s="17"/>
      <c r="D363" s="17"/>
      <c r="E363" s="17"/>
      <c r="F363" s="17"/>
      <c r="G363" s="21"/>
      <c r="H363" s="21"/>
      <c r="I363" s="21"/>
      <c r="J363" s="21"/>
      <c r="K363" s="22"/>
      <c r="L363" s="22"/>
      <c r="M363" s="22"/>
      <c r="N363" s="22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67"/>
      <c r="C364" s="17"/>
      <c r="D364" s="17"/>
      <c r="E364" s="17"/>
      <c r="F364" s="17"/>
      <c r="G364" s="21"/>
      <c r="H364" s="21"/>
      <c r="I364" s="21"/>
      <c r="J364" s="21"/>
      <c r="K364" s="22"/>
      <c r="L364" s="22"/>
      <c r="M364" s="22"/>
      <c r="N364" s="22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67"/>
      <c r="C365" s="17"/>
      <c r="D365" s="17"/>
      <c r="E365" s="17"/>
      <c r="F365" s="17"/>
      <c r="G365" s="21"/>
      <c r="H365" s="21"/>
      <c r="I365" s="21"/>
      <c r="J365" s="21"/>
      <c r="K365" s="22"/>
      <c r="L365" s="22"/>
      <c r="M365" s="22"/>
      <c r="N365" s="22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67"/>
      <c r="C366" s="17"/>
      <c r="D366" s="17"/>
      <c r="E366" s="17"/>
      <c r="F366" s="17"/>
      <c r="G366" s="21"/>
      <c r="H366" s="21"/>
      <c r="I366" s="21"/>
      <c r="J366" s="21"/>
      <c r="K366" s="22"/>
      <c r="L366" s="22"/>
      <c r="M366" s="22"/>
      <c r="N366" s="22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67"/>
      <c r="C367" s="17"/>
      <c r="D367" s="17"/>
      <c r="E367" s="17"/>
      <c r="F367" s="17"/>
      <c r="G367" s="21"/>
      <c r="H367" s="21"/>
      <c r="I367" s="21"/>
      <c r="J367" s="21"/>
      <c r="K367" s="22"/>
      <c r="L367" s="22"/>
      <c r="M367" s="22"/>
      <c r="N367" s="22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67"/>
      <c r="C368" s="17"/>
      <c r="D368" s="17"/>
      <c r="E368" s="17"/>
      <c r="F368" s="17"/>
      <c r="G368" s="21"/>
      <c r="H368" s="21"/>
      <c r="I368" s="21"/>
      <c r="J368" s="21"/>
      <c r="K368" s="22"/>
      <c r="L368" s="22"/>
      <c r="M368" s="22"/>
      <c r="N368" s="22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67"/>
      <c r="C369" s="17"/>
      <c r="D369" s="17"/>
      <c r="E369" s="17"/>
      <c r="F369" s="17"/>
      <c r="G369" s="21"/>
      <c r="H369" s="21"/>
      <c r="I369" s="21"/>
      <c r="J369" s="21"/>
      <c r="K369" s="22"/>
      <c r="L369" s="22"/>
      <c r="M369" s="22"/>
      <c r="N369" s="22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67"/>
      <c r="C370" s="17"/>
      <c r="D370" s="17"/>
      <c r="E370" s="17"/>
      <c r="F370" s="17"/>
      <c r="G370" s="21"/>
      <c r="H370" s="21"/>
      <c r="I370" s="21"/>
      <c r="J370" s="21"/>
      <c r="K370" s="22"/>
      <c r="L370" s="22"/>
      <c r="M370" s="22"/>
      <c r="N370" s="22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67"/>
      <c r="C371" s="17"/>
      <c r="D371" s="17"/>
      <c r="E371" s="17"/>
      <c r="F371" s="17"/>
      <c r="G371" s="21"/>
      <c r="H371" s="21"/>
      <c r="I371" s="21"/>
      <c r="J371" s="21"/>
      <c r="K371" s="22"/>
      <c r="L371" s="22"/>
      <c r="M371" s="22"/>
      <c r="N371" s="22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67"/>
      <c r="C372" s="17"/>
      <c r="D372" s="17"/>
      <c r="E372" s="17"/>
      <c r="F372" s="17"/>
      <c r="G372" s="21"/>
      <c r="H372" s="21"/>
      <c r="I372" s="21"/>
      <c r="J372" s="21"/>
      <c r="K372" s="22"/>
      <c r="L372" s="22"/>
      <c r="M372" s="22"/>
      <c r="N372" s="22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67"/>
      <c r="C373" s="17"/>
      <c r="D373" s="17"/>
      <c r="E373" s="17"/>
      <c r="F373" s="17"/>
      <c r="G373" s="21"/>
      <c r="H373" s="21"/>
      <c r="I373" s="21"/>
      <c r="J373" s="21"/>
      <c r="K373" s="22"/>
      <c r="L373" s="22"/>
      <c r="M373" s="22"/>
      <c r="N373" s="22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67"/>
      <c r="C374" s="17"/>
      <c r="D374" s="17"/>
      <c r="E374" s="17"/>
      <c r="F374" s="17"/>
      <c r="G374" s="21"/>
      <c r="H374" s="21"/>
      <c r="I374" s="21"/>
      <c r="J374" s="21"/>
      <c r="K374" s="22"/>
      <c r="L374" s="22"/>
      <c r="M374" s="22"/>
      <c r="N374" s="22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67"/>
      <c r="C375" s="17"/>
      <c r="D375" s="17"/>
      <c r="E375" s="17"/>
      <c r="F375" s="17"/>
      <c r="G375" s="21"/>
      <c r="H375" s="21"/>
      <c r="I375" s="21"/>
      <c r="J375" s="21"/>
      <c r="K375" s="22"/>
      <c r="L375" s="22"/>
      <c r="M375" s="22"/>
      <c r="N375" s="22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67"/>
      <c r="C376" s="17"/>
      <c r="D376" s="17"/>
      <c r="E376" s="17"/>
      <c r="F376" s="17"/>
      <c r="G376" s="21"/>
      <c r="H376" s="21"/>
      <c r="I376" s="21"/>
      <c r="J376" s="21"/>
      <c r="K376" s="22"/>
      <c r="L376" s="22"/>
      <c r="M376" s="22"/>
      <c r="N376" s="22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67"/>
      <c r="C377" s="17"/>
      <c r="D377" s="17"/>
      <c r="E377" s="17"/>
      <c r="F377" s="17"/>
      <c r="G377" s="21"/>
      <c r="H377" s="21"/>
      <c r="I377" s="21"/>
      <c r="J377" s="21"/>
      <c r="K377" s="22"/>
      <c r="L377" s="22"/>
      <c r="M377" s="22"/>
      <c r="N377" s="22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67"/>
      <c r="C378" s="17"/>
      <c r="D378" s="17"/>
      <c r="E378" s="17"/>
      <c r="F378" s="17"/>
      <c r="G378" s="21"/>
      <c r="H378" s="21"/>
      <c r="I378" s="21"/>
      <c r="J378" s="21"/>
      <c r="K378" s="22"/>
      <c r="L378" s="22"/>
      <c r="M378" s="22"/>
      <c r="N378" s="22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67"/>
      <c r="C379" s="17"/>
      <c r="D379" s="17"/>
      <c r="E379" s="17"/>
      <c r="F379" s="17"/>
      <c r="G379" s="21"/>
      <c r="H379" s="21"/>
      <c r="I379" s="21"/>
      <c r="J379" s="21"/>
      <c r="K379" s="22"/>
      <c r="L379" s="22"/>
      <c r="M379" s="22"/>
      <c r="N379" s="22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67"/>
      <c r="C380" s="17"/>
      <c r="D380" s="17"/>
      <c r="E380" s="17"/>
      <c r="F380" s="17"/>
      <c r="G380" s="21"/>
      <c r="H380" s="21"/>
      <c r="I380" s="21"/>
      <c r="J380" s="21"/>
      <c r="K380" s="22"/>
      <c r="L380" s="22"/>
      <c r="M380" s="22"/>
      <c r="N380" s="22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67"/>
      <c r="C381" s="17"/>
      <c r="D381" s="17"/>
      <c r="E381" s="17"/>
      <c r="F381" s="17"/>
      <c r="G381" s="21"/>
      <c r="H381" s="21"/>
      <c r="I381" s="21"/>
      <c r="J381" s="21"/>
      <c r="K381" s="22"/>
      <c r="L381" s="22"/>
      <c r="M381" s="22"/>
      <c r="N381" s="22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67"/>
      <c r="C382" s="17"/>
      <c r="D382" s="17"/>
      <c r="E382" s="17"/>
      <c r="F382" s="17"/>
      <c r="G382" s="21"/>
      <c r="H382" s="21"/>
      <c r="I382" s="21"/>
      <c r="J382" s="21"/>
      <c r="K382" s="22"/>
      <c r="L382" s="22"/>
      <c r="M382" s="22"/>
      <c r="N382" s="22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67"/>
      <c r="C383" s="17"/>
      <c r="D383" s="17"/>
      <c r="E383" s="17"/>
      <c r="F383" s="17"/>
      <c r="G383" s="21"/>
      <c r="H383" s="21"/>
      <c r="I383" s="21"/>
      <c r="J383" s="21"/>
      <c r="K383" s="22"/>
      <c r="L383" s="22"/>
      <c r="M383" s="22"/>
      <c r="N383" s="22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67"/>
      <c r="C384" s="17"/>
      <c r="D384" s="17"/>
      <c r="E384" s="17"/>
      <c r="F384" s="17"/>
      <c r="G384" s="21"/>
      <c r="H384" s="21"/>
      <c r="I384" s="21"/>
      <c r="J384" s="21"/>
      <c r="K384" s="22"/>
      <c r="L384" s="22"/>
      <c r="M384" s="22"/>
      <c r="N384" s="22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67"/>
      <c r="C385" s="17"/>
      <c r="D385" s="17"/>
      <c r="E385" s="17"/>
      <c r="F385" s="17"/>
      <c r="G385" s="21"/>
      <c r="H385" s="21"/>
      <c r="I385" s="21"/>
      <c r="J385" s="21"/>
      <c r="K385" s="22"/>
      <c r="L385" s="22"/>
      <c r="M385" s="22"/>
      <c r="N385" s="22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67"/>
      <c r="C386" s="17"/>
      <c r="D386" s="17"/>
      <c r="E386" s="17"/>
      <c r="F386" s="17"/>
      <c r="G386" s="21"/>
      <c r="H386" s="21"/>
      <c r="I386" s="21"/>
      <c r="J386" s="21"/>
      <c r="K386" s="22"/>
      <c r="L386" s="22"/>
      <c r="M386" s="22"/>
      <c r="N386" s="22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67"/>
      <c r="C387" s="17"/>
      <c r="D387" s="17"/>
      <c r="E387" s="17"/>
      <c r="F387" s="17"/>
      <c r="G387" s="21"/>
      <c r="H387" s="21"/>
      <c r="I387" s="21"/>
      <c r="J387" s="21"/>
      <c r="K387" s="22"/>
      <c r="L387" s="22"/>
      <c r="M387" s="22"/>
      <c r="N387" s="22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67"/>
      <c r="C388" s="17"/>
      <c r="D388" s="17"/>
      <c r="E388" s="17"/>
      <c r="F388" s="17"/>
      <c r="G388" s="21"/>
      <c r="H388" s="21"/>
      <c r="I388" s="21"/>
      <c r="J388" s="21"/>
      <c r="K388" s="22"/>
      <c r="L388" s="22"/>
      <c r="M388" s="22"/>
      <c r="N388" s="22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67"/>
      <c r="C389" s="17"/>
      <c r="D389" s="17"/>
      <c r="E389" s="17"/>
      <c r="F389" s="17"/>
      <c r="G389" s="21"/>
      <c r="H389" s="21"/>
      <c r="I389" s="21"/>
      <c r="J389" s="21"/>
      <c r="K389" s="22"/>
      <c r="L389" s="22"/>
      <c r="M389" s="22"/>
      <c r="N389" s="22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67"/>
      <c r="C390" s="17"/>
      <c r="D390" s="17"/>
      <c r="E390" s="17"/>
      <c r="F390" s="17"/>
      <c r="G390" s="21"/>
      <c r="H390" s="21"/>
      <c r="I390" s="21"/>
      <c r="J390" s="21"/>
      <c r="K390" s="22"/>
      <c r="L390" s="22"/>
      <c r="M390" s="22"/>
      <c r="N390" s="22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67"/>
      <c r="C391" s="17"/>
      <c r="D391" s="17"/>
      <c r="E391" s="17"/>
      <c r="F391" s="17"/>
      <c r="G391" s="21"/>
      <c r="H391" s="21"/>
      <c r="I391" s="21"/>
      <c r="J391" s="21"/>
      <c r="K391" s="22"/>
      <c r="L391" s="22"/>
      <c r="M391" s="22"/>
      <c r="N391" s="22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67"/>
      <c r="C392" s="17"/>
      <c r="D392" s="17"/>
      <c r="E392" s="17"/>
      <c r="F392" s="17"/>
      <c r="G392" s="21"/>
      <c r="H392" s="21"/>
      <c r="I392" s="21"/>
      <c r="J392" s="21"/>
      <c r="K392" s="22"/>
      <c r="L392" s="22"/>
      <c r="M392" s="22"/>
      <c r="N392" s="22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67"/>
      <c r="C393" s="17"/>
      <c r="D393" s="17"/>
      <c r="E393" s="17"/>
      <c r="F393" s="17"/>
      <c r="G393" s="21"/>
      <c r="H393" s="21"/>
      <c r="I393" s="21"/>
      <c r="J393" s="21"/>
      <c r="K393" s="22"/>
      <c r="L393" s="22"/>
      <c r="M393" s="22"/>
      <c r="N393" s="22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67"/>
      <c r="C394" s="17"/>
      <c r="D394" s="17"/>
      <c r="E394" s="17"/>
      <c r="F394" s="17"/>
      <c r="G394" s="21"/>
      <c r="H394" s="21"/>
      <c r="I394" s="21"/>
      <c r="J394" s="21"/>
      <c r="K394" s="22"/>
      <c r="L394" s="22"/>
      <c r="M394" s="22"/>
      <c r="N394" s="22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67"/>
      <c r="C395" s="17"/>
      <c r="D395" s="17"/>
      <c r="E395" s="17"/>
      <c r="F395" s="17"/>
      <c r="G395" s="21"/>
      <c r="H395" s="21"/>
      <c r="I395" s="21"/>
      <c r="J395" s="21"/>
      <c r="K395" s="22"/>
      <c r="L395" s="22"/>
      <c r="M395" s="22"/>
      <c r="N395" s="22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67"/>
      <c r="C396" s="17"/>
      <c r="D396" s="17"/>
      <c r="E396" s="17"/>
      <c r="F396" s="17"/>
      <c r="G396" s="21"/>
      <c r="H396" s="21"/>
      <c r="I396" s="21"/>
      <c r="J396" s="21"/>
      <c r="K396" s="22"/>
      <c r="L396" s="22"/>
      <c r="M396" s="22"/>
      <c r="N396" s="22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67"/>
      <c r="C397" s="17"/>
      <c r="D397" s="17"/>
      <c r="E397" s="17"/>
      <c r="F397" s="17"/>
      <c r="G397" s="21"/>
      <c r="H397" s="21"/>
      <c r="I397" s="21"/>
      <c r="J397" s="21"/>
      <c r="K397" s="22"/>
      <c r="L397" s="22"/>
      <c r="M397" s="22"/>
      <c r="N397" s="22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67"/>
      <c r="C398" s="17"/>
      <c r="D398" s="17"/>
      <c r="E398" s="17"/>
      <c r="F398" s="17"/>
      <c r="G398" s="21"/>
      <c r="H398" s="21"/>
      <c r="I398" s="21"/>
      <c r="J398" s="21"/>
      <c r="K398" s="22"/>
      <c r="L398" s="22"/>
      <c r="M398" s="22"/>
      <c r="N398" s="22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67"/>
      <c r="C399" s="17"/>
      <c r="D399" s="17"/>
      <c r="E399" s="17"/>
      <c r="F399" s="17"/>
      <c r="G399" s="21"/>
      <c r="H399" s="21"/>
      <c r="I399" s="21"/>
      <c r="J399" s="21"/>
      <c r="K399" s="22"/>
      <c r="L399" s="22"/>
      <c r="M399" s="22"/>
      <c r="N399" s="22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67"/>
      <c r="C400" s="17"/>
      <c r="D400" s="17"/>
      <c r="E400" s="17"/>
      <c r="F400" s="17"/>
      <c r="G400" s="21"/>
      <c r="H400" s="21"/>
      <c r="I400" s="21"/>
      <c r="J400" s="21"/>
      <c r="K400" s="22"/>
      <c r="L400" s="22"/>
      <c r="M400" s="22"/>
      <c r="N400" s="22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67"/>
      <c r="C401" s="17"/>
      <c r="D401" s="17"/>
      <c r="E401" s="17"/>
      <c r="F401" s="17"/>
      <c r="G401" s="21"/>
      <c r="H401" s="21"/>
      <c r="I401" s="21"/>
      <c r="J401" s="21"/>
      <c r="K401" s="22"/>
      <c r="L401" s="22"/>
      <c r="M401" s="22"/>
      <c r="N401" s="22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67"/>
      <c r="C402" s="17"/>
      <c r="D402" s="17"/>
      <c r="E402" s="17"/>
      <c r="F402" s="17"/>
      <c r="G402" s="21"/>
      <c r="H402" s="21"/>
      <c r="I402" s="21"/>
      <c r="J402" s="21"/>
      <c r="K402" s="22"/>
      <c r="L402" s="22"/>
      <c r="M402" s="22"/>
      <c r="N402" s="22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67"/>
      <c r="C403" s="17"/>
      <c r="D403" s="17"/>
      <c r="E403" s="17"/>
      <c r="F403" s="17"/>
      <c r="G403" s="21"/>
      <c r="H403" s="21"/>
      <c r="I403" s="21"/>
      <c r="J403" s="21"/>
      <c r="K403" s="22"/>
      <c r="L403" s="22"/>
      <c r="M403" s="22"/>
      <c r="N403" s="22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67"/>
      <c r="C404" s="17"/>
      <c r="D404" s="17"/>
      <c r="E404" s="17"/>
      <c r="F404" s="17"/>
      <c r="G404" s="21"/>
      <c r="H404" s="21"/>
      <c r="I404" s="21"/>
      <c r="J404" s="21"/>
      <c r="K404" s="22"/>
      <c r="L404" s="22"/>
      <c r="M404" s="22"/>
      <c r="N404" s="22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67"/>
      <c r="C405" s="17"/>
      <c r="D405" s="17"/>
      <c r="E405" s="17"/>
      <c r="F405" s="17"/>
      <c r="G405" s="21"/>
      <c r="H405" s="21"/>
      <c r="I405" s="21"/>
      <c r="J405" s="21"/>
      <c r="K405" s="22"/>
      <c r="L405" s="22"/>
      <c r="M405" s="22"/>
      <c r="N405" s="22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67"/>
      <c r="C406" s="17"/>
      <c r="D406" s="17"/>
      <c r="E406" s="17"/>
      <c r="F406" s="17"/>
      <c r="G406" s="21"/>
      <c r="H406" s="21"/>
      <c r="I406" s="21"/>
      <c r="J406" s="21"/>
      <c r="K406" s="22"/>
      <c r="L406" s="22"/>
      <c r="M406" s="22"/>
      <c r="N406" s="22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67"/>
      <c r="C407" s="17"/>
      <c r="D407" s="17"/>
      <c r="E407" s="17"/>
      <c r="F407" s="17"/>
      <c r="G407" s="21"/>
      <c r="H407" s="21"/>
      <c r="I407" s="21"/>
      <c r="J407" s="21"/>
      <c r="K407" s="22"/>
      <c r="L407" s="22"/>
      <c r="M407" s="22"/>
      <c r="N407" s="22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67"/>
      <c r="C408" s="17"/>
      <c r="D408" s="17"/>
      <c r="E408" s="17"/>
      <c r="F408" s="17"/>
      <c r="G408" s="21"/>
      <c r="H408" s="21"/>
      <c r="I408" s="21"/>
      <c r="J408" s="21"/>
      <c r="K408" s="22"/>
      <c r="L408" s="22"/>
      <c r="M408" s="22"/>
      <c r="N408" s="22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67"/>
      <c r="C409" s="17"/>
      <c r="D409" s="17"/>
      <c r="E409" s="17"/>
      <c r="F409" s="17"/>
      <c r="G409" s="21"/>
      <c r="H409" s="21"/>
      <c r="I409" s="21"/>
      <c r="J409" s="21"/>
      <c r="K409" s="22"/>
      <c r="L409" s="22"/>
      <c r="M409" s="22"/>
      <c r="N409" s="22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67"/>
      <c r="C410" s="17"/>
      <c r="D410" s="17"/>
      <c r="E410" s="17"/>
      <c r="F410" s="17"/>
      <c r="G410" s="21"/>
      <c r="H410" s="21"/>
      <c r="I410" s="21"/>
      <c r="J410" s="21"/>
      <c r="K410" s="22"/>
      <c r="L410" s="22"/>
      <c r="M410" s="22"/>
      <c r="N410" s="22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67"/>
      <c r="C411" s="17"/>
      <c r="D411" s="17"/>
      <c r="E411" s="17"/>
      <c r="F411" s="17"/>
      <c r="G411" s="21"/>
      <c r="H411" s="21"/>
      <c r="I411" s="21"/>
      <c r="J411" s="21"/>
      <c r="K411" s="22"/>
      <c r="L411" s="22"/>
      <c r="M411" s="22"/>
      <c r="N411" s="22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67"/>
      <c r="C412" s="17"/>
      <c r="D412" s="17"/>
      <c r="E412" s="17"/>
      <c r="F412" s="17"/>
      <c r="G412" s="21"/>
      <c r="H412" s="21"/>
      <c r="I412" s="21"/>
      <c r="J412" s="21"/>
      <c r="K412" s="22"/>
      <c r="L412" s="22"/>
      <c r="M412" s="22"/>
      <c r="N412" s="22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67"/>
      <c r="C413" s="17"/>
      <c r="D413" s="17"/>
      <c r="E413" s="17"/>
      <c r="F413" s="17"/>
      <c r="G413" s="21"/>
      <c r="H413" s="21"/>
      <c r="I413" s="21"/>
      <c r="J413" s="21"/>
      <c r="K413" s="22"/>
      <c r="L413" s="22"/>
      <c r="M413" s="22"/>
      <c r="N413" s="22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67"/>
      <c r="C414" s="17"/>
      <c r="D414" s="17"/>
      <c r="E414" s="17"/>
      <c r="F414" s="17"/>
      <c r="G414" s="21"/>
      <c r="H414" s="21"/>
      <c r="I414" s="21"/>
      <c r="J414" s="21"/>
      <c r="K414" s="22"/>
      <c r="L414" s="22"/>
      <c r="M414" s="22"/>
      <c r="N414" s="22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67"/>
      <c r="C415" s="17"/>
      <c r="D415" s="17"/>
      <c r="E415" s="17"/>
      <c r="F415" s="17"/>
      <c r="G415" s="21"/>
      <c r="H415" s="21"/>
      <c r="I415" s="21"/>
      <c r="J415" s="21"/>
      <c r="K415" s="22"/>
      <c r="L415" s="22"/>
      <c r="M415" s="22"/>
      <c r="N415" s="22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67"/>
      <c r="C416" s="17"/>
      <c r="D416" s="17"/>
      <c r="E416" s="17"/>
      <c r="F416" s="17"/>
      <c r="G416" s="21"/>
      <c r="H416" s="21"/>
      <c r="I416" s="21"/>
      <c r="J416" s="21"/>
      <c r="K416" s="22"/>
      <c r="L416" s="22"/>
      <c r="M416" s="22"/>
      <c r="N416" s="22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67"/>
      <c r="C417" s="17"/>
      <c r="D417" s="17"/>
      <c r="E417" s="17"/>
      <c r="F417" s="17"/>
      <c r="G417" s="21"/>
      <c r="H417" s="21"/>
      <c r="I417" s="21"/>
      <c r="J417" s="21"/>
      <c r="K417" s="22"/>
      <c r="L417" s="22"/>
      <c r="M417" s="22"/>
      <c r="N417" s="22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67"/>
      <c r="C418" s="17"/>
      <c r="D418" s="17"/>
      <c r="E418" s="17"/>
      <c r="F418" s="17"/>
      <c r="G418" s="21"/>
      <c r="H418" s="21"/>
      <c r="I418" s="21"/>
      <c r="J418" s="21"/>
      <c r="K418" s="22"/>
      <c r="L418" s="22"/>
      <c r="M418" s="22"/>
      <c r="N418" s="22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67"/>
      <c r="C419" s="17"/>
      <c r="D419" s="17"/>
      <c r="E419" s="17"/>
      <c r="F419" s="17"/>
      <c r="G419" s="21"/>
      <c r="H419" s="21"/>
      <c r="I419" s="21"/>
      <c r="J419" s="21"/>
      <c r="K419" s="22"/>
      <c r="L419" s="22"/>
      <c r="M419" s="22"/>
      <c r="N419" s="22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67"/>
      <c r="C420" s="17"/>
      <c r="D420" s="17"/>
      <c r="E420" s="17"/>
      <c r="F420" s="17"/>
      <c r="G420" s="21"/>
      <c r="H420" s="21"/>
      <c r="I420" s="21"/>
      <c r="J420" s="21"/>
      <c r="K420" s="22"/>
      <c r="L420" s="22"/>
      <c r="M420" s="22"/>
      <c r="N420" s="22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67"/>
      <c r="C421" s="17"/>
      <c r="D421" s="17"/>
      <c r="E421" s="17"/>
      <c r="F421" s="17"/>
      <c r="G421" s="21"/>
      <c r="H421" s="21"/>
      <c r="I421" s="21"/>
      <c r="J421" s="21"/>
      <c r="K421" s="22"/>
      <c r="L421" s="22"/>
      <c r="M421" s="22"/>
      <c r="N421" s="22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67"/>
      <c r="C422" s="17"/>
      <c r="D422" s="17"/>
      <c r="E422" s="17"/>
      <c r="F422" s="17"/>
      <c r="G422" s="21"/>
      <c r="H422" s="21"/>
      <c r="I422" s="21"/>
      <c r="J422" s="21"/>
      <c r="K422" s="22"/>
      <c r="L422" s="22"/>
      <c r="M422" s="22"/>
      <c r="N422" s="22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67"/>
      <c r="C423" s="17"/>
      <c r="D423" s="17"/>
      <c r="E423" s="17"/>
      <c r="F423" s="17"/>
      <c r="G423" s="21"/>
      <c r="H423" s="21"/>
      <c r="I423" s="21"/>
      <c r="J423" s="21"/>
      <c r="K423" s="22"/>
      <c r="L423" s="22"/>
      <c r="M423" s="22"/>
      <c r="N423" s="22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67"/>
      <c r="C424" s="17"/>
      <c r="D424" s="17"/>
      <c r="E424" s="17"/>
      <c r="F424" s="17"/>
      <c r="G424" s="21"/>
      <c r="H424" s="21"/>
      <c r="I424" s="21"/>
      <c r="J424" s="21"/>
      <c r="K424" s="22"/>
      <c r="L424" s="22"/>
      <c r="M424" s="22"/>
      <c r="N424" s="22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67"/>
      <c r="C425" s="17"/>
      <c r="D425" s="17"/>
      <c r="E425" s="17"/>
      <c r="F425" s="17"/>
      <c r="G425" s="21"/>
      <c r="H425" s="21"/>
      <c r="I425" s="21"/>
      <c r="J425" s="21"/>
      <c r="K425" s="22"/>
      <c r="L425" s="22"/>
      <c r="M425" s="22"/>
      <c r="N425" s="22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67"/>
      <c r="C426" s="17"/>
      <c r="D426" s="17"/>
      <c r="E426" s="17"/>
      <c r="F426" s="17"/>
      <c r="G426" s="21"/>
      <c r="H426" s="21"/>
      <c r="I426" s="21"/>
      <c r="J426" s="21"/>
      <c r="K426" s="22"/>
      <c r="L426" s="22"/>
      <c r="M426" s="22"/>
      <c r="N426" s="22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67"/>
      <c r="C427" s="17"/>
      <c r="D427" s="17"/>
      <c r="E427" s="17"/>
      <c r="F427" s="17"/>
      <c r="G427" s="21"/>
      <c r="H427" s="21"/>
      <c r="I427" s="21"/>
      <c r="J427" s="21"/>
      <c r="K427" s="22"/>
      <c r="L427" s="22"/>
      <c r="M427" s="22"/>
      <c r="N427" s="22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67"/>
      <c r="C428" s="17"/>
      <c r="D428" s="17"/>
      <c r="E428" s="17"/>
      <c r="F428" s="17"/>
      <c r="G428" s="21"/>
      <c r="H428" s="21"/>
      <c r="I428" s="21"/>
      <c r="J428" s="21"/>
      <c r="K428" s="22"/>
      <c r="L428" s="22"/>
      <c r="M428" s="22"/>
      <c r="N428" s="22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67"/>
      <c r="C429" s="17"/>
      <c r="D429" s="17"/>
      <c r="E429" s="17"/>
      <c r="F429" s="17"/>
      <c r="G429" s="21"/>
      <c r="H429" s="21"/>
      <c r="I429" s="21"/>
      <c r="J429" s="21"/>
      <c r="K429" s="22"/>
      <c r="L429" s="22"/>
      <c r="M429" s="22"/>
      <c r="N429" s="22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67"/>
      <c r="C430" s="17"/>
      <c r="D430" s="17"/>
      <c r="E430" s="17"/>
      <c r="F430" s="17"/>
      <c r="G430" s="21"/>
      <c r="H430" s="21"/>
      <c r="I430" s="21"/>
      <c r="J430" s="21"/>
      <c r="K430" s="22"/>
      <c r="L430" s="22"/>
      <c r="M430" s="22"/>
      <c r="N430" s="22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67"/>
      <c r="C431" s="17"/>
      <c r="D431" s="17"/>
      <c r="E431" s="17"/>
      <c r="F431" s="17"/>
      <c r="G431" s="21"/>
      <c r="H431" s="21"/>
      <c r="I431" s="21"/>
      <c r="J431" s="21"/>
      <c r="K431" s="22"/>
      <c r="L431" s="22"/>
      <c r="M431" s="22"/>
      <c r="N431" s="22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67"/>
      <c r="C432" s="17"/>
      <c r="D432" s="17"/>
      <c r="E432" s="17"/>
      <c r="F432" s="17"/>
      <c r="G432" s="21"/>
      <c r="H432" s="21"/>
      <c r="I432" s="21"/>
      <c r="J432" s="21"/>
      <c r="K432" s="22"/>
      <c r="L432" s="22"/>
      <c r="M432" s="22"/>
      <c r="N432" s="22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67"/>
      <c r="C433" s="17"/>
      <c r="D433" s="17"/>
      <c r="E433" s="17"/>
      <c r="F433" s="17"/>
      <c r="G433" s="21"/>
      <c r="H433" s="21"/>
      <c r="I433" s="21"/>
      <c r="J433" s="21"/>
      <c r="K433" s="22"/>
      <c r="L433" s="22"/>
      <c r="M433" s="22"/>
      <c r="N433" s="22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67"/>
      <c r="C434" s="17"/>
      <c r="D434" s="17"/>
      <c r="E434" s="17"/>
      <c r="F434" s="17"/>
      <c r="G434" s="21"/>
      <c r="H434" s="21"/>
      <c r="I434" s="21"/>
      <c r="J434" s="21"/>
      <c r="K434" s="22"/>
      <c r="L434" s="22"/>
      <c r="M434" s="22"/>
      <c r="N434" s="22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67"/>
      <c r="C435" s="17"/>
      <c r="D435" s="17"/>
      <c r="E435" s="17"/>
      <c r="F435" s="17"/>
      <c r="G435" s="21"/>
      <c r="H435" s="21"/>
      <c r="I435" s="21"/>
      <c r="J435" s="21"/>
      <c r="K435" s="22"/>
      <c r="L435" s="22"/>
      <c r="M435" s="22"/>
      <c r="N435" s="22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67"/>
      <c r="C436" s="17"/>
      <c r="D436" s="17"/>
      <c r="E436" s="17"/>
      <c r="F436" s="17"/>
      <c r="G436" s="21"/>
      <c r="H436" s="21"/>
      <c r="I436" s="21"/>
      <c r="J436" s="21"/>
      <c r="K436" s="22"/>
      <c r="L436" s="22"/>
      <c r="M436" s="22"/>
      <c r="N436" s="22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67"/>
      <c r="C437" s="17"/>
      <c r="D437" s="17"/>
      <c r="E437" s="17"/>
      <c r="F437" s="17"/>
      <c r="G437" s="21"/>
      <c r="H437" s="21"/>
      <c r="I437" s="21"/>
      <c r="J437" s="21"/>
      <c r="K437" s="22"/>
      <c r="L437" s="22"/>
      <c r="M437" s="22"/>
      <c r="N437" s="22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67"/>
      <c r="C438" s="17"/>
      <c r="D438" s="17"/>
      <c r="E438" s="17"/>
      <c r="F438" s="17"/>
      <c r="G438" s="21"/>
      <c r="H438" s="21"/>
      <c r="I438" s="21"/>
      <c r="J438" s="21"/>
      <c r="K438" s="22"/>
      <c r="L438" s="22"/>
      <c r="M438" s="22"/>
      <c r="N438" s="22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67"/>
      <c r="C439" s="17"/>
      <c r="D439" s="17"/>
      <c r="E439" s="17"/>
      <c r="F439" s="17"/>
      <c r="G439" s="21"/>
      <c r="H439" s="21"/>
      <c r="I439" s="21"/>
      <c r="J439" s="21"/>
      <c r="K439" s="22"/>
      <c r="L439" s="22"/>
      <c r="M439" s="22"/>
      <c r="N439" s="22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67"/>
      <c r="C440" s="17"/>
      <c r="D440" s="17"/>
      <c r="E440" s="17"/>
      <c r="F440" s="17"/>
      <c r="G440" s="21"/>
      <c r="H440" s="21"/>
      <c r="I440" s="21"/>
      <c r="J440" s="21"/>
      <c r="K440" s="22"/>
      <c r="L440" s="22"/>
      <c r="M440" s="22"/>
      <c r="N440" s="22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67"/>
      <c r="C441" s="17"/>
      <c r="D441" s="17"/>
      <c r="E441" s="17"/>
      <c r="F441" s="17"/>
      <c r="G441" s="21"/>
      <c r="H441" s="21"/>
      <c r="I441" s="21"/>
      <c r="J441" s="21"/>
      <c r="K441" s="22"/>
      <c r="L441" s="22"/>
      <c r="M441" s="22"/>
      <c r="N441" s="22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67"/>
      <c r="C442" s="17"/>
      <c r="D442" s="17"/>
      <c r="E442" s="17"/>
      <c r="F442" s="17"/>
      <c r="G442" s="21"/>
      <c r="H442" s="21"/>
      <c r="I442" s="21"/>
      <c r="J442" s="21"/>
      <c r="K442" s="22"/>
      <c r="L442" s="22"/>
      <c r="M442" s="22"/>
      <c r="N442" s="22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67"/>
      <c r="C443" s="17"/>
      <c r="D443" s="17"/>
      <c r="E443" s="17"/>
      <c r="F443" s="17"/>
      <c r="G443" s="21"/>
      <c r="H443" s="21"/>
      <c r="I443" s="21"/>
      <c r="J443" s="21"/>
      <c r="K443" s="22"/>
      <c r="L443" s="22"/>
      <c r="M443" s="22"/>
      <c r="N443" s="22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67"/>
      <c r="C444" s="17"/>
      <c r="D444" s="17"/>
      <c r="E444" s="17"/>
      <c r="F444" s="17"/>
      <c r="G444" s="21"/>
      <c r="H444" s="21"/>
      <c r="I444" s="21"/>
      <c r="J444" s="21"/>
      <c r="K444" s="22"/>
      <c r="L444" s="22"/>
      <c r="M444" s="22"/>
      <c r="N444" s="22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67"/>
      <c r="C445" s="17"/>
      <c r="D445" s="17"/>
      <c r="E445" s="17"/>
      <c r="F445" s="17"/>
      <c r="G445" s="21"/>
      <c r="H445" s="21"/>
      <c r="I445" s="21"/>
      <c r="J445" s="21"/>
      <c r="K445" s="22"/>
      <c r="L445" s="22"/>
      <c r="M445" s="22"/>
      <c r="N445" s="22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67"/>
      <c r="C446" s="17"/>
      <c r="D446" s="17"/>
      <c r="E446" s="17"/>
      <c r="F446" s="17"/>
      <c r="G446" s="21"/>
      <c r="H446" s="21"/>
      <c r="I446" s="21"/>
      <c r="J446" s="21"/>
      <c r="K446" s="22"/>
      <c r="L446" s="22"/>
      <c r="M446" s="22"/>
      <c r="N446" s="22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67"/>
      <c r="C447" s="17"/>
      <c r="D447" s="17"/>
      <c r="E447" s="17"/>
      <c r="F447" s="17"/>
      <c r="G447" s="21"/>
      <c r="H447" s="21"/>
      <c r="I447" s="21"/>
      <c r="J447" s="21"/>
      <c r="K447" s="22"/>
      <c r="L447" s="22"/>
      <c r="M447" s="22"/>
      <c r="N447" s="22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67"/>
      <c r="C448" s="17"/>
      <c r="D448" s="17"/>
      <c r="E448" s="17"/>
      <c r="F448" s="17"/>
      <c r="G448" s="21"/>
      <c r="H448" s="21"/>
      <c r="I448" s="21"/>
      <c r="J448" s="21"/>
      <c r="K448" s="22"/>
      <c r="L448" s="22"/>
      <c r="M448" s="22"/>
      <c r="N448" s="22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67"/>
      <c r="C449" s="17"/>
      <c r="D449" s="17"/>
      <c r="E449" s="17"/>
      <c r="F449" s="17"/>
      <c r="G449" s="21"/>
      <c r="H449" s="21"/>
      <c r="I449" s="21"/>
      <c r="J449" s="21"/>
      <c r="K449" s="22"/>
      <c r="L449" s="22"/>
      <c r="M449" s="22"/>
      <c r="N449" s="22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67"/>
      <c r="C450" s="17"/>
      <c r="D450" s="17"/>
      <c r="E450" s="17"/>
      <c r="F450" s="17"/>
      <c r="G450" s="21"/>
      <c r="H450" s="21"/>
      <c r="I450" s="21"/>
      <c r="J450" s="21"/>
      <c r="K450" s="22"/>
      <c r="L450" s="22"/>
      <c r="M450" s="22"/>
      <c r="N450" s="22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67"/>
      <c r="C451" s="17"/>
      <c r="D451" s="17"/>
      <c r="E451" s="17"/>
      <c r="F451" s="17"/>
      <c r="G451" s="21"/>
      <c r="H451" s="21"/>
      <c r="I451" s="21"/>
      <c r="J451" s="21"/>
      <c r="K451" s="22"/>
      <c r="L451" s="22"/>
      <c r="M451" s="22"/>
      <c r="N451" s="22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67"/>
      <c r="C452" s="17"/>
      <c r="D452" s="17"/>
      <c r="E452" s="17"/>
      <c r="F452" s="17"/>
      <c r="G452" s="21"/>
      <c r="H452" s="21"/>
      <c r="I452" s="21"/>
      <c r="J452" s="21"/>
      <c r="K452" s="22"/>
      <c r="L452" s="22"/>
      <c r="M452" s="22"/>
      <c r="N452" s="22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67"/>
      <c r="C453" s="17"/>
      <c r="D453" s="17"/>
      <c r="E453" s="17"/>
      <c r="F453" s="17"/>
      <c r="G453" s="21"/>
      <c r="H453" s="21"/>
      <c r="I453" s="21"/>
      <c r="J453" s="21"/>
      <c r="K453" s="22"/>
      <c r="L453" s="22"/>
      <c r="M453" s="22"/>
      <c r="N453" s="22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67"/>
      <c r="C454" s="17"/>
      <c r="D454" s="17"/>
      <c r="E454" s="17"/>
      <c r="F454" s="17"/>
      <c r="G454" s="21"/>
      <c r="H454" s="21"/>
      <c r="I454" s="21"/>
      <c r="J454" s="21"/>
      <c r="K454" s="22"/>
      <c r="L454" s="22"/>
      <c r="M454" s="22"/>
      <c r="N454" s="22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67"/>
      <c r="C455" s="17"/>
      <c r="D455" s="17"/>
      <c r="E455" s="17"/>
      <c r="F455" s="17"/>
      <c r="G455" s="21"/>
      <c r="H455" s="21"/>
      <c r="I455" s="21"/>
      <c r="J455" s="21"/>
      <c r="K455" s="22"/>
      <c r="L455" s="22"/>
      <c r="M455" s="22"/>
      <c r="N455" s="22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67"/>
      <c r="C456" s="17"/>
      <c r="D456" s="17"/>
      <c r="E456" s="17"/>
      <c r="F456" s="17"/>
      <c r="G456" s="21"/>
      <c r="H456" s="21"/>
      <c r="I456" s="21"/>
      <c r="J456" s="21"/>
      <c r="K456" s="22"/>
      <c r="L456" s="22"/>
      <c r="M456" s="22"/>
      <c r="N456" s="22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67"/>
      <c r="C457" s="17"/>
      <c r="D457" s="17"/>
      <c r="E457" s="17"/>
      <c r="F457" s="17"/>
      <c r="G457" s="21"/>
      <c r="H457" s="21"/>
      <c r="I457" s="21"/>
      <c r="J457" s="21"/>
      <c r="K457" s="22"/>
      <c r="L457" s="22"/>
      <c r="M457" s="22"/>
      <c r="N457" s="22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67"/>
      <c r="C458" s="17"/>
      <c r="D458" s="17"/>
      <c r="E458" s="17"/>
      <c r="F458" s="17"/>
      <c r="G458" s="21"/>
      <c r="H458" s="21"/>
      <c r="I458" s="21"/>
      <c r="J458" s="21"/>
      <c r="K458" s="22"/>
      <c r="L458" s="22"/>
      <c r="M458" s="22"/>
      <c r="N458" s="22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67"/>
      <c r="C459" s="17"/>
      <c r="D459" s="17"/>
      <c r="E459" s="17"/>
      <c r="F459" s="17"/>
      <c r="G459" s="21"/>
      <c r="H459" s="21"/>
      <c r="I459" s="21"/>
      <c r="J459" s="21"/>
      <c r="K459" s="22"/>
      <c r="L459" s="22"/>
      <c r="M459" s="22"/>
      <c r="N459" s="22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67"/>
      <c r="C460" s="17"/>
      <c r="D460" s="17"/>
      <c r="E460" s="17"/>
      <c r="F460" s="17"/>
      <c r="G460" s="21"/>
      <c r="H460" s="21"/>
      <c r="I460" s="21"/>
      <c r="J460" s="21"/>
      <c r="K460" s="22"/>
      <c r="L460" s="22"/>
      <c r="M460" s="22"/>
      <c r="N460" s="22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67"/>
      <c r="C461" s="17"/>
      <c r="D461" s="17"/>
      <c r="E461" s="17"/>
      <c r="F461" s="17"/>
      <c r="G461" s="21"/>
      <c r="H461" s="21"/>
      <c r="I461" s="21"/>
      <c r="J461" s="21"/>
      <c r="K461" s="22"/>
      <c r="L461" s="22"/>
      <c r="M461" s="22"/>
      <c r="N461" s="22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67"/>
      <c r="C462" s="17"/>
      <c r="D462" s="17"/>
      <c r="E462" s="17"/>
      <c r="F462" s="17"/>
      <c r="G462" s="21"/>
      <c r="H462" s="21"/>
      <c r="I462" s="21"/>
      <c r="J462" s="21"/>
      <c r="K462" s="22"/>
      <c r="L462" s="22"/>
      <c r="M462" s="22"/>
      <c r="N462" s="22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67"/>
      <c r="C463" s="17"/>
      <c r="D463" s="17"/>
      <c r="E463" s="17"/>
      <c r="F463" s="17"/>
      <c r="G463" s="21"/>
      <c r="H463" s="21"/>
      <c r="I463" s="21"/>
      <c r="J463" s="21"/>
      <c r="K463" s="22"/>
      <c r="L463" s="22"/>
      <c r="M463" s="22"/>
      <c r="N463" s="22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67"/>
      <c r="C464" s="17"/>
      <c r="D464" s="17"/>
      <c r="E464" s="17"/>
      <c r="F464" s="17"/>
      <c r="G464" s="21"/>
      <c r="H464" s="21"/>
      <c r="I464" s="21"/>
      <c r="J464" s="21"/>
      <c r="K464" s="22"/>
      <c r="L464" s="22"/>
      <c r="M464" s="22"/>
      <c r="N464" s="22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67"/>
      <c r="C465" s="17"/>
      <c r="D465" s="17"/>
      <c r="E465" s="17"/>
      <c r="F465" s="17"/>
      <c r="G465" s="21"/>
      <c r="H465" s="21"/>
      <c r="I465" s="21"/>
      <c r="J465" s="21"/>
      <c r="K465" s="22"/>
      <c r="L465" s="22"/>
      <c r="M465" s="22"/>
      <c r="N465" s="22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67"/>
      <c r="C466" s="17"/>
      <c r="D466" s="17"/>
      <c r="E466" s="17"/>
      <c r="F466" s="17"/>
      <c r="G466" s="21"/>
      <c r="H466" s="21"/>
      <c r="I466" s="21"/>
      <c r="J466" s="21"/>
      <c r="K466" s="22"/>
      <c r="L466" s="22"/>
      <c r="M466" s="22"/>
      <c r="N466" s="22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67"/>
      <c r="C467" s="17"/>
      <c r="D467" s="17"/>
      <c r="E467" s="17"/>
      <c r="F467" s="17"/>
      <c r="G467" s="21"/>
      <c r="H467" s="21"/>
      <c r="I467" s="21"/>
      <c r="J467" s="21"/>
      <c r="K467" s="22"/>
      <c r="L467" s="22"/>
      <c r="M467" s="22"/>
      <c r="N467" s="22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67"/>
      <c r="C468" s="17"/>
      <c r="D468" s="17"/>
      <c r="E468" s="17"/>
      <c r="F468" s="17"/>
      <c r="G468" s="21"/>
      <c r="H468" s="21"/>
      <c r="I468" s="21"/>
      <c r="J468" s="21"/>
      <c r="K468" s="22"/>
      <c r="L468" s="22"/>
      <c r="M468" s="22"/>
      <c r="N468" s="22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67"/>
      <c r="C469" s="17"/>
      <c r="D469" s="17"/>
      <c r="E469" s="17"/>
      <c r="F469" s="17"/>
      <c r="G469" s="21"/>
      <c r="H469" s="21"/>
      <c r="I469" s="21"/>
      <c r="J469" s="21"/>
      <c r="K469" s="22"/>
      <c r="L469" s="22"/>
      <c r="M469" s="22"/>
      <c r="N469" s="22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67"/>
      <c r="C470" s="17"/>
      <c r="D470" s="17"/>
      <c r="E470" s="17"/>
      <c r="F470" s="17"/>
      <c r="G470" s="21"/>
      <c r="H470" s="21"/>
      <c r="I470" s="21"/>
      <c r="J470" s="21"/>
      <c r="K470" s="22"/>
      <c r="L470" s="22"/>
      <c r="M470" s="22"/>
      <c r="N470" s="22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67"/>
      <c r="C471" s="17"/>
      <c r="D471" s="17"/>
      <c r="E471" s="17"/>
      <c r="F471" s="17"/>
      <c r="G471" s="21"/>
      <c r="H471" s="21"/>
      <c r="I471" s="21"/>
      <c r="J471" s="21"/>
      <c r="K471" s="22"/>
      <c r="L471" s="22"/>
      <c r="M471" s="22"/>
      <c r="N471" s="22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67"/>
      <c r="C472" s="17"/>
      <c r="D472" s="17"/>
      <c r="E472" s="17"/>
      <c r="F472" s="17"/>
      <c r="G472" s="21"/>
      <c r="H472" s="21"/>
      <c r="I472" s="21"/>
      <c r="J472" s="21"/>
      <c r="K472" s="22"/>
      <c r="L472" s="22"/>
      <c r="M472" s="22"/>
      <c r="N472" s="22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67"/>
      <c r="C473" s="17"/>
      <c r="D473" s="17"/>
      <c r="E473" s="17"/>
      <c r="F473" s="17"/>
      <c r="G473" s="21"/>
      <c r="H473" s="21"/>
      <c r="I473" s="21"/>
      <c r="J473" s="21"/>
      <c r="K473" s="22"/>
      <c r="L473" s="22"/>
      <c r="M473" s="22"/>
      <c r="N473" s="22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67"/>
      <c r="C474" s="17"/>
      <c r="D474" s="17"/>
      <c r="E474" s="17"/>
      <c r="F474" s="17"/>
      <c r="G474" s="21"/>
      <c r="H474" s="21"/>
      <c r="I474" s="21"/>
      <c r="J474" s="21"/>
      <c r="K474" s="22"/>
      <c r="L474" s="22"/>
      <c r="M474" s="22"/>
      <c r="N474" s="22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67"/>
      <c r="C475" s="17"/>
      <c r="D475" s="17"/>
      <c r="E475" s="17"/>
      <c r="F475" s="17"/>
      <c r="G475" s="21"/>
      <c r="H475" s="21"/>
      <c r="I475" s="21"/>
      <c r="J475" s="21"/>
      <c r="K475" s="22"/>
      <c r="L475" s="22"/>
      <c r="M475" s="22"/>
      <c r="N475" s="22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67"/>
      <c r="C476" s="17"/>
      <c r="D476" s="17"/>
      <c r="E476" s="17"/>
      <c r="F476" s="17"/>
      <c r="G476" s="21"/>
      <c r="H476" s="21"/>
      <c r="I476" s="21"/>
      <c r="J476" s="21"/>
      <c r="K476" s="22"/>
      <c r="L476" s="22"/>
      <c r="M476" s="22"/>
      <c r="N476" s="22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67"/>
      <c r="C477" s="17"/>
      <c r="D477" s="17"/>
      <c r="E477" s="17"/>
      <c r="F477" s="17"/>
      <c r="G477" s="21"/>
      <c r="H477" s="21"/>
      <c r="I477" s="21"/>
      <c r="J477" s="21"/>
      <c r="K477" s="22"/>
      <c r="L477" s="22"/>
      <c r="M477" s="22"/>
      <c r="N477" s="22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67"/>
      <c r="C478" s="17"/>
      <c r="D478" s="17"/>
      <c r="E478" s="17"/>
      <c r="F478" s="17"/>
      <c r="G478" s="21"/>
      <c r="H478" s="21"/>
      <c r="I478" s="21"/>
      <c r="J478" s="21"/>
      <c r="K478" s="22"/>
      <c r="L478" s="22"/>
      <c r="M478" s="22"/>
      <c r="N478" s="22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67"/>
      <c r="C479" s="17"/>
      <c r="D479" s="17"/>
      <c r="E479" s="17"/>
      <c r="F479" s="17"/>
      <c r="G479" s="21"/>
      <c r="H479" s="21"/>
      <c r="I479" s="21"/>
      <c r="J479" s="21"/>
      <c r="K479" s="22"/>
      <c r="L479" s="22"/>
      <c r="M479" s="22"/>
      <c r="N479" s="22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67"/>
      <c r="C480" s="17"/>
      <c r="D480" s="17"/>
      <c r="E480" s="17"/>
      <c r="F480" s="17"/>
      <c r="G480" s="21"/>
      <c r="H480" s="21"/>
      <c r="I480" s="21"/>
      <c r="J480" s="21"/>
      <c r="K480" s="22"/>
      <c r="L480" s="22"/>
      <c r="M480" s="22"/>
      <c r="N480" s="22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67"/>
      <c r="C481" s="17"/>
      <c r="D481" s="17"/>
      <c r="E481" s="17"/>
      <c r="F481" s="17"/>
      <c r="G481" s="21"/>
      <c r="H481" s="21"/>
      <c r="I481" s="21"/>
      <c r="J481" s="21"/>
      <c r="K481" s="22"/>
      <c r="L481" s="22"/>
      <c r="M481" s="22"/>
      <c r="N481" s="22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67"/>
      <c r="C482" s="17"/>
      <c r="D482" s="17"/>
      <c r="E482" s="17"/>
      <c r="F482" s="17"/>
      <c r="G482" s="21"/>
      <c r="H482" s="21"/>
      <c r="I482" s="21"/>
      <c r="J482" s="21"/>
      <c r="K482" s="22"/>
      <c r="L482" s="22"/>
      <c r="M482" s="22"/>
      <c r="N482" s="22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67"/>
      <c r="C483" s="17"/>
      <c r="D483" s="17"/>
      <c r="E483" s="17"/>
      <c r="F483" s="17"/>
      <c r="G483" s="21"/>
      <c r="H483" s="21"/>
      <c r="I483" s="21"/>
      <c r="J483" s="21"/>
      <c r="K483" s="22"/>
      <c r="L483" s="22"/>
      <c r="M483" s="22"/>
      <c r="N483" s="22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67"/>
      <c r="C484" s="17"/>
      <c r="D484" s="17"/>
      <c r="E484" s="17"/>
      <c r="F484" s="17"/>
      <c r="G484" s="21"/>
      <c r="H484" s="21"/>
      <c r="I484" s="21"/>
      <c r="J484" s="21"/>
      <c r="K484" s="22"/>
      <c r="L484" s="22"/>
      <c r="M484" s="22"/>
      <c r="N484" s="22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67"/>
      <c r="C485" s="17"/>
      <c r="D485" s="17"/>
      <c r="E485" s="17"/>
      <c r="F485" s="17"/>
      <c r="G485" s="21"/>
      <c r="H485" s="21"/>
      <c r="I485" s="21"/>
      <c r="J485" s="21"/>
      <c r="K485" s="22"/>
      <c r="L485" s="22"/>
      <c r="M485" s="22"/>
      <c r="N485" s="22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67"/>
      <c r="C486" s="17"/>
      <c r="D486" s="17"/>
      <c r="E486" s="17"/>
      <c r="F486" s="17"/>
      <c r="G486" s="21"/>
      <c r="H486" s="21"/>
      <c r="I486" s="21"/>
      <c r="J486" s="21"/>
      <c r="K486" s="22"/>
      <c r="L486" s="22"/>
      <c r="M486" s="22"/>
      <c r="N486" s="22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67"/>
      <c r="C487" s="17"/>
      <c r="D487" s="17"/>
      <c r="E487" s="17"/>
      <c r="F487" s="17"/>
      <c r="G487" s="21"/>
      <c r="H487" s="21"/>
      <c r="I487" s="21"/>
      <c r="J487" s="21"/>
      <c r="K487" s="22"/>
      <c r="L487" s="22"/>
      <c r="M487" s="22"/>
      <c r="N487" s="22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67"/>
      <c r="C488" s="17"/>
      <c r="D488" s="17"/>
      <c r="E488" s="17"/>
      <c r="F488" s="17"/>
      <c r="G488" s="21"/>
      <c r="H488" s="21"/>
      <c r="I488" s="21"/>
      <c r="J488" s="21"/>
      <c r="K488" s="22"/>
      <c r="L488" s="22"/>
      <c r="M488" s="22"/>
      <c r="N488" s="22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67"/>
      <c r="C489" s="17"/>
      <c r="D489" s="17"/>
      <c r="E489" s="17"/>
      <c r="F489" s="17"/>
      <c r="G489" s="21"/>
      <c r="H489" s="21"/>
      <c r="I489" s="21"/>
      <c r="J489" s="21"/>
      <c r="K489" s="22"/>
      <c r="L489" s="22"/>
      <c r="M489" s="22"/>
      <c r="N489" s="22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67"/>
      <c r="C490" s="17"/>
      <c r="D490" s="17"/>
      <c r="E490" s="17"/>
      <c r="F490" s="17"/>
      <c r="G490" s="21"/>
      <c r="H490" s="21"/>
      <c r="I490" s="21"/>
      <c r="J490" s="21"/>
      <c r="K490" s="22"/>
      <c r="L490" s="22"/>
      <c r="M490" s="22"/>
      <c r="N490" s="22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67"/>
      <c r="C491" s="17"/>
      <c r="D491" s="17"/>
      <c r="E491" s="17"/>
      <c r="F491" s="17"/>
      <c r="G491" s="21"/>
      <c r="H491" s="21"/>
      <c r="I491" s="21"/>
      <c r="J491" s="21"/>
      <c r="K491" s="22"/>
      <c r="L491" s="22"/>
      <c r="M491" s="22"/>
      <c r="N491" s="22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67"/>
      <c r="C492" s="17"/>
      <c r="D492" s="17"/>
      <c r="E492" s="17"/>
      <c r="F492" s="17"/>
      <c r="G492" s="21"/>
      <c r="H492" s="21"/>
      <c r="I492" s="21"/>
      <c r="J492" s="21"/>
      <c r="K492" s="22"/>
      <c r="L492" s="22"/>
      <c r="M492" s="22"/>
      <c r="N492" s="22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67"/>
      <c r="C493" s="17"/>
      <c r="D493" s="17"/>
      <c r="E493" s="17"/>
      <c r="F493" s="17"/>
      <c r="G493" s="21"/>
      <c r="H493" s="21"/>
      <c r="I493" s="21"/>
      <c r="J493" s="21"/>
      <c r="K493" s="22"/>
      <c r="L493" s="22"/>
      <c r="M493" s="22"/>
      <c r="N493" s="22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67"/>
      <c r="C494" s="17"/>
      <c r="D494" s="17"/>
      <c r="E494" s="17"/>
      <c r="F494" s="17"/>
      <c r="G494" s="21"/>
      <c r="H494" s="21"/>
      <c r="I494" s="21"/>
      <c r="J494" s="21"/>
      <c r="K494" s="22"/>
      <c r="L494" s="22"/>
      <c r="M494" s="22"/>
      <c r="N494" s="22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67"/>
      <c r="C495" s="17"/>
      <c r="D495" s="17"/>
      <c r="E495" s="17"/>
      <c r="F495" s="17"/>
      <c r="G495" s="21"/>
      <c r="H495" s="21"/>
      <c r="I495" s="21"/>
      <c r="J495" s="21"/>
      <c r="K495" s="22"/>
      <c r="L495" s="22"/>
      <c r="M495" s="22"/>
      <c r="N495" s="22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67"/>
      <c r="C496" s="17"/>
      <c r="D496" s="17"/>
      <c r="E496" s="17"/>
      <c r="F496" s="17"/>
      <c r="G496" s="21"/>
      <c r="H496" s="21"/>
      <c r="I496" s="21"/>
      <c r="J496" s="21"/>
      <c r="K496" s="22"/>
      <c r="L496" s="22"/>
      <c r="M496" s="22"/>
      <c r="N496" s="22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67"/>
      <c r="C497" s="17"/>
      <c r="D497" s="17"/>
      <c r="E497" s="17"/>
      <c r="F497" s="17"/>
      <c r="G497" s="21"/>
      <c r="H497" s="21"/>
      <c r="I497" s="21"/>
      <c r="J497" s="21"/>
      <c r="K497" s="22"/>
      <c r="L497" s="22"/>
      <c r="M497" s="22"/>
      <c r="N497" s="22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67"/>
      <c r="C498" s="17"/>
      <c r="D498" s="17"/>
      <c r="E498" s="17"/>
      <c r="F498" s="17"/>
      <c r="G498" s="21"/>
      <c r="H498" s="21"/>
      <c r="I498" s="21"/>
      <c r="J498" s="21"/>
      <c r="K498" s="22"/>
      <c r="L498" s="22"/>
      <c r="M498" s="22"/>
      <c r="N498" s="22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67"/>
      <c r="C499" s="17"/>
      <c r="D499" s="17"/>
      <c r="E499" s="17"/>
      <c r="F499" s="17"/>
      <c r="G499" s="21"/>
      <c r="H499" s="21"/>
      <c r="I499" s="21"/>
      <c r="J499" s="21"/>
      <c r="K499" s="22"/>
      <c r="L499" s="22"/>
      <c r="M499" s="22"/>
      <c r="N499" s="22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67"/>
      <c r="C500" s="17"/>
      <c r="D500" s="17"/>
      <c r="E500" s="17"/>
      <c r="F500" s="17"/>
      <c r="G500" s="21"/>
      <c r="H500" s="21"/>
      <c r="I500" s="21"/>
      <c r="J500" s="21"/>
      <c r="K500" s="22"/>
      <c r="L500" s="22"/>
      <c r="M500" s="22"/>
      <c r="N500" s="22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67"/>
      <c r="C501" s="17"/>
      <c r="D501" s="17"/>
      <c r="E501" s="17"/>
      <c r="F501" s="17"/>
      <c r="G501" s="21"/>
      <c r="H501" s="21"/>
      <c r="I501" s="21"/>
      <c r="J501" s="21"/>
      <c r="K501" s="22"/>
      <c r="L501" s="22"/>
      <c r="M501" s="22"/>
      <c r="N501" s="22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67"/>
      <c r="C502" s="17"/>
      <c r="D502" s="17"/>
      <c r="E502" s="17"/>
      <c r="F502" s="17"/>
      <c r="G502" s="21"/>
      <c r="H502" s="21"/>
      <c r="I502" s="21"/>
      <c r="J502" s="21"/>
      <c r="K502" s="22"/>
      <c r="L502" s="22"/>
      <c r="M502" s="22"/>
      <c r="N502" s="22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67"/>
      <c r="C503" s="17"/>
      <c r="D503" s="17"/>
      <c r="E503" s="17"/>
      <c r="F503" s="17"/>
      <c r="G503" s="21"/>
      <c r="H503" s="21"/>
      <c r="I503" s="21"/>
      <c r="J503" s="21"/>
      <c r="K503" s="22"/>
      <c r="L503" s="22"/>
      <c r="M503" s="22"/>
      <c r="N503" s="22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67"/>
      <c r="C504" s="17"/>
      <c r="D504" s="17"/>
      <c r="E504" s="17"/>
      <c r="F504" s="17"/>
      <c r="G504" s="21"/>
      <c r="H504" s="21"/>
      <c r="I504" s="21"/>
      <c r="J504" s="21"/>
      <c r="K504" s="22"/>
      <c r="L504" s="22"/>
      <c r="M504" s="22"/>
      <c r="N504" s="22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67"/>
      <c r="C505" s="17"/>
      <c r="D505" s="17"/>
      <c r="E505" s="17"/>
      <c r="F505" s="17"/>
      <c r="G505" s="21"/>
      <c r="H505" s="21"/>
      <c r="I505" s="21"/>
      <c r="J505" s="21"/>
      <c r="K505" s="22"/>
      <c r="L505" s="22"/>
      <c r="M505" s="22"/>
      <c r="N505" s="22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67"/>
      <c r="C506" s="17"/>
      <c r="D506" s="17"/>
      <c r="E506" s="17"/>
      <c r="F506" s="17"/>
      <c r="G506" s="21"/>
      <c r="H506" s="21"/>
      <c r="I506" s="21"/>
      <c r="J506" s="21"/>
      <c r="K506" s="22"/>
      <c r="L506" s="22"/>
      <c r="M506" s="22"/>
      <c r="N506" s="22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67"/>
      <c r="C507" s="17"/>
      <c r="D507" s="17"/>
      <c r="E507" s="17"/>
      <c r="F507" s="17"/>
      <c r="G507" s="21"/>
      <c r="H507" s="21"/>
      <c r="I507" s="21"/>
      <c r="J507" s="21"/>
      <c r="K507" s="22"/>
      <c r="L507" s="22"/>
      <c r="M507" s="22"/>
      <c r="N507" s="22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67"/>
      <c r="C508" s="17"/>
      <c r="D508" s="17"/>
      <c r="E508" s="17"/>
      <c r="F508" s="17"/>
      <c r="G508" s="21"/>
      <c r="H508" s="21"/>
      <c r="I508" s="21"/>
      <c r="J508" s="21"/>
      <c r="K508" s="22"/>
      <c r="L508" s="22"/>
      <c r="M508" s="22"/>
      <c r="N508" s="22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67"/>
      <c r="C509" s="17"/>
      <c r="D509" s="17"/>
      <c r="E509" s="17"/>
      <c r="F509" s="17"/>
      <c r="G509" s="21"/>
      <c r="H509" s="21"/>
      <c r="I509" s="21"/>
      <c r="J509" s="21"/>
      <c r="K509" s="22"/>
      <c r="L509" s="22"/>
      <c r="M509" s="22"/>
      <c r="N509" s="22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67"/>
      <c r="C510" s="17"/>
      <c r="D510" s="17"/>
      <c r="E510" s="17"/>
      <c r="F510" s="17"/>
      <c r="G510" s="21"/>
      <c r="H510" s="21"/>
      <c r="I510" s="21"/>
      <c r="J510" s="21"/>
      <c r="K510" s="22"/>
      <c r="L510" s="22"/>
      <c r="M510" s="22"/>
      <c r="N510" s="22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67"/>
      <c r="C511" s="17"/>
      <c r="D511" s="17"/>
      <c r="E511" s="17"/>
      <c r="F511" s="17"/>
      <c r="G511" s="21"/>
      <c r="H511" s="21"/>
      <c r="I511" s="21"/>
      <c r="J511" s="21"/>
      <c r="K511" s="22"/>
      <c r="L511" s="22"/>
      <c r="M511" s="22"/>
      <c r="N511" s="22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67"/>
      <c r="C512" s="17"/>
      <c r="D512" s="17"/>
      <c r="E512" s="17"/>
      <c r="F512" s="17"/>
      <c r="G512" s="21"/>
      <c r="H512" s="21"/>
      <c r="I512" s="21"/>
      <c r="J512" s="21"/>
      <c r="K512" s="22"/>
      <c r="L512" s="22"/>
      <c r="M512" s="22"/>
      <c r="N512" s="22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67"/>
      <c r="C513" s="17"/>
      <c r="D513" s="17"/>
      <c r="E513" s="17"/>
      <c r="F513" s="17"/>
      <c r="G513" s="21"/>
      <c r="H513" s="21"/>
      <c r="I513" s="21"/>
      <c r="J513" s="21"/>
      <c r="K513" s="22"/>
      <c r="L513" s="22"/>
      <c r="M513" s="22"/>
      <c r="N513" s="22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67"/>
      <c r="C514" s="17"/>
      <c r="D514" s="17"/>
      <c r="E514" s="17"/>
      <c r="F514" s="17"/>
      <c r="G514" s="21"/>
      <c r="H514" s="21"/>
      <c r="I514" s="21"/>
      <c r="J514" s="21"/>
      <c r="K514" s="22"/>
      <c r="L514" s="22"/>
      <c r="M514" s="22"/>
      <c r="N514" s="22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67"/>
      <c r="C515" s="17"/>
      <c r="D515" s="17"/>
      <c r="E515" s="17"/>
      <c r="F515" s="17"/>
      <c r="G515" s="21"/>
      <c r="H515" s="21"/>
      <c r="I515" s="21"/>
      <c r="J515" s="21"/>
      <c r="K515" s="22"/>
      <c r="L515" s="22"/>
      <c r="M515" s="22"/>
      <c r="N515" s="22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67"/>
      <c r="C516" s="17"/>
      <c r="D516" s="17"/>
      <c r="E516" s="17"/>
      <c r="F516" s="17"/>
      <c r="G516" s="21"/>
      <c r="H516" s="21"/>
      <c r="I516" s="21"/>
      <c r="J516" s="21"/>
      <c r="K516" s="22"/>
      <c r="L516" s="22"/>
      <c r="M516" s="22"/>
      <c r="N516" s="22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67"/>
      <c r="C517" s="17"/>
      <c r="D517" s="17"/>
      <c r="E517" s="17"/>
      <c r="F517" s="17"/>
      <c r="G517" s="21"/>
      <c r="H517" s="21"/>
      <c r="I517" s="21"/>
      <c r="J517" s="21"/>
      <c r="K517" s="22"/>
      <c r="L517" s="22"/>
      <c r="M517" s="22"/>
      <c r="N517" s="22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67"/>
      <c r="C518" s="17"/>
      <c r="D518" s="17"/>
      <c r="E518" s="17"/>
      <c r="F518" s="17"/>
      <c r="G518" s="21"/>
      <c r="H518" s="21"/>
      <c r="I518" s="21"/>
      <c r="J518" s="21"/>
      <c r="K518" s="22"/>
      <c r="L518" s="22"/>
      <c r="M518" s="22"/>
      <c r="N518" s="22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67"/>
      <c r="C519" s="17"/>
      <c r="D519" s="17"/>
      <c r="E519" s="17"/>
      <c r="F519" s="17"/>
      <c r="G519" s="21"/>
      <c r="H519" s="21"/>
      <c r="I519" s="21"/>
      <c r="J519" s="21"/>
      <c r="K519" s="22"/>
      <c r="L519" s="22"/>
      <c r="M519" s="22"/>
      <c r="N519" s="22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67"/>
      <c r="C520" s="17"/>
      <c r="D520" s="17"/>
      <c r="E520" s="17"/>
      <c r="F520" s="17"/>
      <c r="G520" s="21"/>
      <c r="H520" s="21"/>
      <c r="I520" s="21"/>
      <c r="J520" s="21"/>
      <c r="K520" s="22"/>
      <c r="L520" s="22"/>
      <c r="M520" s="22"/>
      <c r="N520" s="22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67"/>
      <c r="C521" s="17"/>
      <c r="D521" s="17"/>
      <c r="E521" s="17"/>
      <c r="F521" s="17"/>
      <c r="G521" s="21"/>
      <c r="H521" s="21"/>
      <c r="I521" s="21"/>
      <c r="J521" s="21"/>
      <c r="K521" s="22"/>
      <c r="L521" s="22"/>
      <c r="M521" s="22"/>
      <c r="N521" s="22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67"/>
      <c r="C522" s="17"/>
      <c r="D522" s="17"/>
      <c r="E522" s="17"/>
      <c r="F522" s="17"/>
      <c r="G522" s="21"/>
      <c r="H522" s="21"/>
      <c r="I522" s="21"/>
      <c r="J522" s="21"/>
      <c r="K522" s="22"/>
      <c r="L522" s="22"/>
      <c r="M522" s="22"/>
      <c r="N522" s="22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67"/>
      <c r="C523" s="17"/>
      <c r="D523" s="17"/>
      <c r="E523" s="17"/>
      <c r="F523" s="17"/>
      <c r="G523" s="21"/>
      <c r="H523" s="21"/>
      <c r="I523" s="21"/>
      <c r="J523" s="21"/>
      <c r="K523" s="22"/>
      <c r="L523" s="22"/>
      <c r="M523" s="22"/>
      <c r="N523" s="22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67"/>
      <c r="C524" s="17"/>
      <c r="D524" s="17"/>
      <c r="E524" s="17"/>
      <c r="F524" s="17"/>
      <c r="G524" s="21"/>
      <c r="H524" s="21"/>
      <c r="I524" s="21"/>
      <c r="J524" s="21"/>
      <c r="K524" s="22"/>
      <c r="L524" s="22"/>
      <c r="M524" s="22"/>
      <c r="N524" s="22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67"/>
      <c r="C525" s="17"/>
      <c r="D525" s="17"/>
      <c r="E525" s="17"/>
      <c r="F525" s="17"/>
      <c r="G525" s="21"/>
      <c r="H525" s="21"/>
      <c r="I525" s="21"/>
      <c r="J525" s="21"/>
      <c r="K525" s="22"/>
      <c r="L525" s="22"/>
      <c r="M525" s="22"/>
      <c r="N525" s="22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67"/>
      <c r="C526" s="17"/>
      <c r="D526" s="17"/>
      <c r="E526" s="17"/>
      <c r="F526" s="17"/>
      <c r="G526" s="21"/>
      <c r="H526" s="21"/>
      <c r="I526" s="21"/>
      <c r="J526" s="21"/>
      <c r="K526" s="22"/>
      <c r="L526" s="22"/>
      <c r="M526" s="22"/>
      <c r="N526" s="22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67"/>
      <c r="C527" s="17"/>
      <c r="D527" s="17"/>
      <c r="E527" s="17"/>
      <c r="F527" s="17"/>
      <c r="G527" s="21"/>
      <c r="H527" s="21"/>
      <c r="I527" s="21"/>
      <c r="J527" s="21"/>
      <c r="K527" s="22"/>
      <c r="L527" s="22"/>
      <c r="M527" s="22"/>
      <c r="N527" s="22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67"/>
      <c r="C528" s="17"/>
      <c r="D528" s="17"/>
      <c r="E528" s="17"/>
      <c r="F528" s="17"/>
      <c r="G528" s="21"/>
      <c r="H528" s="21"/>
      <c r="I528" s="21"/>
      <c r="J528" s="21"/>
      <c r="K528" s="22"/>
      <c r="L528" s="22"/>
      <c r="M528" s="22"/>
      <c r="N528" s="22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67"/>
      <c r="C529" s="17"/>
      <c r="D529" s="17"/>
      <c r="E529" s="17"/>
      <c r="F529" s="17"/>
      <c r="G529" s="21"/>
      <c r="H529" s="21"/>
      <c r="I529" s="21"/>
      <c r="J529" s="21"/>
      <c r="K529" s="22"/>
      <c r="L529" s="22"/>
      <c r="M529" s="22"/>
      <c r="N529" s="22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67"/>
      <c r="C530" s="17"/>
      <c r="D530" s="17"/>
      <c r="E530" s="17"/>
      <c r="F530" s="17"/>
      <c r="G530" s="21"/>
      <c r="H530" s="21"/>
      <c r="I530" s="21"/>
      <c r="J530" s="21"/>
      <c r="K530" s="22"/>
      <c r="L530" s="22"/>
      <c r="M530" s="22"/>
      <c r="N530" s="22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67"/>
      <c r="C531" s="17"/>
      <c r="D531" s="17"/>
      <c r="E531" s="17"/>
      <c r="F531" s="17"/>
      <c r="G531" s="21"/>
      <c r="H531" s="21"/>
      <c r="I531" s="21"/>
      <c r="J531" s="21"/>
      <c r="K531" s="22"/>
      <c r="L531" s="22"/>
      <c r="M531" s="22"/>
      <c r="N531" s="22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67"/>
      <c r="C532" s="17"/>
      <c r="D532" s="17"/>
      <c r="E532" s="17"/>
      <c r="F532" s="17"/>
      <c r="G532" s="21"/>
      <c r="H532" s="21"/>
      <c r="I532" s="21"/>
      <c r="J532" s="21"/>
      <c r="K532" s="22"/>
      <c r="L532" s="22"/>
      <c r="M532" s="22"/>
      <c r="N532" s="22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67"/>
      <c r="C533" s="17"/>
      <c r="D533" s="17"/>
      <c r="E533" s="17"/>
      <c r="F533" s="17"/>
      <c r="G533" s="21"/>
      <c r="H533" s="21"/>
      <c r="I533" s="21"/>
      <c r="J533" s="21"/>
      <c r="K533" s="22"/>
      <c r="L533" s="22"/>
      <c r="M533" s="22"/>
      <c r="N533" s="22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67"/>
      <c r="C534" s="17"/>
      <c r="D534" s="17"/>
      <c r="E534" s="17"/>
      <c r="F534" s="17"/>
      <c r="G534" s="21"/>
      <c r="H534" s="21"/>
      <c r="I534" s="21"/>
      <c r="J534" s="21"/>
      <c r="K534" s="22"/>
      <c r="L534" s="22"/>
      <c r="M534" s="22"/>
      <c r="N534" s="22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67"/>
      <c r="C535" s="17"/>
      <c r="D535" s="17"/>
      <c r="E535" s="17"/>
      <c r="F535" s="17"/>
      <c r="G535" s="21"/>
      <c r="H535" s="21"/>
      <c r="I535" s="21"/>
      <c r="J535" s="21"/>
      <c r="K535" s="22"/>
      <c r="L535" s="22"/>
      <c r="M535" s="22"/>
      <c r="N535" s="22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67"/>
      <c r="C536" s="17"/>
      <c r="D536" s="17"/>
      <c r="E536" s="17"/>
      <c r="F536" s="17"/>
      <c r="G536" s="21"/>
      <c r="H536" s="21"/>
      <c r="I536" s="21"/>
      <c r="J536" s="21"/>
      <c r="K536" s="22"/>
      <c r="L536" s="22"/>
      <c r="M536" s="22"/>
      <c r="N536" s="22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67"/>
      <c r="C537" s="17"/>
      <c r="D537" s="17"/>
      <c r="E537" s="17"/>
      <c r="F537" s="17"/>
      <c r="G537" s="21"/>
      <c r="H537" s="21"/>
      <c r="I537" s="21"/>
      <c r="J537" s="21"/>
      <c r="K537" s="22"/>
      <c r="L537" s="22"/>
      <c r="M537" s="22"/>
      <c r="N537" s="22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67"/>
      <c r="C538" s="17"/>
      <c r="D538" s="17"/>
      <c r="E538" s="17"/>
      <c r="F538" s="17"/>
      <c r="G538" s="21"/>
      <c r="H538" s="21"/>
      <c r="I538" s="21"/>
      <c r="J538" s="21"/>
      <c r="K538" s="22"/>
      <c r="L538" s="22"/>
      <c r="M538" s="22"/>
      <c r="N538" s="22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67"/>
      <c r="C539" s="17"/>
      <c r="D539" s="17"/>
      <c r="E539" s="17"/>
      <c r="F539" s="17"/>
      <c r="G539" s="21"/>
      <c r="H539" s="21"/>
      <c r="I539" s="21"/>
      <c r="J539" s="21"/>
      <c r="K539" s="22"/>
      <c r="L539" s="22"/>
      <c r="M539" s="22"/>
      <c r="N539" s="22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67"/>
      <c r="C540" s="17"/>
      <c r="D540" s="17"/>
      <c r="E540" s="17"/>
      <c r="F540" s="17"/>
      <c r="G540" s="21"/>
      <c r="H540" s="21"/>
      <c r="I540" s="21"/>
      <c r="J540" s="21"/>
      <c r="K540" s="22"/>
      <c r="L540" s="22"/>
      <c r="M540" s="22"/>
      <c r="N540" s="22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67"/>
      <c r="C541" s="17"/>
      <c r="D541" s="17"/>
      <c r="E541" s="17"/>
      <c r="F541" s="17"/>
      <c r="G541" s="21"/>
      <c r="H541" s="21"/>
      <c r="I541" s="21"/>
      <c r="J541" s="21"/>
      <c r="K541" s="22"/>
      <c r="L541" s="22"/>
      <c r="M541" s="22"/>
      <c r="N541" s="22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67"/>
      <c r="C542" s="17"/>
      <c r="D542" s="17"/>
      <c r="E542" s="17"/>
      <c r="F542" s="17"/>
      <c r="G542" s="21"/>
      <c r="H542" s="21"/>
      <c r="I542" s="21"/>
      <c r="J542" s="21"/>
      <c r="K542" s="22"/>
      <c r="L542" s="22"/>
      <c r="M542" s="22"/>
      <c r="N542" s="22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67"/>
      <c r="C543" s="17"/>
      <c r="D543" s="17"/>
      <c r="E543" s="17"/>
      <c r="F543" s="17"/>
      <c r="G543" s="21"/>
      <c r="H543" s="21"/>
      <c r="I543" s="21"/>
      <c r="J543" s="21"/>
      <c r="K543" s="22"/>
      <c r="L543" s="22"/>
      <c r="M543" s="22"/>
      <c r="N543" s="22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67"/>
      <c r="C544" s="17"/>
      <c r="D544" s="17"/>
      <c r="E544" s="17"/>
      <c r="F544" s="17"/>
      <c r="G544" s="21"/>
      <c r="H544" s="21"/>
      <c r="I544" s="21"/>
      <c r="J544" s="21"/>
      <c r="K544" s="22"/>
      <c r="L544" s="22"/>
      <c r="M544" s="22"/>
      <c r="N544" s="22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67"/>
      <c r="C545" s="17"/>
      <c r="D545" s="17"/>
      <c r="E545" s="17"/>
      <c r="F545" s="17"/>
      <c r="G545" s="21"/>
      <c r="H545" s="21"/>
      <c r="I545" s="21"/>
      <c r="J545" s="21"/>
      <c r="K545" s="22"/>
      <c r="L545" s="22"/>
      <c r="M545" s="22"/>
      <c r="N545" s="22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67"/>
      <c r="C546" s="17"/>
      <c r="D546" s="17"/>
      <c r="E546" s="17"/>
      <c r="F546" s="17"/>
      <c r="G546" s="21"/>
      <c r="H546" s="21"/>
      <c r="I546" s="21"/>
      <c r="J546" s="21"/>
      <c r="K546" s="22"/>
      <c r="L546" s="22"/>
      <c r="M546" s="22"/>
      <c r="N546" s="22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67"/>
      <c r="C547" s="17"/>
      <c r="D547" s="17"/>
      <c r="E547" s="17"/>
      <c r="F547" s="17"/>
      <c r="G547" s="21"/>
      <c r="H547" s="21"/>
      <c r="I547" s="21"/>
      <c r="J547" s="21"/>
      <c r="K547" s="22"/>
      <c r="L547" s="22"/>
      <c r="M547" s="22"/>
      <c r="N547" s="22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67"/>
      <c r="C548" s="17"/>
      <c r="D548" s="17"/>
      <c r="E548" s="17"/>
      <c r="F548" s="17"/>
      <c r="G548" s="21"/>
      <c r="H548" s="21"/>
      <c r="I548" s="21"/>
      <c r="J548" s="21"/>
      <c r="K548" s="22"/>
      <c r="L548" s="22"/>
      <c r="M548" s="22"/>
      <c r="N548" s="22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67"/>
      <c r="C549" s="17"/>
      <c r="D549" s="17"/>
      <c r="E549" s="17"/>
      <c r="F549" s="17"/>
      <c r="G549" s="21"/>
      <c r="H549" s="21"/>
      <c r="I549" s="21"/>
      <c r="J549" s="21"/>
      <c r="K549" s="22"/>
      <c r="L549" s="22"/>
      <c r="M549" s="22"/>
      <c r="N549" s="22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67"/>
      <c r="C550" s="17"/>
      <c r="D550" s="17"/>
      <c r="E550" s="17"/>
      <c r="F550" s="17"/>
      <c r="G550" s="21"/>
      <c r="H550" s="21"/>
      <c r="I550" s="21"/>
      <c r="J550" s="21"/>
      <c r="K550" s="22"/>
      <c r="L550" s="22"/>
      <c r="M550" s="22"/>
      <c r="N550" s="22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67"/>
      <c r="C551" s="17"/>
      <c r="D551" s="17"/>
      <c r="E551" s="17"/>
      <c r="F551" s="17"/>
      <c r="G551" s="21"/>
      <c r="H551" s="21"/>
      <c r="I551" s="21"/>
      <c r="J551" s="21"/>
      <c r="K551" s="22"/>
      <c r="L551" s="22"/>
      <c r="M551" s="22"/>
      <c r="N551" s="22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67"/>
      <c r="C552" s="17"/>
      <c r="D552" s="17"/>
      <c r="E552" s="17"/>
      <c r="F552" s="17"/>
      <c r="G552" s="21"/>
      <c r="H552" s="21"/>
      <c r="I552" s="21"/>
      <c r="J552" s="21"/>
      <c r="K552" s="22"/>
      <c r="L552" s="22"/>
      <c r="M552" s="22"/>
      <c r="N552" s="22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67"/>
      <c r="C553" s="17"/>
      <c r="D553" s="17"/>
      <c r="E553" s="17"/>
      <c r="F553" s="17"/>
      <c r="G553" s="21"/>
      <c r="H553" s="21"/>
      <c r="I553" s="21"/>
      <c r="J553" s="21"/>
      <c r="K553" s="22"/>
      <c r="L553" s="22"/>
      <c r="M553" s="22"/>
      <c r="N553" s="22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67"/>
      <c r="C554" s="17"/>
      <c r="D554" s="17"/>
      <c r="E554" s="17"/>
      <c r="F554" s="17"/>
      <c r="G554" s="21"/>
      <c r="H554" s="21"/>
      <c r="I554" s="21"/>
      <c r="J554" s="21"/>
      <c r="K554" s="22"/>
      <c r="L554" s="22"/>
      <c r="M554" s="22"/>
      <c r="N554" s="22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67"/>
      <c r="C555" s="17"/>
      <c r="D555" s="17"/>
      <c r="E555" s="17"/>
      <c r="F555" s="17"/>
      <c r="G555" s="21"/>
      <c r="H555" s="21"/>
      <c r="I555" s="21"/>
      <c r="J555" s="21"/>
      <c r="K555" s="22"/>
      <c r="L555" s="22"/>
      <c r="M555" s="22"/>
      <c r="N555" s="22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67"/>
      <c r="C556" s="17"/>
      <c r="D556" s="17"/>
      <c r="E556" s="17"/>
      <c r="F556" s="17"/>
      <c r="G556" s="21"/>
      <c r="H556" s="21"/>
      <c r="I556" s="21"/>
      <c r="J556" s="21"/>
      <c r="K556" s="22"/>
      <c r="L556" s="22"/>
      <c r="M556" s="22"/>
      <c r="N556" s="22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67"/>
      <c r="C557" s="17"/>
      <c r="D557" s="17"/>
      <c r="E557" s="17"/>
      <c r="F557" s="17"/>
      <c r="G557" s="21"/>
      <c r="H557" s="21"/>
      <c r="I557" s="21"/>
      <c r="J557" s="21"/>
      <c r="K557" s="22"/>
      <c r="L557" s="22"/>
      <c r="M557" s="22"/>
      <c r="N557" s="22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67"/>
      <c r="C558" s="17"/>
      <c r="D558" s="17"/>
      <c r="E558" s="17"/>
      <c r="F558" s="17"/>
      <c r="G558" s="21"/>
      <c r="H558" s="21"/>
      <c r="I558" s="21"/>
      <c r="J558" s="21"/>
      <c r="K558" s="22"/>
      <c r="L558" s="22"/>
      <c r="M558" s="22"/>
      <c r="N558" s="22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67"/>
      <c r="C559" s="17"/>
      <c r="D559" s="17"/>
      <c r="E559" s="17"/>
      <c r="F559" s="17"/>
      <c r="G559" s="21"/>
      <c r="H559" s="21"/>
      <c r="I559" s="21"/>
      <c r="J559" s="21"/>
      <c r="K559" s="22"/>
      <c r="L559" s="22"/>
      <c r="M559" s="22"/>
      <c r="N559" s="22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67"/>
      <c r="C560" s="17"/>
      <c r="D560" s="17"/>
      <c r="E560" s="17"/>
      <c r="F560" s="17"/>
      <c r="G560" s="21"/>
      <c r="H560" s="21"/>
      <c r="I560" s="21"/>
      <c r="J560" s="21"/>
      <c r="K560" s="22"/>
      <c r="L560" s="22"/>
      <c r="M560" s="22"/>
      <c r="N560" s="22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67"/>
      <c r="C561" s="17"/>
      <c r="D561" s="17"/>
      <c r="E561" s="17"/>
      <c r="F561" s="17"/>
      <c r="G561" s="21"/>
      <c r="H561" s="21"/>
      <c r="I561" s="21"/>
      <c r="J561" s="21"/>
      <c r="K561" s="22"/>
      <c r="L561" s="22"/>
      <c r="M561" s="22"/>
      <c r="N561" s="22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67"/>
      <c r="C562" s="17"/>
      <c r="D562" s="17"/>
      <c r="E562" s="17"/>
      <c r="F562" s="17"/>
      <c r="G562" s="21"/>
      <c r="H562" s="21"/>
      <c r="I562" s="21"/>
      <c r="J562" s="21"/>
      <c r="K562" s="22"/>
      <c r="L562" s="22"/>
      <c r="M562" s="22"/>
      <c r="N562" s="22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67"/>
      <c r="C563" s="17"/>
      <c r="D563" s="17"/>
      <c r="E563" s="17"/>
      <c r="F563" s="17"/>
      <c r="G563" s="21"/>
      <c r="H563" s="21"/>
      <c r="I563" s="21"/>
      <c r="J563" s="21"/>
      <c r="K563" s="22"/>
      <c r="L563" s="22"/>
      <c r="M563" s="22"/>
      <c r="N563" s="22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67"/>
      <c r="C564" s="17"/>
      <c r="D564" s="17"/>
      <c r="E564" s="17"/>
      <c r="F564" s="17"/>
      <c r="G564" s="21"/>
      <c r="H564" s="21"/>
      <c r="I564" s="21"/>
      <c r="J564" s="21"/>
      <c r="K564" s="22"/>
      <c r="L564" s="22"/>
      <c r="M564" s="22"/>
      <c r="N564" s="22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67"/>
      <c r="C565" s="17"/>
      <c r="D565" s="17"/>
      <c r="E565" s="17"/>
      <c r="F565" s="17"/>
      <c r="G565" s="21"/>
      <c r="H565" s="21"/>
      <c r="I565" s="21"/>
      <c r="J565" s="21"/>
      <c r="K565" s="22"/>
      <c r="L565" s="22"/>
      <c r="M565" s="22"/>
      <c r="N565" s="22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67"/>
      <c r="C566" s="17"/>
      <c r="D566" s="17"/>
      <c r="E566" s="17"/>
      <c r="F566" s="17"/>
      <c r="G566" s="21"/>
      <c r="H566" s="21"/>
      <c r="I566" s="21"/>
      <c r="J566" s="21"/>
      <c r="K566" s="22"/>
      <c r="L566" s="22"/>
      <c r="M566" s="22"/>
      <c r="N566" s="22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67"/>
      <c r="C567" s="17"/>
      <c r="D567" s="17"/>
      <c r="E567" s="17"/>
      <c r="F567" s="17"/>
      <c r="G567" s="21"/>
      <c r="H567" s="21"/>
      <c r="I567" s="21"/>
      <c r="J567" s="21"/>
      <c r="K567" s="22"/>
      <c r="L567" s="22"/>
      <c r="M567" s="22"/>
      <c r="N567" s="22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67"/>
      <c r="C568" s="17"/>
      <c r="D568" s="17"/>
      <c r="E568" s="17"/>
      <c r="F568" s="17"/>
      <c r="G568" s="21"/>
      <c r="H568" s="21"/>
      <c r="I568" s="21"/>
      <c r="J568" s="21"/>
      <c r="K568" s="22"/>
      <c r="L568" s="22"/>
      <c r="M568" s="22"/>
      <c r="N568" s="22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67"/>
      <c r="C569" s="17"/>
      <c r="D569" s="17"/>
      <c r="E569" s="17"/>
      <c r="F569" s="17"/>
      <c r="G569" s="21"/>
      <c r="H569" s="21"/>
      <c r="I569" s="21"/>
      <c r="J569" s="21"/>
      <c r="K569" s="22"/>
      <c r="L569" s="22"/>
      <c r="M569" s="22"/>
      <c r="N569" s="22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67"/>
      <c r="C570" s="17"/>
      <c r="D570" s="17"/>
      <c r="E570" s="17"/>
      <c r="F570" s="17"/>
      <c r="G570" s="21"/>
      <c r="H570" s="21"/>
      <c r="I570" s="21"/>
      <c r="J570" s="21"/>
      <c r="K570" s="22"/>
      <c r="L570" s="22"/>
      <c r="M570" s="22"/>
      <c r="N570" s="22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67"/>
      <c r="C571" s="17"/>
      <c r="D571" s="17"/>
      <c r="E571" s="17"/>
      <c r="F571" s="17"/>
      <c r="G571" s="21"/>
      <c r="H571" s="21"/>
      <c r="I571" s="21"/>
      <c r="J571" s="21"/>
      <c r="K571" s="22"/>
      <c r="L571" s="22"/>
      <c r="M571" s="22"/>
      <c r="N571" s="22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67"/>
      <c r="C572" s="17"/>
      <c r="D572" s="17"/>
      <c r="E572" s="17"/>
      <c r="F572" s="17"/>
      <c r="G572" s="21"/>
      <c r="H572" s="21"/>
      <c r="I572" s="21"/>
      <c r="J572" s="21"/>
      <c r="K572" s="22"/>
      <c r="L572" s="22"/>
      <c r="M572" s="22"/>
      <c r="N572" s="22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67"/>
      <c r="C573" s="17"/>
      <c r="D573" s="17"/>
      <c r="E573" s="17"/>
      <c r="F573" s="17"/>
      <c r="G573" s="21"/>
      <c r="H573" s="21"/>
      <c r="I573" s="21"/>
      <c r="J573" s="21"/>
      <c r="K573" s="22"/>
      <c r="L573" s="22"/>
      <c r="M573" s="22"/>
      <c r="N573" s="22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67"/>
      <c r="C574" s="17"/>
      <c r="D574" s="17"/>
      <c r="E574" s="17"/>
      <c r="F574" s="17"/>
      <c r="G574" s="21"/>
      <c r="H574" s="21"/>
      <c r="I574" s="21"/>
      <c r="J574" s="21"/>
      <c r="K574" s="22"/>
      <c r="L574" s="22"/>
      <c r="M574" s="22"/>
      <c r="N574" s="22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67"/>
      <c r="C575" s="17"/>
      <c r="D575" s="17"/>
      <c r="E575" s="17"/>
      <c r="F575" s="17"/>
      <c r="G575" s="21"/>
      <c r="H575" s="21"/>
      <c r="I575" s="21"/>
      <c r="J575" s="21"/>
      <c r="K575" s="22"/>
      <c r="L575" s="22"/>
      <c r="M575" s="22"/>
      <c r="N575" s="22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67"/>
      <c r="C576" s="17"/>
      <c r="D576" s="17"/>
      <c r="E576" s="17"/>
      <c r="F576" s="17"/>
      <c r="G576" s="21"/>
      <c r="H576" s="21"/>
      <c r="I576" s="21"/>
      <c r="J576" s="21"/>
      <c r="K576" s="22"/>
      <c r="L576" s="22"/>
      <c r="M576" s="22"/>
      <c r="N576" s="22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67"/>
      <c r="C577" s="17"/>
      <c r="D577" s="17"/>
      <c r="E577" s="17"/>
      <c r="F577" s="17"/>
      <c r="G577" s="21"/>
      <c r="H577" s="21"/>
      <c r="I577" s="21"/>
      <c r="J577" s="21"/>
      <c r="K577" s="22"/>
      <c r="L577" s="22"/>
      <c r="M577" s="22"/>
      <c r="N577" s="22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67"/>
      <c r="C578" s="17"/>
      <c r="D578" s="17"/>
      <c r="E578" s="17"/>
      <c r="F578" s="17"/>
      <c r="G578" s="21"/>
      <c r="H578" s="21"/>
      <c r="I578" s="21"/>
      <c r="J578" s="21"/>
      <c r="K578" s="22"/>
      <c r="L578" s="22"/>
      <c r="M578" s="22"/>
      <c r="N578" s="22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67"/>
      <c r="C579" s="17"/>
      <c r="D579" s="17"/>
      <c r="E579" s="17"/>
      <c r="F579" s="17"/>
      <c r="G579" s="21"/>
      <c r="H579" s="21"/>
      <c r="I579" s="21"/>
      <c r="J579" s="21"/>
      <c r="K579" s="22"/>
      <c r="L579" s="22"/>
      <c r="M579" s="22"/>
      <c r="N579" s="22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67"/>
      <c r="C580" s="17"/>
      <c r="D580" s="17"/>
      <c r="E580" s="17"/>
      <c r="F580" s="17"/>
      <c r="G580" s="21"/>
      <c r="H580" s="21"/>
      <c r="I580" s="21"/>
      <c r="J580" s="21"/>
      <c r="K580" s="22"/>
      <c r="L580" s="22"/>
      <c r="M580" s="22"/>
      <c r="N580" s="22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67"/>
      <c r="C581" s="17"/>
      <c r="D581" s="17"/>
      <c r="E581" s="17"/>
      <c r="F581" s="17"/>
      <c r="G581" s="21"/>
      <c r="H581" s="21"/>
      <c r="I581" s="21"/>
      <c r="J581" s="21"/>
      <c r="K581" s="22"/>
      <c r="L581" s="22"/>
      <c r="M581" s="22"/>
      <c r="N581" s="22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67"/>
      <c r="C582" s="17"/>
      <c r="D582" s="17"/>
      <c r="E582" s="17"/>
      <c r="F582" s="17"/>
      <c r="G582" s="21"/>
      <c r="H582" s="21"/>
      <c r="I582" s="21"/>
      <c r="J582" s="21"/>
      <c r="K582" s="22"/>
      <c r="L582" s="22"/>
      <c r="M582" s="22"/>
      <c r="N582" s="22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67"/>
      <c r="C583" s="17"/>
      <c r="D583" s="17"/>
      <c r="E583" s="17"/>
      <c r="F583" s="17"/>
      <c r="G583" s="21"/>
      <c r="H583" s="21"/>
      <c r="I583" s="21"/>
      <c r="J583" s="21"/>
      <c r="K583" s="22"/>
      <c r="L583" s="22"/>
      <c r="M583" s="22"/>
      <c r="N583" s="22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67"/>
      <c r="C584" s="17"/>
      <c r="D584" s="17"/>
      <c r="E584" s="17"/>
      <c r="F584" s="17"/>
      <c r="G584" s="21"/>
      <c r="H584" s="21"/>
      <c r="I584" s="21"/>
      <c r="J584" s="21"/>
      <c r="K584" s="22"/>
      <c r="L584" s="22"/>
      <c r="M584" s="22"/>
      <c r="N584" s="22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67"/>
      <c r="C585" s="17"/>
      <c r="D585" s="17"/>
      <c r="E585" s="17"/>
      <c r="F585" s="17"/>
      <c r="G585" s="21"/>
      <c r="H585" s="21"/>
      <c r="I585" s="21"/>
      <c r="J585" s="21"/>
      <c r="K585" s="22"/>
      <c r="L585" s="22"/>
      <c r="M585" s="22"/>
      <c r="N585" s="22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67"/>
      <c r="C586" s="17"/>
      <c r="D586" s="17"/>
      <c r="E586" s="17"/>
      <c r="F586" s="17"/>
      <c r="G586" s="21"/>
      <c r="H586" s="21"/>
      <c r="I586" s="21"/>
      <c r="J586" s="21"/>
      <c r="K586" s="22"/>
      <c r="L586" s="22"/>
      <c r="M586" s="22"/>
      <c r="N586" s="22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67"/>
      <c r="C587" s="17"/>
      <c r="D587" s="17"/>
      <c r="E587" s="17"/>
      <c r="F587" s="17"/>
      <c r="G587" s="21"/>
      <c r="H587" s="21"/>
      <c r="I587" s="21"/>
      <c r="J587" s="21"/>
      <c r="K587" s="22"/>
      <c r="L587" s="22"/>
      <c r="M587" s="22"/>
      <c r="N587" s="22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67"/>
      <c r="C588" s="17"/>
      <c r="D588" s="17"/>
      <c r="E588" s="17"/>
      <c r="F588" s="17"/>
      <c r="G588" s="21"/>
      <c r="H588" s="21"/>
      <c r="I588" s="21"/>
      <c r="J588" s="21"/>
      <c r="K588" s="22"/>
      <c r="L588" s="22"/>
      <c r="M588" s="22"/>
      <c r="N588" s="22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67"/>
      <c r="C589" s="17"/>
      <c r="D589" s="17"/>
      <c r="E589" s="17"/>
      <c r="F589" s="17"/>
      <c r="G589" s="21"/>
      <c r="H589" s="21"/>
      <c r="I589" s="21"/>
      <c r="J589" s="21"/>
      <c r="K589" s="22"/>
      <c r="L589" s="22"/>
      <c r="M589" s="22"/>
      <c r="N589" s="22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67"/>
      <c r="C590" s="17"/>
      <c r="D590" s="17"/>
      <c r="E590" s="17"/>
      <c r="F590" s="17"/>
      <c r="G590" s="21"/>
      <c r="H590" s="21"/>
      <c r="I590" s="21"/>
      <c r="J590" s="21"/>
      <c r="K590" s="22"/>
      <c r="L590" s="22"/>
      <c r="M590" s="22"/>
      <c r="N590" s="22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67"/>
      <c r="C591" s="17"/>
      <c r="D591" s="17"/>
      <c r="E591" s="17"/>
      <c r="F591" s="17"/>
      <c r="G591" s="21"/>
      <c r="H591" s="21"/>
      <c r="I591" s="21"/>
      <c r="J591" s="21"/>
      <c r="K591" s="22"/>
      <c r="L591" s="22"/>
      <c r="M591" s="22"/>
      <c r="N591" s="22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67"/>
      <c r="C592" s="17"/>
      <c r="D592" s="17"/>
      <c r="E592" s="17"/>
      <c r="F592" s="17"/>
      <c r="G592" s="21"/>
      <c r="H592" s="21"/>
      <c r="I592" s="21"/>
      <c r="J592" s="21"/>
      <c r="K592" s="22"/>
      <c r="L592" s="22"/>
      <c r="M592" s="22"/>
      <c r="N592" s="22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67"/>
      <c r="C593" s="17"/>
      <c r="D593" s="17"/>
      <c r="E593" s="17"/>
      <c r="F593" s="17"/>
      <c r="G593" s="21"/>
      <c r="H593" s="21"/>
      <c r="I593" s="21"/>
      <c r="J593" s="21"/>
      <c r="K593" s="22"/>
      <c r="L593" s="22"/>
      <c r="M593" s="22"/>
      <c r="N593" s="22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67"/>
      <c r="C594" s="17"/>
      <c r="D594" s="17"/>
      <c r="E594" s="17"/>
      <c r="F594" s="17"/>
      <c r="G594" s="21"/>
      <c r="H594" s="21"/>
      <c r="I594" s="21"/>
      <c r="J594" s="21"/>
      <c r="K594" s="22"/>
      <c r="L594" s="22"/>
      <c r="M594" s="22"/>
      <c r="N594" s="22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67"/>
      <c r="C595" s="17"/>
      <c r="D595" s="17"/>
      <c r="E595" s="17"/>
      <c r="F595" s="17"/>
      <c r="G595" s="21"/>
      <c r="H595" s="21"/>
      <c r="I595" s="21"/>
      <c r="J595" s="21"/>
      <c r="K595" s="22"/>
      <c r="L595" s="22"/>
      <c r="M595" s="22"/>
      <c r="N595" s="22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67"/>
      <c r="C596" s="17"/>
      <c r="D596" s="17"/>
      <c r="E596" s="17"/>
      <c r="F596" s="17"/>
      <c r="G596" s="21"/>
      <c r="H596" s="21"/>
      <c r="I596" s="21"/>
      <c r="J596" s="21"/>
      <c r="K596" s="22"/>
      <c r="L596" s="22"/>
      <c r="M596" s="22"/>
      <c r="N596" s="22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67"/>
      <c r="C597" s="17"/>
      <c r="D597" s="17"/>
      <c r="E597" s="17"/>
      <c r="F597" s="17"/>
      <c r="G597" s="21"/>
      <c r="H597" s="21"/>
      <c r="I597" s="21"/>
      <c r="J597" s="21"/>
      <c r="K597" s="22"/>
      <c r="L597" s="22"/>
      <c r="M597" s="22"/>
      <c r="N597" s="22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67"/>
      <c r="C598" s="17"/>
      <c r="D598" s="17"/>
      <c r="E598" s="17"/>
      <c r="F598" s="17"/>
      <c r="G598" s="21"/>
      <c r="H598" s="21"/>
      <c r="I598" s="21"/>
      <c r="J598" s="21"/>
      <c r="K598" s="22"/>
      <c r="L598" s="22"/>
      <c r="M598" s="22"/>
      <c r="N598" s="22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67"/>
      <c r="C599" s="17"/>
      <c r="D599" s="17"/>
      <c r="E599" s="17"/>
      <c r="F599" s="17"/>
      <c r="G599" s="21"/>
      <c r="H599" s="21"/>
      <c r="I599" s="21"/>
      <c r="J599" s="21"/>
      <c r="K599" s="22"/>
      <c r="L599" s="22"/>
      <c r="M599" s="22"/>
      <c r="N599" s="22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67"/>
      <c r="C600" s="17"/>
      <c r="D600" s="17"/>
      <c r="E600" s="17"/>
      <c r="F600" s="17"/>
      <c r="G600" s="21"/>
      <c r="H600" s="21"/>
      <c r="I600" s="21"/>
      <c r="J600" s="21"/>
      <c r="K600" s="22"/>
      <c r="L600" s="22"/>
      <c r="M600" s="22"/>
      <c r="N600" s="22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67"/>
      <c r="C601" s="17"/>
      <c r="D601" s="17"/>
      <c r="E601" s="17"/>
      <c r="F601" s="17"/>
      <c r="G601" s="21"/>
      <c r="H601" s="21"/>
      <c r="I601" s="21"/>
      <c r="J601" s="21"/>
      <c r="K601" s="22"/>
      <c r="L601" s="22"/>
      <c r="M601" s="22"/>
      <c r="N601" s="22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67"/>
      <c r="C602" s="17"/>
      <c r="D602" s="17"/>
      <c r="E602" s="17"/>
      <c r="F602" s="17"/>
      <c r="G602" s="21"/>
      <c r="H602" s="21"/>
      <c r="I602" s="21"/>
      <c r="J602" s="21"/>
      <c r="K602" s="22"/>
      <c r="L602" s="22"/>
      <c r="M602" s="22"/>
      <c r="N602" s="22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67"/>
      <c r="C603" s="17"/>
      <c r="D603" s="17"/>
      <c r="E603" s="17"/>
      <c r="F603" s="17"/>
      <c r="G603" s="21"/>
      <c r="H603" s="21"/>
      <c r="I603" s="21"/>
      <c r="J603" s="21"/>
      <c r="K603" s="22"/>
      <c r="L603" s="22"/>
      <c r="M603" s="22"/>
      <c r="N603" s="22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67"/>
      <c r="C604" s="17"/>
      <c r="D604" s="17"/>
      <c r="E604" s="17"/>
      <c r="F604" s="17"/>
      <c r="G604" s="21"/>
      <c r="H604" s="21"/>
      <c r="I604" s="21"/>
      <c r="J604" s="21"/>
      <c r="K604" s="22"/>
      <c r="L604" s="22"/>
      <c r="M604" s="22"/>
      <c r="N604" s="22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67"/>
      <c r="C605" s="17"/>
      <c r="D605" s="17"/>
      <c r="E605" s="17"/>
      <c r="F605" s="17"/>
      <c r="G605" s="21"/>
      <c r="H605" s="21"/>
      <c r="I605" s="21"/>
      <c r="J605" s="21"/>
      <c r="K605" s="22"/>
      <c r="L605" s="22"/>
      <c r="M605" s="22"/>
      <c r="N605" s="22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67"/>
      <c r="C606" s="17"/>
      <c r="D606" s="17"/>
      <c r="E606" s="17"/>
      <c r="F606" s="17"/>
      <c r="G606" s="21"/>
      <c r="H606" s="21"/>
      <c r="I606" s="21"/>
      <c r="J606" s="21"/>
      <c r="K606" s="22"/>
      <c r="L606" s="22"/>
      <c r="M606" s="22"/>
      <c r="N606" s="22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67"/>
      <c r="C607" s="17"/>
      <c r="D607" s="17"/>
      <c r="E607" s="17"/>
      <c r="F607" s="17"/>
      <c r="G607" s="21"/>
      <c r="H607" s="21"/>
      <c r="I607" s="21"/>
      <c r="J607" s="21"/>
      <c r="K607" s="22"/>
      <c r="L607" s="22"/>
      <c r="M607" s="22"/>
      <c r="N607" s="22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67"/>
      <c r="C608" s="17"/>
      <c r="D608" s="17"/>
      <c r="E608" s="17"/>
      <c r="F608" s="17"/>
      <c r="G608" s="21"/>
      <c r="H608" s="21"/>
      <c r="I608" s="21"/>
      <c r="J608" s="21"/>
      <c r="K608" s="22"/>
      <c r="L608" s="22"/>
      <c r="M608" s="22"/>
      <c r="N608" s="22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67"/>
      <c r="C609" s="17"/>
      <c r="D609" s="17"/>
      <c r="E609" s="17"/>
      <c r="F609" s="17"/>
      <c r="G609" s="21"/>
      <c r="H609" s="21"/>
      <c r="I609" s="21"/>
      <c r="J609" s="21"/>
      <c r="K609" s="22"/>
      <c r="L609" s="22"/>
      <c r="M609" s="22"/>
      <c r="N609" s="22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67"/>
      <c r="C610" s="17"/>
      <c r="D610" s="17"/>
      <c r="E610" s="17"/>
      <c r="F610" s="17"/>
      <c r="G610" s="21"/>
      <c r="H610" s="21"/>
      <c r="I610" s="21"/>
      <c r="J610" s="21"/>
      <c r="K610" s="22"/>
      <c r="L610" s="22"/>
      <c r="M610" s="22"/>
      <c r="N610" s="22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67"/>
      <c r="C611" s="17"/>
      <c r="D611" s="17"/>
      <c r="E611" s="17"/>
      <c r="F611" s="17"/>
      <c r="G611" s="21"/>
      <c r="H611" s="21"/>
      <c r="I611" s="21"/>
      <c r="J611" s="21"/>
      <c r="K611" s="22"/>
      <c r="L611" s="22"/>
      <c r="M611" s="22"/>
      <c r="N611" s="22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67"/>
      <c r="C612" s="17"/>
      <c r="D612" s="17"/>
      <c r="E612" s="17"/>
      <c r="F612" s="17"/>
      <c r="G612" s="21"/>
      <c r="H612" s="21"/>
      <c r="I612" s="21"/>
      <c r="J612" s="21"/>
      <c r="K612" s="22"/>
      <c r="L612" s="22"/>
      <c r="M612" s="22"/>
      <c r="N612" s="22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67"/>
      <c r="C613" s="17"/>
      <c r="D613" s="17"/>
      <c r="E613" s="17"/>
      <c r="F613" s="17"/>
      <c r="G613" s="21"/>
      <c r="H613" s="21"/>
      <c r="I613" s="21"/>
      <c r="J613" s="21"/>
      <c r="K613" s="22"/>
      <c r="L613" s="22"/>
      <c r="M613" s="22"/>
      <c r="N613" s="22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67"/>
      <c r="C614" s="17"/>
      <c r="D614" s="17"/>
      <c r="E614" s="17"/>
      <c r="F614" s="17"/>
      <c r="G614" s="21"/>
      <c r="H614" s="21"/>
      <c r="I614" s="21"/>
      <c r="J614" s="21"/>
      <c r="K614" s="22"/>
      <c r="L614" s="22"/>
      <c r="M614" s="22"/>
      <c r="N614" s="22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67"/>
      <c r="C615" s="17"/>
      <c r="D615" s="17"/>
      <c r="E615" s="17"/>
      <c r="F615" s="17"/>
      <c r="G615" s="21"/>
      <c r="H615" s="21"/>
      <c r="I615" s="21"/>
      <c r="J615" s="21"/>
      <c r="K615" s="22"/>
      <c r="L615" s="22"/>
      <c r="M615" s="22"/>
      <c r="N615" s="22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67"/>
      <c r="C616" s="17"/>
      <c r="D616" s="17"/>
      <c r="E616" s="17"/>
      <c r="F616" s="17"/>
      <c r="G616" s="21"/>
      <c r="H616" s="21"/>
      <c r="I616" s="21"/>
      <c r="J616" s="21"/>
      <c r="K616" s="22"/>
      <c r="L616" s="22"/>
      <c r="M616" s="22"/>
      <c r="N616" s="22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67"/>
      <c r="C617" s="17"/>
      <c r="D617" s="17"/>
      <c r="E617" s="17"/>
      <c r="F617" s="17"/>
      <c r="G617" s="21"/>
      <c r="H617" s="21"/>
      <c r="I617" s="21"/>
      <c r="J617" s="21"/>
      <c r="K617" s="22"/>
      <c r="L617" s="22"/>
      <c r="M617" s="22"/>
      <c r="N617" s="22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67"/>
      <c r="C618" s="17"/>
      <c r="D618" s="17"/>
      <c r="E618" s="17"/>
      <c r="F618" s="17"/>
      <c r="G618" s="21"/>
      <c r="H618" s="21"/>
      <c r="I618" s="21"/>
      <c r="J618" s="21"/>
      <c r="K618" s="22"/>
      <c r="L618" s="22"/>
      <c r="M618" s="22"/>
      <c r="N618" s="22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67"/>
      <c r="C619" s="17"/>
      <c r="D619" s="17"/>
      <c r="E619" s="17"/>
      <c r="F619" s="17"/>
      <c r="G619" s="21"/>
      <c r="H619" s="21"/>
      <c r="I619" s="21"/>
      <c r="J619" s="21"/>
      <c r="K619" s="22"/>
      <c r="L619" s="22"/>
      <c r="M619" s="22"/>
      <c r="N619" s="22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67"/>
      <c r="C620" s="17"/>
      <c r="D620" s="17"/>
      <c r="E620" s="17"/>
      <c r="F620" s="17"/>
      <c r="G620" s="21"/>
      <c r="H620" s="21"/>
      <c r="I620" s="21"/>
      <c r="J620" s="21"/>
      <c r="K620" s="22"/>
      <c r="L620" s="22"/>
      <c r="M620" s="22"/>
      <c r="N620" s="22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67"/>
      <c r="C621" s="17"/>
      <c r="D621" s="17"/>
      <c r="E621" s="17"/>
      <c r="F621" s="17"/>
      <c r="G621" s="21"/>
      <c r="H621" s="21"/>
      <c r="I621" s="21"/>
      <c r="J621" s="21"/>
      <c r="K621" s="22"/>
      <c r="L621" s="22"/>
      <c r="M621" s="22"/>
      <c r="N621" s="22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67"/>
      <c r="C622" s="17"/>
      <c r="D622" s="17"/>
      <c r="E622" s="17"/>
      <c r="F622" s="17"/>
      <c r="G622" s="21"/>
      <c r="H622" s="21"/>
      <c r="I622" s="21"/>
      <c r="J622" s="21"/>
      <c r="K622" s="22"/>
      <c r="L622" s="22"/>
      <c r="M622" s="22"/>
      <c r="N622" s="22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67"/>
      <c r="C623" s="17"/>
      <c r="D623" s="17"/>
      <c r="E623" s="17"/>
      <c r="F623" s="17"/>
      <c r="G623" s="21"/>
      <c r="H623" s="21"/>
      <c r="I623" s="21"/>
      <c r="J623" s="21"/>
      <c r="K623" s="22"/>
      <c r="L623" s="22"/>
      <c r="M623" s="22"/>
      <c r="N623" s="22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67"/>
      <c r="C624" s="17"/>
      <c r="D624" s="17"/>
      <c r="E624" s="17"/>
      <c r="F624" s="17"/>
      <c r="G624" s="21"/>
      <c r="H624" s="21"/>
      <c r="I624" s="21"/>
      <c r="J624" s="21"/>
      <c r="K624" s="22"/>
      <c r="L624" s="22"/>
      <c r="M624" s="22"/>
      <c r="N624" s="22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67"/>
      <c r="C625" s="17"/>
      <c r="D625" s="17"/>
      <c r="E625" s="17"/>
      <c r="F625" s="17"/>
      <c r="G625" s="21"/>
      <c r="H625" s="21"/>
      <c r="I625" s="21"/>
      <c r="J625" s="21"/>
      <c r="K625" s="22"/>
      <c r="L625" s="22"/>
      <c r="M625" s="22"/>
      <c r="N625" s="22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67"/>
      <c r="C626" s="17"/>
      <c r="D626" s="17"/>
      <c r="E626" s="17"/>
      <c r="F626" s="17"/>
      <c r="G626" s="21"/>
      <c r="H626" s="21"/>
      <c r="I626" s="21"/>
      <c r="J626" s="21"/>
      <c r="K626" s="22"/>
      <c r="L626" s="22"/>
      <c r="M626" s="22"/>
      <c r="N626" s="22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67"/>
      <c r="C627" s="17"/>
      <c r="D627" s="17"/>
      <c r="E627" s="17"/>
      <c r="F627" s="17"/>
      <c r="G627" s="21"/>
      <c r="H627" s="21"/>
      <c r="I627" s="21"/>
      <c r="J627" s="21"/>
      <c r="K627" s="22"/>
      <c r="L627" s="22"/>
      <c r="M627" s="22"/>
      <c r="N627" s="22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67"/>
      <c r="C628" s="17"/>
      <c r="D628" s="17"/>
      <c r="E628" s="17"/>
      <c r="F628" s="17"/>
      <c r="G628" s="21"/>
      <c r="H628" s="21"/>
      <c r="I628" s="21"/>
      <c r="J628" s="21"/>
      <c r="K628" s="22"/>
      <c r="L628" s="22"/>
      <c r="M628" s="22"/>
      <c r="N628" s="22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67"/>
      <c r="C629" s="17"/>
      <c r="D629" s="17"/>
      <c r="E629" s="17"/>
      <c r="F629" s="17"/>
      <c r="G629" s="21"/>
      <c r="H629" s="21"/>
      <c r="I629" s="21"/>
      <c r="J629" s="21"/>
      <c r="K629" s="22"/>
      <c r="L629" s="22"/>
      <c r="M629" s="22"/>
      <c r="N629" s="22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67"/>
      <c r="C630" s="17"/>
      <c r="D630" s="17"/>
      <c r="E630" s="17"/>
      <c r="F630" s="17"/>
      <c r="G630" s="21"/>
      <c r="H630" s="21"/>
      <c r="I630" s="21"/>
      <c r="J630" s="21"/>
      <c r="K630" s="22"/>
      <c r="L630" s="22"/>
      <c r="M630" s="22"/>
      <c r="N630" s="22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67"/>
      <c r="C631" s="17"/>
      <c r="D631" s="17"/>
      <c r="E631" s="17"/>
      <c r="F631" s="17"/>
      <c r="G631" s="21"/>
      <c r="H631" s="21"/>
      <c r="I631" s="21"/>
      <c r="J631" s="21"/>
      <c r="K631" s="22"/>
      <c r="L631" s="22"/>
      <c r="M631" s="22"/>
      <c r="N631" s="22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67"/>
      <c r="C632" s="17"/>
      <c r="D632" s="17"/>
      <c r="E632" s="17"/>
      <c r="F632" s="17"/>
      <c r="G632" s="21"/>
      <c r="H632" s="21"/>
      <c r="I632" s="21"/>
      <c r="J632" s="21"/>
      <c r="K632" s="22"/>
      <c r="L632" s="22"/>
      <c r="M632" s="22"/>
      <c r="N632" s="22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67"/>
      <c r="C633" s="17"/>
      <c r="D633" s="17"/>
      <c r="E633" s="17"/>
      <c r="F633" s="17"/>
      <c r="G633" s="21"/>
      <c r="H633" s="21"/>
      <c r="I633" s="21"/>
      <c r="J633" s="21"/>
      <c r="K633" s="22"/>
      <c r="L633" s="22"/>
      <c r="M633" s="22"/>
      <c r="N633" s="22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67"/>
      <c r="C634" s="17"/>
      <c r="D634" s="17"/>
      <c r="E634" s="17"/>
      <c r="F634" s="17"/>
      <c r="G634" s="21"/>
      <c r="H634" s="21"/>
      <c r="I634" s="21"/>
      <c r="J634" s="21"/>
      <c r="K634" s="22"/>
      <c r="L634" s="22"/>
      <c r="M634" s="22"/>
      <c r="N634" s="22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67"/>
      <c r="C635" s="17"/>
      <c r="D635" s="17"/>
      <c r="E635" s="17"/>
      <c r="F635" s="17"/>
      <c r="G635" s="21"/>
      <c r="H635" s="21"/>
      <c r="I635" s="21"/>
      <c r="J635" s="21"/>
      <c r="K635" s="22"/>
      <c r="L635" s="22"/>
      <c r="M635" s="22"/>
      <c r="N635" s="22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67"/>
      <c r="C636" s="17"/>
      <c r="D636" s="17"/>
      <c r="E636" s="17"/>
      <c r="F636" s="17"/>
      <c r="G636" s="21"/>
      <c r="H636" s="21"/>
      <c r="I636" s="21"/>
      <c r="J636" s="21"/>
      <c r="K636" s="22"/>
      <c r="L636" s="22"/>
      <c r="M636" s="22"/>
      <c r="N636" s="22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67"/>
      <c r="C637" s="17"/>
      <c r="D637" s="17"/>
      <c r="E637" s="17"/>
      <c r="F637" s="17"/>
      <c r="G637" s="21"/>
      <c r="H637" s="21"/>
      <c r="I637" s="21"/>
      <c r="J637" s="21"/>
      <c r="K637" s="22"/>
      <c r="L637" s="22"/>
      <c r="M637" s="22"/>
      <c r="N637" s="22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67"/>
      <c r="C638" s="17"/>
      <c r="D638" s="17"/>
      <c r="E638" s="17"/>
      <c r="F638" s="17"/>
      <c r="G638" s="21"/>
      <c r="H638" s="21"/>
      <c r="I638" s="21"/>
      <c r="J638" s="21"/>
      <c r="K638" s="22"/>
      <c r="L638" s="22"/>
      <c r="M638" s="22"/>
      <c r="N638" s="22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67"/>
      <c r="C639" s="17"/>
      <c r="D639" s="17"/>
      <c r="E639" s="17"/>
      <c r="F639" s="17"/>
      <c r="G639" s="21"/>
      <c r="H639" s="21"/>
      <c r="I639" s="21"/>
      <c r="J639" s="21"/>
      <c r="K639" s="22"/>
      <c r="L639" s="22"/>
      <c r="M639" s="22"/>
      <c r="N639" s="22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67"/>
      <c r="C640" s="17"/>
      <c r="D640" s="17"/>
      <c r="E640" s="17"/>
      <c r="F640" s="17"/>
      <c r="G640" s="21"/>
      <c r="H640" s="21"/>
      <c r="I640" s="21"/>
      <c r="J640" s="21"/>
      <c r="K640" s="22"/>
      <c r="L640" s="22"/>
      <c r="M640" s="22"/>
      <c r="N640" s="22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67"/>
      <c r="C641" s="17"/>
      <c r="D641" s="17"/>
      <c r="E641" s="17"/>
      <c r="F641" s="17"/>
      <c r="G641" s="21"/>
      <c r="H641" s="21"/>
      <c r="I641" s="21"/>
      <c r="J641" s="21"/>
      <c r="K641" s="22"/>
      <c r="L641" s="22"/>
      <c r="M641" s="22"/>
      <c r="N641" s="22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67"/>
      <c r="C642" s="17"/>
      <c r="D642" s="17"/>
      <c r="E642" s="17"/>
      <c r="F642" s="17"/>
      <c r="G642" s="21"/>
      <c r="H642" s="21"/>
      <c r="I642" s="21"/>
      <c r="J642" s="21"/>
      <c r="K642" s="22"/>
      <c r="L642" s="22"/>
      <c r="M642" s="22"/>
      <c r="N642" s="22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67"/>
      <c r="C643" s="17"/>
      <c r="D643" s="17"/>
      <c r="E643" s="17"/>
      <c r="F643" s="17"/>
      <c r="G643" s="21"/>
      <c r="H643" s="21"/>
      <c r="I643" s="21"/>
      <c r="J643" s="21"/>
      <c r="K643" s="22"/>
      <c r="L643" s="22"/>
      <c r="M643" s="22"/>
      <c r="N643" s="22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67"/>
      <c r="C644" s="17"/>
      <c r="D644" s="17"/>
      <c r="E644" s="17"/>
      <c r="F644" s="17"/>
      <c r="G644" s="21"/>
      <c r="H644" s="21"/>
      <c r="I644" s="21"/>
      <c r="J644" s="21"/>
      <c r="K644" s="22"/>
      <c r="L644" s="22"/>
      <c r="M644" s="22"/>
      <c r="N644" s="22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67"/>
      <c r="C645" s="17"/>
      <c r="D645" s="17"/>
      <c r="E645" s="17"/>
      <c r="F645" s="17"/>
      <c r="G645" s="21"/>
      <c r="H645" s="21"/>
      <c r="I645" s="21"/>
      <c r="J645" s="21"/>
      <c r="K645" s="22"/>
      <c r="L645" s="22"/>
      <c r="M645" s="22"/>
      <c r="N645" s="22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67"/>
      <c r="C646" s="17"/>
      <c r="D646" s="17"/>
      <c r="E646" s="17"/>
      <c r="F646" s="17"/>
      <c r="G646" s="21"/>
      <c r="H646" s="21"/>
      <c r="I646" s="21"/>
      <c r="J646" s="21"/>
      <c r="K646" s="22"/>
      <c r="L646" s="22"/>
      <c r="M646" s="22"/>
      <c r="N646" s="22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67"/>
      <c r="C647" s="17"/>
      <c r="D647" s="17"/>
      <c r="E647" s="17"/>
      <c r="F647" s="17"/>
      <c r="G647" s="21"/>
      <c r="H647" s="21"/>
      <c r="I647" s="21"/>
      <c r="J647" s="21"/>
      <c r="K647" s="22"/>
      <c r="L647" s="22"/>
      <c r="M647" s="22"/>
      <c r="N647" s="22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67"/>
      <c r="C648" s="17"/>
      <c r="D648" s="17"/>
      <c r="E648" s="17"/>
      <c r="F648" s="17"/>
      <c r="G648" s="21"/>
      <c r="H648" s="21"/>
      <c r="I648" s="21"/>
      <c r="J648" s="21"/>
      <c r="K648" s="22"/>
      <c r="L648" s="22"/>
      <c r="M648" s="22"/>
      <c r="N648" s="22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67"/>
      <c r="C649" s="17"/>
      <c r="D649" s="17"/>
      <c r="E649" s="17"/>
      <c r="F649" s="17"/>
      <c r="G649" s="21"/>
      <c r="H649" s="21"/>
      <c r="I649" s="21"/>
      <c r="J649" s="21"/>
      <c r="K649" s="22"/>
      <c r="L649" s="22"/>
      <c r="M649" s="22"/>
      <c r="N649" s="22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67"/>
      <c r="C650" s="17"/>
      <c r="D650" s="17"/>
      <c r="E650" s="17"/>
      <c r="F650" s="17"/>
      <c r="G650" s="21"/>
      <c r="H650" s="21"/>
      <c r="I650" s="21"/>
      <c r="J650" s="21"/>
      <c r="K650" s="22"/>
      <c r="L650" s="22"/>
      <c r="M650" s="22"/>
      <c r="N650" s="22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67"/>
      <c r="C651" s="17"/>
      <c r="D651" s="17"/>
      <c r="E651" s="17"/>
      <c r="F651" s="17"/>
      <c r="G651" s="21"/>
      <c r="H651" s="21"/>
      <c r="I651" s="21"/>
      <c r="J651" s="21"/>
      <c r="K651" s="22"/>
      <c r="L651" s="22"/>
      <c r="M651" s="22"/>
      <c r="N651" s="22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67"/>
      <c r="C652" s="17"/>
      <c r="D652" s="17"/>
      <c r="E652" s="17"/>
      <c r="F652" s="17"/>
      <c r="G652" s="21"/>
      <c r="H652" s="21"/>
      <c r="I652" s="21"/>
      <c r="J652" s="21"/>
      <c r="K652" s="22"/>
      <c r="L652" s="22"/>
      <c r="M652" s="22"/>
      <c r="N652" s="22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67"/>
      <c r="C653" s="17"/>
      <c r="D653" s="17"/>
      <c r="E653" s="17"/>
      <c r="F653" s="17"/>
      <c r="G653" s="21"/>
      <c r="H653" s="21"/>
      <c r="I653" s="21"/>
      <c r="J653" s="21"/>
      <c r="K653" s="22"/>
      <c r="L653" s="22"/>
      <c r="M653" s="22"/>
      <c r="N653" s="22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67"/>
      <c r="C654" s="17"/>
      <c r="D654" s="17"/>
      <c r="E654" s="17"/>
      <c r="F654" s="17"/>
      <c r="G654" s="21"/>
      <c r="H654" s="21"/>
      <c r="I654" s="21"/>
      <c r="J654" s="21"/>
      <c r="K654" s="22"/>
      <c r="L654" s="22"/>
      <c r="M654" s="22"/>
      <c r="N654" s="22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67"/>
      <c r="C655" s="17"/>
      <c r="D655" s="17"/>
      <c r="E655" s="17"/>
      <c r="F655" s="17"/>
      <c r="G655" s="21"/>
      <c r="H655" s="21"/>
      <c r="I655" s="21"/>
      <c r="J655" s="21"/>
      <c r="K655" s="22"/>
      <c r="L655" s="22"/>
      <c r="M655" s="22"/>
      <c r="N655" s="22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67"/>
      <c r="C656" s="17"/>
      <c r="D656" s="17"/>
      <c r="E656" s="17"/>
      <c r="F656" s="17"/>
      <c r="G656" s="21"/>
      <c r="H656" s="21"/>
      <c r="I656" s="21"/>
      <c r="J656" s="21"/>
      <c r="K656" s="22"/>
      <c r="L656" s="22"/>
      <c r="M656" s="22"/>
      <c r="N656" s="22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67"/>
      <c r="C657" s="17"/>
      <c r="D657" s="17"/>
      <c r="E657" s="17"/>
      <c r="F657" s="17"/>
      <c r="G657" s="21"/>
      <c r="H657" s="21"/>
      <c r="I657" s="21"/>
      <c r="J657" s="21"/>
      <c r="K657" s="22"/>
      <c r="L657" s="22"/>
      <c r="M657" s="22"/>
      <c r="N657" s="22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67"/>
      <c r="C658" s="17"/>
      <c r="D658" s="17"/>
      <c r="E658" s="17"/>
      <c r="F658" s="17"/>
      <c r="G658" s="21"/>
      <c r="H658" s="21"/>
      <c r="I658" s="21"/>
      <c r="J658" s="21"/>
      <c r="K658" s="22"/>
      <c r="L658" s="22"/>
      <c r="M658" s="22"/>
      <c r="N658" s="22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67"/>
      <c r="C659" s="17"/>
      <c r="D659" s="17"/>
      <c r="E659" s="17"/>
      <c r="F659" s="17"/>
      <c r="G659" s="21"/>
      <c r="H659" s="21"/>
      <c r="I659" s="21"/>
      <c r="J659" s="21"/>
      <c r="K659" s="22"/>
      <c r="L659" s="22"/>
      <c r="M659" s="22"/>
      <c r="N659" s="22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67"/>
      <c r="C660" s="17"/>
      <c r="D660" s="17"/>
      <c r="E660" s="17"/>
      <c r="F660" s="17"/>
      <c r="G660" s="21"/>
      <c r="H660" s="21"/>
      <c r="I660" s="21"/>
      <c r="J660" s="21"/>
      <c r="K660" s="22"/>
      <c r="L660" s="22"/>
      <c r="M660" s="22"/>
      <c r="N660" s="22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67"/>
      <c r="C661" s="17"/>
      <c r="D661" s="17"/>
      <c r="E661" s="17"/>
      <c r="F661" s="17"/>
      <c r="G661" s="21"/>
      <c r="H661" s="21"/>
      <c r="I661" s="21"/>
      <c r="J661" s="21"/>
      <c r="K661" s="22"/>
      <c r="L661" s="22"/>
      <c r="M661" s="22"/>
      <c r="N661" s="22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67"/>
      <c r="C662" s="17"/>
      <c r="D662" s="17"/>
      <c r="E662" s="17"/>
      <c r="F662" s="17"/>
      <c r="G662" s="21"/>
      <c r="H662" s="21"/>
      <c r="I662" s="21"/>
      <c r="J662" s="21"/>
      <c r="K662" s="22"/>
      <c r="L662" s="22"/>
      <c r="M662" s="22"/>
      <c r="N662" s="22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67"/>
      <c r="C663" s="17"/>
      <c r="D663" s="17"/>
      <c r="E663" s="17"/>
      <c r="F663" s="17"/>
      <c r="G663" s="21"/>
      <c r="H663" s="21"/>
      <c r="I663" s="21"/>
      <c r="J663" s="21"/>
      <c r="K663" s="22"/>
      <c r="L663" s="22"/>
      <c r="M663" s="22"/>
      <c r="N663" s="22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67"/>
      <c r="C664" s="17"/>
      <c r="D664" s="17"/>
      <c r="E664" s="17"/>
      <c r="F664" s="17"/>
      <c r="G664" s="21"/>
      <c r="H664" s="21"/>
      <c r="I664" s="21"/>
      <c r="J664" s="21"/>
      <c r="K664" s="22"/>
      <c r="L664" s="22"/>
      <c r="M664" s="22"/>
      <c r="N664" s="22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67"/>
      <c r="C665" s="17"/>
      <c r="D665" s="17"/>
      <c r="E665" s="17"/>
      <c r="F665" s="17"/>
      <c r="G665" s="21"/>
      <c r="H665" s="21"/>
      <c r="I665" s="21"/>
      <c r="J665" s="21"/>
      <c r="K665" s="22"/>
      <c r="L665" s="22"/>
      <c r="M665" s="22"/>
      <c r="N665" s="22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67"/>
      <c r="C666" s="17"/>
      <c r="D666" s="17"/>
      <c r="E666" s="17"/>
      <c r="F666" s="17"/>
      <c r="G666" s="21"/>
      <c r="H666" s="21"/>
      <c r="I666" s="21"/>
      <c r="J666" s="21"/>
      <c r="K666" s="22"/>
      <c r="L666" s="22"/>
      <c r="M666" s="22"/>
      <c r="N666" s="22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67"/>
      <c r="C667" s="17"/>
      <c r="D667" s="17"/>
      <c r="E667" s="17"/>
      <c r="F667" s="17"/>
      <c r="G667" s="21"/>
      <c r="H667" s="21"/>
      <c r="I667" s="21"/>
      <c r="J667" s="21"/>
      <c r="K667" s="22"/>
      <c r="L667" s="22"/>
      <c r="M667" s="22"/>
      <c r="N667" s="22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67"/>
      <c r="C668" s="17"/>
      <c r="D668" s="17"/>
      <c r="E668" s="17"/>
      <c r="F668" s="17"/>
      <c r="G668" s="21"/>
      <c r="H668" s="21"/>
      <c r="I668" s="21"/>
      <c r="J668" s="21"/>
      <c r="K668" s="22"/>
      <c r="L668" s="22"/>
      <c r="M668" s="22"/>
      <c r="N668" s="22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67"/>
      <c r="C669" s="17"/>
      <c r="D669" s="17"/>
      <c r="E669" s="17"/>
      <c r="F669" s="17"/>
      <c r="G669" s="21"/>
      <c r="H669" s="21"/>
      <c r="I669" s="21"/>
      <c r="J669" s="21"/>
      <c r="K669" s="22"/>
      <c r="L669" s="22"/>
      <c r="M669" s="22"/>
      <c r="N669" s="22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67"/>
      <c r="C670" s="17"/>
      <c r="D670" s="17"/>
      <c r="E670" s="17"/>
      <c r="F670" s="17"/>
      <c r="G670" s="21"/>
      <c r="H670" s="21"/>
      <c r="I670" s="21"/>
      <c r="J670" s="21"/>
      <c r="K670" s="22"/>
      <c r="L670" s="22"/>
      <c r="M670" s="22"/>
      <c r="N670" s="22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67"/>
      <c r="C671" s="17"/>
      <c r="D671" s="17"/>
      <c r="E671" s="17"/>
      <c r="F671" s="17"/>
      <c r="G671" s="21"/>
      <c r="H671" s="21"/>
      <c r="I671" s="21"/>
      <c r="J671" s="21"/>
      <c r="K671" s="22"/>
      <c r="L671" s="22"/>
      <c r="M671" s="22"/>
      <c r="N671" s="22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67"/>
      <c r="C672" s="17"/>
      <c r="D672" s="17"/>
      <c r="E672" s="17"/>
      <c r="F672" s="17"/>
      <c r="G672" s="21"/>
      <c r="H672" s="21"/>
      <c r="I672" s="21"/>
      <c r="J672" s="21"/>
      <c r="K672" s="22"/>
      <c r="L672" s="22"/>
      <c r="M672" s="22"/>
      <c r="N672" s="22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67"/>
      <c r="C673" s="17"/>
      <c r="D673" s="17"/>
      <c r="E673" s="17"/>
      <c r="F673" s="17"/>
      <c r="G673" s="21"/>
      <c r="H673" s="21"/>
      <c r="I673" s="21"/>
      <c r="J673" s="21"/>
      <c r="K673" s="22"/>
      <c r="L673" s="22"/>
      <c r="M673" s="22"/>
      <c r="N673" s="22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67"/>
      <c r="C674" s="17"/>
      <c r="D674" s="17"/>
      <c r="E674" s="17"/>
      <c r="F674" s="17"/>
      <c r="G674" s="21"/>
      <c r="H674" s="21"/>
      <c r="I674" s="21"/>
      <c r="J674" s="21"/>
      <c r="K674" s="22"/>
      <c r="L674" s="22"/>
      <c r="M674" s="22"/>
      <c r="N674" s="22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67"/>
      <c r="C675" s="17"/>
      <c r="D675" s="17"/>
      <c r="E675" s="17"/>
      <c r="F675" s="17"/>
      <c r="G675" s="21"/>
      <c r="H675" s="21"/>
      <c r="I675" s="21"/>
      <c r="J675" s="21"/>
      <c r="K675" s="22"/>
      <c r="L675" s="22"/>
      <c r="M675" s="22"/>
      <c r="N675" s="22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67"/>
      <c r="C676" s="17"/>
      <c r="D676" s="17"/>
      <c r="E676" s="17"/>
      <c r="F676" s="17"/>
      <c r="G676" s="21"/>
      <c r="H676" s="21"/>
      <c r="I676" s="21"/>
      <c r="J676" s="21"/>
      <c r="K676" s="22"/>
      <c r="L676" s="22"/>
      <c r="M676" s="22"/>
      <c r="N676" s="22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67"/>
      <c r="C677" s="17"/>
      <c r="D677" s="17"/>
      <c r="E677" s="17"/>
      <c r="F677" s="17"/>
      <c r="G677" s="21"/>
      <c r="H677" s="21"/>
      <c r="I677" s="21"/>
      <c r="J677" s="21"/>
      <c r="K677" s="22"/>
      <c r="L677" s="22"/>
      <c r="M677" s="22"/>
      <c r="N677" s="22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67"/>
      <c r="C678" s="17"/>
      <c r="D678" s="17"/>
      <c r="E678" s="17"/>
      <c r="F678" s="17"/>
      <c r="G678" s="21"/>
      <c r="H678" s="21"/>
      <c r="I678" s="21"/>
      <c r="J678" s="21"/>
      <c r="K678" s="22"/>
      <c r="L678" s="22"/>
      <c r="M678" s="22"/>
      <c r="N678" s="22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67"/>
      <c r="C679" s="17"/>
      <c r="D679" s="17"/>
      <c r="E679" s="17"/>
      <c r="F679" s="17"/>
      <c r="G679" s="21"/>
      <c r="H679" s="21"/>
      <c r="I679" s="21"/>
      <c r="J679" s="21"/>
      <c r="K679" s="22"/>
      <c r="L679" s="22"/>
      <c r="M679" s="22"/>
      <c r="N679" s="22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67"/>
      <c r="C680" s="17"/>
      <c r="D680" s="17"/>
      <c r="E680" s="17"/>
      <c r="F680" s="17"/>
      <c r="G680" s="21"/>
      <c r="H680" s="21"/>
      <c r="I680" s="21"/>
      <c r="J680" s="21"/>
      <c r="K680" s="22"/>
      <c r="L680" s="22"/>
      <c r="M680" s="22"/>
      <c r="N680" s="22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67"/>
      <c r="C681" s="17"/>
      <c r="D681" s="17"/>
      <c r="E681" s="17"/>
      <c r="F681" s="17"/>
      <c r="G681" s="21"/>
      <c r="H681" s="21"/>
      <c r="I681" s="21"/>
      <c r="J681" s="21"/>
      <c r="K681" s="22"/>
      <c r="L681" s="22"/>
      <c r="M681" s="22"/>
      <c r="N681" s="22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67"/>
      <c r="C682" s="17"/>
      <c r="D682" s="17"/>
      <c r="E682" s="17"/>
      <c r="F682" s="17"/>
      <c r="G682" s="21"/>
      <c r="H682" s="21"/>
      <c r="I682" s="21"/>
      <c r="J682" s="21"/>
      <c r="K682" s="22"/>
      <c r="L682" s="22"/>
      <c r="M682" s="22"/>
      <c r="N682" s="22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67"/>
      <c r="C683" s="17"/>
      <c r="D683" s="17"/>
      <c r="E683" s="17"/>
      <c r="F683" s="17"/>
      <c r="G683" s="21"/>
      <c r="H683" s="21"/>
      <c r="I683" s="21"/>
      <c r="J683" s="21"/>
      <c r="K683" s="22"/>
      <c r="L683" s="22"/>
      <c r="M683" s="22"/>
      <c r="N683" s="22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67"/>
      <c r="C684" s="17"/>
      <c r="D684" s="17"/>
      <c r="E684" s="17"/>
      <c r="F684" s="17"/>
      <c r="G684" s="21"/>
      <c r="H684" s="21"/>
      <c r="I684" s="21"/>
      <c r="J684" s="21"/>
      <c r="K684" s="22"/>
      <c r="L684" s="22"/>
      <c r="M684" s="22"/>
      <c r="N684" s="22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67"/>
      <c r="C685" s="17"/>
      <c r="D685" s="17"/>
      <c r="E685" s="17"/>
      <c r="F685" s="17"/>
      <c r="G685" s="21"/>
      <c r="H685" s="21"/>
      <c r="I685" s="21"/>
      <c r="J685" s="21"/>
      <c r="K685" s="22"/>
      <c r="L685" s="22"/>
      <c r="M685" s="22"/>
      <c r="N685" s="22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67"/>
      <c r="C686" s="17"/>
      <c r="D686" s="17"/>
      <c r="E686" s="17"/>
      <c r="F686" s="17"/>
      <c r="G686" s="21"/>
      <c r="H686" s="21"/>
      <c r="I686" s="21"/>
      <c r="J686" s="21"/>
      <c r="K686" s="22"/>
      <c r="L686" s="22"/>
      <c r="M686" s="22"/>
      <c r="N686" s="22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67"/>
      <c r="C687" s="17"/>
      <c r="D687" s="17"/>
      <c r="E687" s="17"/>
      <c r="F687" s="17"/>
      <c r="G687" s="21"/>
      <c r="H687" s="21"/>
      <c r="I687" s="21"/>
      <c r="J687" s="21"/>
      <c r="K687" s="22"/>
      <c r="L687" s="22"/>
      <c r="M687" s="22"/>
      <c r="N687" s="22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67"/>
      <c r="C688" s="17"/>
      <c r="D688" s="17"/>
      <c r="E688" s="17"/>
      <c r="F688" s="17"/>
      <c r="G688" s="21"/>
      <c r="H688" s="21"/>
      <c r="I688" s="21"/>
      <c r="J688" s="21"/>
      <c r="K688" s="22"/>
      <c r="L688" s="22"/>
      <c r="M688" s="22"/>
      <c r="N688" s="22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67"/>
      <c r="C689" s="17"/>
      <c r="D689" s="17"/>
      <c r="E689" s="17"/>
      <c r="F689" s="17"/>
      <c r="G689" s="21"/>
      <c r="H689" s="21"/>
      <c r="I689" s="21"/>
      <c r="J689" s="21"/>
      <c r="K689" s="22"/>
      <c r="L689" s="22"/>
      <c r="M689" s="22"/>
      <c r="N689" s="22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67"/>
      <c r="C690" s="17"/>
      <c r="D690" s="17"/>
      <c r="E690" s="17"/>
      <c r="F690" s="17"/>
      <c r="G690" s="21"/>
      <c r="H690" s="21"/>
      <c r="I690" s="21"/>
      <c r="J690" s="21"/>
      <c r="K690" s="22"/>
      <c r="L690" s="22"/>
      <c r="M690" s="22"/>
      <c r="N690" s="22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67"/>
      <c r="C691" s="17"/>
      <c r="D691" s="17"/>
      <c r="E691" s="17"/>
      <c r="F691" s="17"/>
      <c r="G691" s="21"/>
      <c r="H691" s="21"/>
      <c r="I691" s="21"/>
      <c r="J691" s="21"/>
      <c r="K691" s="22"/>
      <c r="L691" s="22"/>
      <c r="M691" s="22"/>
      <c r="N691" s="22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67"/>
      <c r="C692" s="17"/>
      <c r="D692" s="17"/>
      <c r="E692" s="17"/>
      <c r="F692" s="17"/>
      <c r="G692" s="21"/>
      <c r="H692" s="21"/>
      <c r="I692" s="21"/>
      <c r="J692" s="21"/>
      <c r="K692" s="22"/>
      <c r="L692" s="22"/>
      <c r="M692" s="22"/>
      <c r="N692" s="22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67"/>
      <c r="C693" s="17"/>
      <c r="D693" s="17"/>
      <c r="E693" s="17"/>
      <c r="F693" s="17"/>
      <c r="G693" s="21"/>
      <c r="H693" s="21"/>
      <c r="I693" s="21"/>
      <c r="J693" s="21"/>
      <c r="K693" s="22"/>
      <c r="L693" s="22"/>
      <c r="M693" s="22"/>
      <c r="N693" s="22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67"/>
      <c r="C694" s="17"/>
      <c r="D694" s="17"/>
      <c r="E694" s="17"/>
      <c r="F694" s="17"/>
      <c r="G694" s="21"/>
      <c r="H694" s="21"/>
      <c r="I694" s="21"/>
      <c r="J694" s="21"/>
      <c r="K694" s="22"/>
      <c r="L694" s="22"/>
      <c r="M694" s="22"/>
      <c r="N694" s="22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67"/>
      <c r="C695" s="17"/>
      <c r="D695" s="17"/>
      <c r="E695" s="17"/>
      <c r="F695" s="17"/>
      <c r="G695" s="21"/>
      <c r="H695" s="21"/>
      <c r="I695" s="21"/>
      <c r="J695" s="21"/>
      <c r="K695" s="22"/>
      <c r="L695" s="22"/>
      <c r="M695" s="22"/>
      <c r="N695" s="22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67"/>
      <c r="C696" s="17"/>
      <c r="D696" s="17"/>
      <c r="E696" s="17"/>
      <c r="F696" s="17"/>
      <c r="G696" s="21"/>
      <c r="H696" s="21"/>
      <c r="I696" s="21"/>
      <c r="J696" s="21"/>
      <c r="K696" s="22"/>
      <c r="L696" s="22"/>
      <c r="M696" s="22"/>
      <c r="N696" s="22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67"/>
      <c r="C697" s="17"/>
      <c r="D697" s="17"/>
      <c r="E697" s="17"/>
      <c r="F697" s="17"/>
      <c r="G697" s="21"/>
      <c r="H697" s="21"/>
      <c r="I697" s="21"/>
      <c r="J697" s="21"/>
      <c r="K697" s="22"/>
      <c r="L697" s="22"/>
      <c r="M697" s="22"/>
      <c r="N697" s="22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67"/>
      <c r="C698" s="17"/>
      <c r="D698" s="17"/>
      <c r="E698" s="17"/>
      <c r="F698" s="17"/>
      <c r="G698" s="21"/>
      <c r="H698" s="21"/>
      <c r="I698" s="21"/>
      <c r="J698" s="21"/>
      <c r="K698" s="22"/>
      <c r="L698" s="22"/>
      <c r="M698" s="22"/>
      <c r="N698" s="22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67"/>
      <c r="C699" s="17"/>
      <c r="D699" s="17"/>
      <c r="E699" s="17"/>
      <c r="F699" s="17"/>
      <c r="G699" s="21"/>
      <c r="H699" s="21"/>
      <c r="I699" s="21"/>
      <c r="J699" s="21"/>
      <c r="K699" s="22"/>
      <c r="L699" s="22"/>
      <c r="M699" s="22"/>
      <c r="N699" s="22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67"/>
      <c r="C700" s="17"/>
      <c r="D700" s="17"/>
      <c r="E700" s="17"/>
      <c r="F700" s="17"/>
      <c r="G700" s="21"/>
      <c r="H700" s="21"/>
      <c r="I700" s="21"/>
      <c r="J700" s="21"/>
      <c r="K700" s="22"/>
      <c r="L700" s="22"/>
      <c r="M700" s="22"/>
      <c r="N700" s="22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67"/>
      <c r="C701" s="17"/>
      <c r="D701" s="17"/>
      <c r="E701" s="17"/>
      <c r="F701" s="17"/>
      <c r="G701" s="21"/>
      <c r="H701" s="21"/>
      <c r="I701" s="21"/>
      <c r="J701" s="21"/>
      <c r="K701" s="22"/>
      <c r="L701" s="22"/>
      <c r="M701" s="22"/>
      <c r="N701" s="22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67"/>
      <c r="C702" s="17"/>
      <c r="D702" s="17"/>
      <c r="E702" s="17"/>
      <c r="F702" s="17"/>
      <c r="G702" s="21"/>
      <c r="H702" s="21"/>
      <c r="I702" s="21"/>
      <c r="J702" s="21"/>
      <c r="K702" s="22"/>
      <c r="L702" s="22"/>
      <c r="M702" s="22"/>
      <c r="N702" s="22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67"/>
      <c r="C703" s="17"/>
      <c r="D703" s="17"/>
      <c r="E703" s="17"/>
      <c r="F703" s="17"/>
      <c r="G703" s="21"/>
      <c r="H703" s="21"/>
      <c r="I703" s="21"/>
      <c r="J703" s="21"/>
      <c r="K703" s="22"/>
      <c r="L703" s="22"/>
      <c r="M703" s="22"/>
      <c r="N703" s="22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67"/>
      <c r="C704" s="17"/>
      <c r="D704" s="17"/>
      <c r="E704" s="17"/>
      <c r="F704" s="17"/>
      <c r="G704" s="21"/>
      <c r="H704" s="21"/>
      <c r="I704" s="21"/>
      <c r="J704" s="21"/>
      <c r="K704" s="22"/>
      <c r="L704" s="22"/>
      <c r="M704" s="22"/>
      <c r="N704" s="22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67"/>
      <c r="C705" s="17"/>
      <c r="D705" s="17"/>
      <c r="E705" s="17"/>
      <c r="F705" s="17"/>
      <c r="G705" s="21"/>
      <c r="H705" s="21"/>
      <c r="I705" s="21"/>
      <c r="J705" s="21"/>
      <c r="K705" s="22"/>
      <c r="L705" s="22"/>
      <c r="M705" s="22"/>
      <c r="N705" s="22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67"/>
      <c r="C706" s="17"/>
      <c r="D706" s="17"/>
      <c r="E706" s="17"/>
      <c r="F706" s="17"/>
      <c r="G706" s="21"/>
      <c r="H706" s="21"/>
      <c r="I706" s="21"/>
      <c r="J706" s="21"/>
      <c r="K706" s="22"/>
      <c r="L706" s="22"/>
      <c r="M706" s="22"/>
      <c r="N706" s="22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67"/>
      <c r="C707" s="17"/>
      <c r="D707" s="17"/>
      <c r="E707" s="17"/>
      <c r="F707" s="17"/>
      <c r="G707" s="21"/>
      <c r="H707" s="21"/>
      <c r="I707" s="21"/>
      <c r="J707" s="21"/>
      <c r="K707" s="22"/>
      <c r="L707" s="22"/>
      <c r="M707" s="22"/>
      <c r="N707" s="22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67"/>
      <c r="C708" s="17"/>
      <c r="D708" s="17"/>
      <c r="E708" s="17"/>
      <c r="F708" s="17"/>
      <c r="G708" s="21"/>
      <c r="H708" s="21"/>
      <c r="I708" s="21"/>
      <c r="J708" s="21"/>
      <c r="K708" s="22"/>
      <c r="L708" s="22"/>
      <c r="M708" s="22"/>
      <c r="N708" s="22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67"/>
      <c r="C709" s="17"/>
      <c r="D709" s="17"/>
      <c r="E709" s="17"/>
      <c r="F709" s="17"/>
      <c r="G709" s="21"/>
      <c r="H709" s="21"/>
      <c r="I709" s="21"/>
      <c r="J709" s="21"/>
      <c r="K709" s="22"/>
      <c r="L709" s="22"/>
      <c r="M709" s="22"/>
      <c r="N709" s="22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67"/>
      <c r="C710" s="17"/>
      <c r="D710" s="17"/>
      <c r="E710" s="17"/>
      <c r="F710" s="17"/>
      <c r="G710" s="21"/>
      <c r="H710" s="21"/>
      <c r="I710" s="21"/>
      <c r="J710" s="21"/>
      <c r="K710" s="22"/>
      <c r="L710" s="22"/>
      <c r="M710" s="22"/>
      <c r="N710" s="22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67"/>
      <c r="C711" s="17"/>
      <c r="D711" s="17"/>
      <c r="E711" s="17"/>
      <c r="F711" s="17"/>
      <c r="G711" s="21"/>
      <c r="H711" s="21"/>
      <c r="I711" s="21"/>
      <c r="J711" s="21"/>
      <c r="K711" s="22"/>
      <c r="L711" s="22"/>
      <c r="M711" s="22"/>
      <c r="N711" s="22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67"/>
      <c r="C712" s="17"/>
      <c r="D712" s="17"/>
      <c r="E712" s="17"/>
      <c r="F712" s="17"/>
      <c r="G712" s="21"/>
      <c r="H712" s="21"/>
      <c r="I712" s="21"/>
      <c r="J712" s="21"/>
      <c r="K712" s="22"/>
      <c r="L712" s="22"/>
      <c r="M712" s="22"/>
      <c r="N712" s="22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67"/>
      <c r="C713" s="17"/>
      <c r="D713" s="17"/>
      <c r="E713" s="17"/>
      <c r="F713" s="17"/>
      <c r="G713" s="21"/>
      <c r="H713" s="21"/>
      <c r="I713" s="21"/>
      <c r="J713" s="21"/>
      <c r="K713" s="22"/>
      <c r="L713" s="22"/>
      <c r="M713" s="22"/>
      <c r="N713" s="22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67"/>
      <c r="C714" s="17"/>
      <c r="D714" s="17"/>
      <c r="E714" s="17"/>
      <c r="F714" s="17"/>
      <c r="G714" s="21"/>
      <c r="H714" s="21"/>
      <c r="I714" s="21"/>
      <c r="J714" s="21"/>
      <c r="K714" s="22"/>
      <c r="L714" s="22"/>
      <c r="M714" s="22"/>
      <c r="N714" s="22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67"/>
      <c r="C715" s="17"/>
      <c r="D715" s="17"/>
      <c r="E715" s="17"/>
      <c r="F715" s="17"/>
      <c r="G715" s="21"/>
      <c r="H715" s="21"/>
      <c r="I715" s="21"/>
      <c r="J715" s="21"/>
      <c r="K715" s="22"/>
      <c r="L715" s="22"/>
      <c r="M715" s="22"/>
      <c r="N715" s="22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67"/>
      <c r="C716" s="17"/>
      <c r="D716" s="17"/>
      <c r="E716" s="17"/>
      <c r="F716" s="17"/>
      <c r="G716" s="21"/>
      <c r="H716" s="21"/>
      <c r="I716" s="21"/>
      <c r="J716" s="21"/>
      <c r="K716" s="22"/>
      <c r="L716" s="22"/>
      <c r="M716" s="22"/>
      <c r="N716" s="22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67"/>
      <c r="C717" s="17"/>
      <c r="D717" s="17"/>
      <c r="E717" s="17"/>
      <c r="F717" s="17"/>
      <c r="G717" s="21"/>
      <c r="H717" s="21"/>
      <c r="I717" s="21"/>
      <c r="J717" s="21"/>
      <c r="K717" s="22"/>
      <c r="L717" s="22"/>
      <c r="M717" s="22"/>
      <c r="N717" s="22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67"/>
      <c r="C718" s="17"/>
      <c r="D718" s="17"/>
      <c r="E718" s="17"/>
      <c r="F718" s="17"/>
      <c r="G718" s="21"/>
      <c r="H718" s="21"/>
      <c r="I718" s="21"/>
      <c r="J718" s="21"/>
      <c r="K718" s="22"/>
      <c r="L718" s="22"/>
      <c r="M718" s="22"/>
      <c r="N718" s="22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67"/>
      <c r="C719" s="17"/>
      <c r="D719" s="17"/>
      <c r="E719" s="17"/>
      <c r="F719" s="17"/>
      <c r="G719" s="21"/>
      <c r="H719" s="21"/>
      <c r="I719" s="21"/>
      <c r="J719" s="21"/>
      <c r="K719" s="22"/>
      <c r="L719" s="22"/>
      <c r="M719" s="22"/>
      <c r="N719" s="22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67"/>
      <c r="C720" s="17"/>
      <c r="D720" s="17"/>
      <c r="E720" s="17"/>
      <c r="F720" s="17"/>
      <c r="G720" s="21"/>
      <c r="H720" s="21"/>
      <c r="I720" s="21"/>
      <c r="J720" s="21"/>
      <c r="K720" s="22"/>
      <c r="L720" s="22"/>
      <c r="M720" s="22"/>
      <c r="N720" s="22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67"/>
      <c r="C721" s="17"/>
      <c r="D721" s="17"/>
      <c r="E721" s="17"/>
      <c r="F721" s="17"/>
      <c r="G721" s="21"/>
      <c r="H721" s="21"/>
      <c r="I721" s="21"/>
      <c r="J721" s="21"/>
      <c r="K721" s="22"/>
      <c r="L721" s="22"/>
      <c r="M721" s="22"/>
      <c r="N721" s="22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67"/>
      <c r="C722" s="17"/>
      <c r="D722" s="17"/>
      <c r="E722" s="17"/>
      <c r="F722" s="17"/>
      <c r="G722" s="21"/>
      <c r="H722" s="21"/>
      <c r="I722" s="21"/>
      <c r="J722" s="21"/>
      <c r="K722" s="22"/>
      <c r="L722" s="22"/>
      <c r="M722" s="22"/>
      <c r="N722" s="22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67"/>
      <c r="C723" s="17"/>
      <c r="D723" s="17"/>
      <c r="E723" s="17"/>
      <c r="F723" s="17"/>
      <c r="G723" s="21"/>
      <c r="H723" s="21"/>
      <c r="I723" s="21"/>
      <c r="J723" s="21"/>
      <c r="K723" s="22"/>
      <c r="L723" s="22"/>
      <c r="M723" s="22"/>
      <c r="N723" s="22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67"/>
      <c r="C724" s="17"/>
      <c r="D724" s="17"/>
      <c r="E724" s="17"/>
      <c r="F724" s="17"/>
      <c r="G724" s="21"/>
      <c r="H724" s="21"/>
      <c r="I724" s="21"/>
      <c r="J724" s="21"/>
      <c r="K724" s="22"/>
      <c r="L724" s="22"/>
      <c r="M724" s="22"/>
      <c r="N724" s="22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67"/>
      <c r="C725" s="17"/>
      <c r="D725" s="17"/>
      <c r="E725" s="17"/>
      <c r="F725" s="17"/>
      <c r="G725" s="21"/>
      <c r="H725" s="21"/>
      <c r="I725" s="21"/>
      <c r="J725" s="21"/>
      <c r="K725" s="22"/>
      <c r="L725" s="22"/>
      <c r="M725" s="22"/>
      <c r="N725" s="22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67"/>
      <c r="C726" s="17"/>
      <c r="D726" s="17"/>
      <c r="E726" s="17"/>
      <c r="F726" s="17"/>
      <c r="G726" s="21"/>
      <c r="H726" s="21"/>
      <c r="I726" s="21"/>
      <c r="J726" s="21"/>
      <c r="K726" s="22"/>
      <c r="L726" s="22"/>
      <c r="M726" s="22"/>
      <c r="N726" s="22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67"/>
      <c r="C727" s="17"/>
      <c r="D727" s="17"/>
      <c r="E727" s="17"/>
      <c r="F727" s="17"/>
      <c r="G727" s="21"/>
      <c r="H727" s="21"/>
      <c r="I727" s="21"/>
      <c r="J727" s="21"/>
      <c r="K727" s="22"/>
      <c r="L727" s="22"/>
      <c r="M727" s="22"/>
      <c r="N727" s="22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67"/>
      <c r="C728" s="17"/>
      <c r="D728" s="17"/>
      <c r="E728" s="17"/>
      <c r="F728" s="17"/>
      <c r="G728" s="21"/>
      <c r="H728" s="21"/>
      <c r="I728" s="21"/>
      <c r="J728" s="21"/>
      <c r="K728" s="22"/>
      <c r="L728" s="22"/>
      <c r="M728" s="22"/>
      <c r="N728" s="22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67"/>
      <c r="C729" s="17"/>
      <c r="D729" s="17"/>
      <c r="E729" s="17"/>
      <c r="F729" s="17"/>
      <c r="G729" s="21"/>
      <c r="H729" s="21"/>
      <c r="I729" s="21"/>
      <c r="J729" s="21"/>
      <c r="K729" s="22"/>
      <c r="L729" s="22"/>
      <c r="M729" s="22"/>
      <c r="N729" s="22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67"/>
      <c r="C730" s="17"/>
      <c r="D730" s="17"/>
      <c r="E730" s="17"/>
      <c r="F730" s="17"/>
      <c r="G730" s="21"/>
      <c r="H730" s="21"/>
      <c r="I730" s="21"/>
      <c r="J730" s="21"/>
      <c r="K730" s="22"/>
      <c r="L730" s="22"/>
      <c r="M730" s="22"/>
      <c r="N730" s="22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67"/>
      <c r="C731" s="17"/>
      <c r="D731" s="17"/>
      <c r="E731" s="17"/>
      <c r="F731" s="17"/>
      <c r="G731" s="21"/>
      <c r="H731" s="21"/>
      <c r="I731" s="21"/>
      <c r="J731" s="21"/>
      <c r="K731" s="22"/>
      <c r="L731" s="22"/>
      <c r="M731" s="22"/>
      <c r="N731" s="22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67"/>
      <c r="C732" s="17"/>
      <c r="D732" s="17"/>
      <c r="E732" s="17"/>
      <c r="F732" s="17"/>
      <c r="G732" s="21"/>
      <c r="H732" s="21"/>
      <c r="I732" s="21"/>
      <c r="J732" s="21"/>
      <c r="K732" s="22"/>
      <c r="L732" s="22"/>
      <c r="M732" s="22"/>
      <c r="N732" s="22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67"/>
      <c r="C733" s="17"/>
      <c r="D733" s="17"/>
      <c r="E733" s="17"/>
      <c r="F733" s="17"/>
      <c r="G733" s="21"/>
      <c r="H733" s="21"/>
      <c r="I733" s="21"/>
      <c r="J733" s="21"/>
      <c r="K733" s="22"/>
      <c r="L733" s="22"/>
      <c r="M733" s="22"/>
      <c r="N733" s="22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67"/>
      <c r="C734" s="17"/>
      <c r="D734" s="17"/>
      <c r="E734" s="17"/>
      <c r="F734" s="17"/>
      <c r="G734" s="21"/>
      <c r="H734" s="21"/>
      <c r="I734" s="21"/>
      <c r="J734" s="21"/>
      <c r="K734" s="22"/>
      <c r="L734" s="22"/>
      <c r="M734" s="22"/>
      <c r="N734" s="22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67"/>
      <c r="C735" s="17"/>
      <c r="D735" s="17"/>
      <c r="E735" s="17"/>
      <c r="F735" s="17"/>
      <c r="G735" s="21"/>
      <c r="H735" s="21"/>
      <c r="I735" s="21"/>
      <c r="J735" s="21"/>
      <c r="K735" s="22"/>
      <c r="L735" s="22"/>
      <c r="M735" s="22"/>
      <c r="N735" s="22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67"/>
      <c r="C736" s="17"/>
      <c r="D736" s="17"/>
      <c r="E736" s="17"/>
      <c r="F736" s="17"/>
      <c r="G736" s="21"/>
      <c r="H736" s="21"/>
      <c r="I736" s="21"/>
      <c r="J736" s="21"/>
      <c r="K736" s="22"/>
      <c r="L736" s="22"/>
      <c r="M736" s="22"/>
      <c r="N736" s="22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67"/>
      <c r="C737" s="17"/>
      <c r="D737" s="17"/>
      <c r="E737" s="17"/>
      <c r="F737" s="17"/>
      <c r="G737" s="21"/>
      <c r="H737" s="21"/>
      <c r="I737" s="21"/>
      <c r="J737" s="21"/>
      <c r="K737" s="22"/>
      <c r="L737" s="22"/>
      <c r="M737" s="22"/>
      <c r="N737" s="22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67"/>
      <c r="C738" s="17"/>
      <c r="D738" s="17"/>
      <c r="E738" s="17"/>
      <c r="F738" s="17"/>
      <c r="G738" s="21"/>
      <c r="H738" s="21"/>
      <c r="I738" s="21"/>
      <c r="J738" s="21"/>
      <c r="K738" s="22"/>
      <c r="L738" s="22"/>
      <c r="M738" s="22"/>
      <c r="N738" s="22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67"/>
      <c r="C739" s="17"/>
      <c r="D739" s="17"/>
      <c r="E739" s="17"/>
      <c r="F739" s="17"/>
      <c r="G739" s="21"/>
      <c r="H739" s="21"/>
      <c r="I739" s="21"/>
      <c r="J739" s="21"/>
      <c r="K739" s="22"/>
      <c r="L739" s="22"/>
      <c r="M739" s="22"/>
      <c r="N739" s="22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67"/>
      <c r="C740" s="17"/>
      <c r="D740" s="17"/>
      <c r="E740" s="17"/>
      <c r="F740" s="17"/>
      <c r="G740" s="21"/>
      <c r="H740" s="21"/>
      <c r="I740" s="21"/>
      <c r="J740" s="21"/>
      <c r="K740" s="22"/>
      <c r="L740" s="22"/>
      <c r="M740" s="22"/>
      <c r="N740" s="22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67"/>
      <c r="C741" s="17"/>
      <c r="D741" s="17"/>
      <c r="E741" s="17"/>
      <c r="F741" s="17"/>
      <c r="G741" s="21"/>
      <c r="H741" s="21"/>
      <c r="I741" s="21"/>
      <c r="J741" s="21"/>
      <c r="K741" s="22"/>
      <c r="L741" s="22"/>
      <c r="M741" s="22"/>
      <c r="N741" s="22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67"/>
      <c r="C742" s="17"/>
      <c r="D742" s="17"/>
      <c r="E742" s="17"/>
      <c r="F742" s="17"/>
      <c r="G742" s="21"/>
      <c r="H742" s="21"/>
      <c r="I742" s="21"/>
      <c r="J742" s="21"/>
      <c r="K742" s="22"/>
      <c r="L742" s="22"/>
      <c r="M742" s="22"/>
      <c r="N742" s="22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67"/>
      <c r="C743" s="17"/>
      <c r="D743" s="17"/>
      <c r="E743" s="17"/>
      <c r="F743" s="17"/>
      <c r="G743" s="21"/>
      <c r="H743" s="21"/>
      <c r="I743" s="21"/>
      <c r="J743" s="21"/>
      <c r="K743" s="22"/>
      <c r="L743" s="22"/>
      <c r="M743" s="22"/>
      <c r="N743" s="22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67"/>
      <c r="C744" s="17"/>
      <c r="D744" s="17"/>
      <c r="E744" s="17"/>
      <c r="F744" s="17"/>
      <c r="G744" s="21"/>
      <c r="H744" s="21"/>
      <c r="I744" s="21"/>
      <c r="J744" s="21"/>
      <c r="K744" s="22"/>
      <c r="L744" s="22"/>
      <c r="M744" s="22"/>
      <c r="N744" s="22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67"/>
      <c r="C745" s="17"/>
      <c r="D745" s="17"/>
      <c r="E745" s="17"/>
      <c r="F745" s="17"/>
      <c r="G745" s="21"/>
      <c r="H745" s="21"/>
      <c r="I745" s="21"/>
      <c r="J745" s="21"/>
      <c r="K745" s="22"/>
      <c r="L745" s="22"/>
      <c r="M745" s="22"/>
      <c r="N745" s="22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67"/>
      <c r="C746" s="17"/>
      <c r="D746" s="17"/>
      <c r="E746" s="17"/>
      <c r="F746" s="17"/>
      <c r="G746" s="21"/>
      <c r="H746" s="21"/>
      <c r="I746" s="21"/>
      <c r="J746" s="21"/>
      <c r="K746" s="22"/>
      <c r="L746" s="22"/>
      <c r="M746" s="22"/>
      <c r="N746" s="22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67"/>
      <c r="C747" s="17"/>
      <c r="D747" s="17"/>
      <c r="E747" s="17"/>
      <c r="F747" s="17"/>
      <c r="G747" s="21"/>
      <c r="H747" s="21"/>
      <c r="I747" s="21"/>
      <c r="J747" s="21"/>
      <c r="K747" s="22"/>
      <c r="L747" s="22"/>
      <c r="M747" s="22"/>
      <c r="N747" s="22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67"/>
      <c r="C748" s="17"/>
      <c r="D748" s="17"/>
      <c r="E748" s="17"/>
      <c r="F748" s="17"/>
      <c r="G748" s="21"/>
      <c r="H748" s="21"/>
      <c r="I748" s="21"/>
      <c r="J748" s="21"/>
      <c r="K748" s="22"/>
      <c r="L748" s="22"/>
      <c r="M748" s="22"/>
      <c r="N748" s="22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67"/>
      <c r="C749" s="17"/>
      <c r="D749" s="17"/>
      <c r="E749" s="17"/>
      <c r="F749" s="17"/>
      <c r="G749" s="21"/>
      <c r="H749" s="21"/>
      <c r="I749" s="21"/>
      <c r="J749" s="21"/>
      <c r="K749" s="22"/>
      <c r="L749" s="22"/>
      <c r="M749" s="22"/>
      <c r="N749" s="22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67"/>
      <c r="C750" s="17"/>
      <c r="D750" s="17"/>
      <c r="E750" s="17"/>
      <c r="F750" s="17"/>
      <c r="G750" s="21"/>
      <c r="H750" s="21"/>
      <c r="I750" s="21"/>
      <c r="J750" s="21"/>
      <c r="K750" s="22"/>
      <c r="L750" s="22"/>
      <c r="M750" s="22"/>
      <c r="N750" s="22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67"/>
      <c r="C751" s="17"/>
      <c r="D751" s="17"/>
      <c r="E751" s="17"/>
      <c r="F751" s="17"/>
      <c r="G751" s="21"/>
      <c r="H751" s="21"/>
      <c r="I751" s="21"/>
      <c r="J751" s="21"/>
      <c r="K751" s="22"/>
      <c r="L751" s="22"/>
      <c r="M751" s="22"/>
      <c r="N751" s="22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67"/>
      <c r="C752" s="17"/>
      <c r="D752" s="17"/>
      <c r="E752" s="17"/>
      <c r="F752" s="17"/>
      <c r="G752" s="21"/>
      <c r="H752" s="21"/>
      <c r="I752" s="21"/>
      <c r="J752" s="21"/>
      <c r="K752" s="22"/>
      <c r="L752" s="22"/>
      <c r="M752" s="22"/>
      <c r="N752" s="22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67"/>
      <c r="C753" s="17"/>
      <c r="D753" s="17"/>
      <c r="E753" s="17"/>
      <c r="F753" s="17"/>
      <c r="G753" s="21"/>
      <c r="H753" s="21"/>
      <c r="I753" s="21"/>
      <c r="J753" s="21"/>
      <c r="K753" s="22"/>
      <c r="L753" s="22"/>
      <c r="M753" s="22"/>
      <c r="N753" s="22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67"/>
      <c r="C754" s="17"/>
      <c r="D754" s="17"/>
      <c r="E754" s="17"/>
      <c r="F754" s="17"/>
      <c r="G754" s="21"/>
      <c r="H754" s="21"/>
      <c r="I754" s="21"/>
      <c r="J754" s="21"/>
      <c r="K754" s="22"/>
      <c r="L754" s="22"/>
      <c r="M754" s="22"/>
      <c r="N754" s="22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67"/>
      <c r="C755" s="17"/>
      <c r="D755" s="17"/>
      <c r="E755" s="17"/>
      <c r="F755" s="17"/>
      <c r="G755" s="21"/>
      <c r="H755" s="21"/>
      <c r="I755" s="21"/>
      <c r="J755" s="21"/>
      <c r="K755" s="22"/>
      <c r="L755" s="22"/>
      <c r="M755" s="22"/>
      <c r="N755" s="22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67"/>
      <c r="C756" s="17"/>
      <c r="D756" s="17"/>
      <c r="E756" s="17"/>
      <c r="F756" s="17"/>
      <c r="G756" s="21"/>
      <c r="H756" s="21"/>
      <c r="I756" s="21"/>
      <c r="J756" s="21"/>
      <c r="K756" s="22"/>
      <c r="L756" s="22"/>
      <c r="M756" s="22"/>
      <c r="N756" s="22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67"/>
      <c r="C757" s="17"/>
      <c r="D757" s="17"/>
      <c r="E757" s="17"/>
      <c r="F757" s="17"/>
      <c r="G757" s="21"/>
      <c r="H757" s="21"/>
      <c r="I757" s="21"/>
      <c r="J757" s="21"/>
      <c r="K757" s="22"/>
      <c r="L757" s="22"/>
      <c r="M757" s="22"/>
      <c r="N757" s="22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67"/>
      <c r="C758" s="17"/>
      <c r="D758" s="17"/>
      <c r="E758" s="17"/>
      <c r="F758" s="17"/>
      <c r="G758" s="21"/>
      <c r="H758" s="21"/>
      <c r="I758" s="21"/>
      <c r="J758" s="21"/>
      <c r="K758" s="22"/>
      <c r="L758" s="22"/>
      <c r="M758" s="22"/>
      <c r="N758" s="22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67"/>
      <c r="C759" s="17"/>
      <c r="D759" s="17"/>
      <c r="E759" s="17"/>
      <c r="F759" s="17"/>
      <c r="G759" s="21"/>
      <c r="H759" s="21"/>
      <c r="I759" s="21"/>
      <c r="J759" s="21"/>
      <c r="K759" s="22"/>
      <c r="L759" s="22"/>
      <c r="M759" s="22"/>
      <c r="N759" s="22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67"/>
      <c r="C760" s="17"/>
      <c r="D760" s="17"/>
      <c r="E760" s="17"/>
      <c r="F760" s="17"/>
      <c r="G760" s="21"/>
      <c r="H760" s="21"/>
      <c r="I760" s="21"/>
      <c r="J760" s="21"/>
      <c r="K760" s="22"/>
      <c r="L760" s="22"/>
      <c r="M760" s="22"/>
      <c r="N760" s="22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67"/>
      <c r="C761" s="17"/>
      <c r="D761" s="17"/>
      <c r="E761" s="17"/>
      <c r="F761" s="17"/>
      <c r="G761" s="21"/>
      <c r="H761" s="21"/>
      <c r="I761" s="21"/>
      <c r="J761" s="21"/>
      <c r="K761" s="22"/>
      <c r="L761" s="22"/>
      <c r="M761" s="22"/>
      <c r="N761" s="22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67"/>
      <c r="C762" s="17"/>
      <c r="D762" s="17"/>
      <c r="E762" s="17"/>
      <c r="F762" s="17"/>
      <c r="G762" s="21"/>
      <c r="H762" s="21"/>
      <c r="I762" s="21"/>
      <c r="J762" s="21"/>
      <c r="K762" s="22"/>
      <c r="L762" s="22"/>
      <c r="M762" s="22"/>
      <c r="N762" s="22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67"/>
      <c r="C763" s="17"/>
      <c r="D763" s="17"/>
      <c r="E763" s="17"/>
      <c r="F763" s="17"/>
      <c r="G763" s="21"/>
      <c r="H763" s="21"/>
      <c r="I763" s="21"/>
      <c r="J763" s="21"/>
      <c r="K763" s="22"/>
      <c r="L763" s="22"/>
      <c r="M763" s="22"/>
      <c r="N763" s="22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67"/>
      <c r="C764" s="17"/>
      <c r="D764" s="17"/>
      <c r="E764" s="17"/>
      <c r="F764" s="17"/>
      <c r="G764" s="21"/>
      <c r="H764" s="21"/>
      <c r="I764" s="21"/>
      <c r="J764" s="21"/>
      <c r="K764" s="22"/>
      <c r="L764" s="22"/>
      <c r="M764" s="22"/>
      <c r="N764" s="22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67"/>
      <c r="C765" s="17"/>
      <c r="D765" s="17"/>
      <c r="E765" s="17"/>
      <c r="F765" s="17"/>
      <c r="G765" s="21"/>
      <c r="H765" s="21"/>
      <c r="I765" s="21"/>
      <c r="J765" s="21"/>
      <c r="K765" s="22"/>
      <c r="L765" s="22"/>
      <c r="M765" s="22"/>
      <c r="N765" s="22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67"/>
      <c r="C766" s="17"/>
      <c r="D766" s="17"/>
      <c r="E766" s="17"/>
      <c r="F766" s="17"/>
      <c r="G766" s="21"/>
      <c r="H766" s="21"/>
      <c r="I766" s="21"/>
      <c r="J766" s="21"/>
      <c r="K766" s="22"/>
      <c r="L766" s="22"/>
      <c r="M766" s="22"/>
      <c r="N766" s="22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67"/>
      <c r="C767" s="17"/>
      <c r="D767" s="17"/>
      <c r="E767" s="17"/>
      <c r="F767" s="17"/>
      <c r="G767" s="21"/>
      <c r="H767" s="21"/>
      <c r="I767" s="21"/>
      <c r="J767" s="21"/>
      <c r="K767" s="22"/>
      <c r="L767" s="22"/>
      <c r="M767" s="22"/>
      <c r="N767" s="22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67"/>
      <c r="C768" s="17"/>
      <c r="D768" s="17"/>
      <c r="E768" s="17"/>
      <c r="F768" s="17"/>
      <c r="G768" s="21"/>
      <c r="H768" s="21"/>
      <c r="I768" s="21"/>
      <c r="J768" s="21"/>
      <c r="K768" s="22"/>
      <c r="L768" s="22"/>
      <c r="M768" s="22"/>
      <c r="N768" s="22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67"/>
      <c r="C769" s="17"/>
      <c r="D769" s="17"/>
      <c r="E769" s="17"/>
      <c r="F769" s="17"/>
      <c r="G769" s="21"/>
      <c r="H769" s="21"/>
      <c r="I769" s="21"/>
      <c r="J769" s="21"/>
      <c r="K769" s="22"/>
      <c r="L769" s="22"/>
      <c r="M769" s="22"/>
      <c r="N769" s="22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67"/>
      <c r="C770" s="17"/>
      <c r="D770" s="17"/>
      <c r="E770" s="17"/>
      <c r="F770" s="17"/>
      <c r="G770" s="21"/>
      <c r="H770" s="21"/>
      <c r="I770" s="21"/>
      <c r="J770" s="21"/>
      <c r="K770" s="22"/>
      <c r="L770" s="22"/>
      <c r="M770" s="22"/>
      <c r="N770" s="22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67"/>
      <c r="C771" s="17"/>
      <c r="D771" s="17"/>
      <c r="E771" s="17"/>
      <c r="F771" s="17"/>
      <c r="G771" s="21"/>
      <c r="H771" s="21"/>
      <c r="I771" s="21"/>
      <c r="J771" s="21"/>
      <c r="K771" s="22"/>
      <c r="L771" s="22"/>
      <c r="M771" s="22"/>
      <c r="N771" s="22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67"/>
      <c r="C772" s="17"/>
      <c r="D772" s="17"/>
      <c r="E772" s="17"/>
      <c r="F772" s="17"/>
      <c r="G772" s="21"/>
      <c r="H772" s="21"/>
      <c r="I772" s="21"/>
      <c r="J772" s="21"/>
      <c r="K772" s="22"/>
      <c r="L772" s="22"/>
      <c r="M772" s="22"/>
      <c r="N772" s="22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67"/>
      <c r="C773" s="17"/>
      <c r="D773" s="17"/>
      <c r="E773" s="17"/>
      <c r="F773" s="17"/>
      <c r="G773" s="21"/>
      <c r="H773" s="21"/>
      <c r="I773" s="21"/>
      <c r="J773" s="21"/>
      <c r="K773" s="22"/>
      <c r="L773" s="22"/>
      <c r="M773" s="22"/>
      <c r="N773" s="22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67"/>
      <c r="C774" s="17"/>
      <c r="D774" s="17"/>
      <c r="E774" s="17"/>
      <c r="F774" s="17"/>
      <c r="G774" s="21"/>
      <c r="H774" s="21"/>
      <c r="I774" s="21"/>
      <c r="J774" s="21"/>
      <c r="K774" s="22"/>
      <c r="L774" s="22"/>
      <c r="M774" s="22"/>
      <c r="N774" s="22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67"/>
      <c r="C775" s="17"/>
      <c r="D775" s="17"/>
      <c r="E775" s="17"/>
      <c r="F775" s="17"/>
      <c r="G775" s="21"/>
      <c r="H775" s="21"/>
      <c r="I775" s="21"/>
      <c r="J775" s="21"/>
      <c r="K775" s="22"/>
      <c r="L775" s="22"/>
      <c r="M775" s="22"/>
      <c r="N775" s="22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67"/>
      <c r="C776" s="17"/>
      <c r="D776" s="17"/>
      <c r="E776" s="17"/>
      <c r="F776" s="17"/>
      <c r="G776" s="21"/>
      <c r="H776" s="21"/>
      <c r="I776" s="21"/>
      <c r="J776" s="21"/>
      <c r="K776" s="22"/>
      <c r="L776" s="22"/>
      <c r="M776" s="22"/>
      <c r="N776" s="22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67"/>
      <c r="C777" s="17"/>
      <c r="D777" s="17"/>
      <c r="E777" s="17"/>
      <c r="F777" s="17"/>
      <c r="G777" s="21"/>
      <c r="H777" s="21"/>
      <c r="I777" s="21"/>
      <c r="J777" s="21"/>
      <c r="K777" s="22"/>
      <c r="L777" s="22"/>
      <c r="M777" s="22"/>
      <c r="N777" s="22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67"/>
      <c r="C778" s="17"/>
      <c r="D778" s="17"/>
      <c r="E778" s="17"/>
      <c r="F778" s="17"/>
      <c r="G778" s="21"/>
      <c r="H778" s="21"/>
      <c r="I778" s="21"/>
      <c r="J778" s="21"/>
      <c r="K778" s="22"/>
      <c r="L778" s="22"/>
      <c r="M778" s="22"/>
      <c r="N778" s="22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67"/>
      <c r="C779" s="17"/>
      <c r="D779" s="17"/>
      <c r="E779" s="17"/>
      <c r="F779" s="17"/>
      <c r="G779" s="21"/>
      <c r="H779" s="21"/>
      <c r="I779" s="21"/>
      <c r="J779" s="21"/>
      <c r="K779" s="22"/>
      <c r="L779" s="22"/>
      <c r="M779" s="22"/>
      <c r="N779" s="22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67"/>
      <c r="C780" s="17"/>
      <c r="D780" s="17"/>
      <c r="E780" s="17"/>
      <c r="F780" s="17"/>
      <c r="G780" s="21"/>
      <c r="H780" s="21"/>
      <c r="I780" s="21"/>
      <c r="J780" s="21"/>
      <c r="K780" s="22"/>
      <c r="L780" s="22"/>
      <c r="M780" s="22"/>
      <c r="N780" s="22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67"/>
      <c r="C781" s="17"/>
      <c r="D781" s="17"/>
      <c r="E781" s="17"/>
      <c r="F781" s="17"/>
      <c r="G781" s="21"/>
      <c r="H781" s="21"/>
      <c r="I781" s="21"/>
      <c r="J781" s="21"/>
      <c r="K781" s="22"/>
      <c r="L781" s="22"/>
      <c r="M781" s="22"/>
      <c r="N781" s="22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67"/>
      <c r="C782" s="17"/>
      <c r="D782" s="17"/>
      <c r="E782" s="17"/>
      <c r="F782" s="17"/>
      <c r="G782" s="21"/>
      <c r="H782" s="21"/>
      <c r="I782" s="21"/>
      <c r="J782" s="21"/>
      <c r="K782" s="22"/>
      <c r="L782" s="22"/>
      <c r="M782" s="22"/>
      <c r="N782" s="22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67"/>
      <c r="C783" s="17"/>
      <c r="D783" s="17"/>
      <c r="E783" s="17"/>
      <c r="F783" s="17"/>
      <c r="G783" s="21"/>
      <c r="H783" s="21"/>
      <c r="I783" s="21"/>
      <c r="J783" s="21"/>
      <c r="K783" s="22"/>
      <c r="L783" s="22"/>
      <c r="M783" s="22"/>
      <c r="N783" s="22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67"/>
      <c r="C784" s="17"/>
      <c r="D784" s="17"/>
      <c r="E784" s="17"/>
      <c r="F784" s="17"/>
      <c r="G784" s="21"/>
      <c r="H784" s="21"/>
      <c r="I784" s="21"/>
      <c r="J784" s="21"/>
      <c r="K784" s="22"/>
      <c r="L784" s="22"/>
      <c r="M784" s="22"/>
      <c r="N784" s="22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67"/>
      <c r="C785" s="17"/>
      <c r="D785" s="17"/>
      <c r="E785" s="17"/>
      <c r="F785" s="17"/>
      <c r="G785" s="21"/>
      <c r="H785" s="21"/>
      <c r="I785" s="21"/>
      <c r="J785" s="21"/>
      <c r="K785" s="22"/>
      <c r="L785" s="22"/>
      <c r="M785" s="22"/>
      <c r="N785" s="22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67"/>
      <c r="C786" s="17"/>
      <c r="D786" s="17"/>
      <c r="E786" s="17"/>
      <c r="F786" s="17"/>
      <c r="G786" s="21"/>
      <c r="H786" s="21"/>
      <c r="I786" s="21"/>
      <c r="J786" s="21"/>
      <c r="K786" s="22"/>
      <c r="L786" s="22"/>
      <c r="M786" s="22"/>
      <c r="N786" s="22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67"/>
      <c r="C787" s="17"/>
      <c r="D787" s="17"/>
      <c r="E787" s="17"/>
      <c r="F787" s="17"/>
      <c r="G787" s="21"/>
      <c r="H787" s="21"/>
      <c r="I787" s="21"/>
      <c r="J787" s="21"/>
      <c r="K787" s="22"/>
      <c r="L787" s="22"/>
      <c r="M787" s="22"/>
      <c r="N787" s="22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67"/>
      <c r="C788" s="17"/>
      <c r="D788" s="17"/>
      <c r="E788" s="17"/>
      <c r="F788" s="17"/>
      <c r="G788" s="21"/>
      <c r="H788" s="21"/>
      <c r="I788" s="21"/>
      <c r="J788" s="21"/>
      <c r="K788" s="22"/>
      <c r="L788" s="22"/>
      <c r="M788" s="22"/>
      <c r="N788" s="22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67"/>
      <c r="C789" s="17"/>
      <c r="D789" s="17"/>
      <c r="E789" s="17"/>
      <c r="F789" s="17"/>
      <c r="G789" s="21"/>
      <c r="H789" s="21"/>
      <c r="I789" s="21"/>
      <c r="J789" s="21"/>
      <c r="K789" s="22"/>
      <c r="L789" s="22"/>
      <c r="M789" s="22"/>
      <c r="N789" s="22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67"/>
      <c r="C790" s="17"/>
      <c r="D790" s="17"/>
      <c r="E790" s="17"/>
      <c r="F790" s="17"/>
      <c r="G790" s="21"/>
      <c r="H790" s="21"/>
      <c r="I790" s="21"/>
      <c r="J790" s="21"/>
      <c r="K790" s="22"/>
      <c r="L790" s="22"/>
      <c r="M790" s="22"/>
      <c r="N790" s="22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67"/>
      <c r="C791" s="17"/>
      <c r="D791" s="17"/>
      <c r="E791" s="17"/>
      <c r="F791" s="17"/>
      <c r="G791" s="21"/>
      <c r="H791" s="21"/>
      <c r="I791" s="21"/>
      <c r="J791" s="21"/>
      <c r="K791" s="22"/>
      <c r="L791" s="22"/>
      <c r="M791" s="22"/>
      <c r="N791" s="22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67"/>
      <c r="C792" s="17"/>
      <c r="D792" s="17"/>
      <c r="E792" s="17"/>
      <c r="F792" s="17"/>
      <c r="G792" s="21"/>
      <c r="H792" s="21"/>
      <c r="I792" s="21"/>
      <c r="J792" s="21"/>
      <c r="K792" s="22"/>
      <c r="L792" s="22"/>
      <c r="M792" s="22"/>
      <c r="N792" s="22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67"/>
      <c r="C793" s="17"/>
      <c r="D793" s="17"/>
      <c r="E793" s="17"/>
      <c r="F793" s="17"/>
      <c r="G793" s="21"/>
      <c r="H793" s="21"/>
      <c r="I793" s="21"/>
      <c r="J793" s="21"/>
      <c r="K793" s="22"/>
      <c r="L793" s="22"/>
      <c r="M793" s="22"/>
      <c r="N793" s="22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67"/>
      <c r="C794" s="17"/>
      <c r="D794" s="17"/>
      <c r="E794" s="17"/>
      <c r="F794" s="17"/>
      <c r="G794" s="21"/>
      <c r="H794" s="21"/>
      <c r="I794" s="21"/>
      <c r="J794" s="21"/>
      <c r="K794" s="22"/>
      <c r="L794" s="22"/>
      <c r="M794" s="22"/>
      <c r="N794" s="22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67"/>
      <c r="C795" s="17"/>
      <c r="D795" s="17"/>
      <c r="E795" s="17"/>
      <c r="F795" s="17"/>
      <c r="G795" s="21"/>
      <c r="H795" s="21"/>
      <c r="I795" s="21"/>
      <c r="J795" s="21"/>
      <c r="K795" s="22"/>
      <c r="L795" s="22"/>
      <c r="M795" s="22"/>
      <c r="N795" s="22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67"/>
      <c r="C796" s="17"/>
      <c r="D796" s="17"/>
      <c r="E796" s="17"/>
      <c r="F796" s="17"/>
      <c r="G796" s="21"/>
      <c r="H796" s="21"/>
      <c r="I796" s="21"/>
      <c r="J796" s="21"/>
      <c r="K796" s="22"/>
      <c r="L796" s="22"/>
      <c r="M796" s="22"/>
      <c r="N796" s="22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67"/>
      <c r="C797" s="17"/>
      <c r="D797" s="17"/>
      <c r="E797" s="17"/>
      <c r="F797" s="17"/>
      <c r="G797" s="21"/>
      <c r="H797" s="21"/>
      <c r="I797" s="21"/>
      <c r="J797" s="21"/>
      <c r="K797" s="22"/>
      <c r="L797" s="22"/>
      <c r="M797" s="22"/>
      <c r="N797" s="22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67"/>
      <c r="C798" s="17"/>
      <c r="D798" s="17"/>
      <c r="E798" s="17"/>
      <c r="F798" s="17"/>
      <c r="G798" s="21"/>
      <c r="H798" s="21"/>
      <c r="I798" s="21"/>
      <c r="J798" s="21"/>
      <c r="K798" s="22"/>
      <c r="L798" s="22"/>
      <c r="M798" s="22"/>
      <c r="N798" s="22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67"/>
      <c r="C799" s="17"/>
      <c r="D799" s="17"/>
      <c r="E799" s="17"/>
      <c r="F799" s="17"/>
      <c r="G799" s="21"/>
      <c r="H799" s="21"/>
      <c r="I799" s="21"/>
      <c r="J799" s="21"/>
      <c r="K799" s="22"/>
      <c r="L799" s="22"/>
      <c r="M799" s="22"/>
      <c r="N799" s="22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67"/>
      <c r="C800" s="17"/>
      <c r="D800" s="17"/>
      <c r="E800" s="17"/>
      <c r="F800" s="17"/>
      <c r="G800" s="21"/>
      <c r="H800" s="21"/>
      <c r="I800" s="21"/>
      <c r="J800" s="21"/>
      <c r="K800" s="22"/>
      <c r="L800" s="22"/>
      <c r="M800" s="22"/>
      <c r="N800" s="22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67"/>
      <c r="C801" s="17"/>
      <c r="D801" s="17"/>
      <c r="E801" s="17"/>
      <c r="F801" s="17"/>
      <c r="G801" s="21"/>
      <c r="H801" s="21"/>
      <c r="I801" s="21"/>
      <c r="J801" s="21"/>
      <c r="K801" s="22"/>
      <c r="L801" s="22"/>
      <c r="M801" s="22"/>
      <c r="N801" s="22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67"/>
      <c r="C802" s="17"/>
      <c r="D802" s="17"/>
      <c r="E802" s="17"/>
      <c r="F802" s="17"/>
      <c r="G802" s="21"/>
      <c r="H802" s="21"/>
      <c r="I802" s="21"/>
      <c r="J802" s="21"/>
      <c r="K802" s="22"/>
      <c r="L802" s="22"/>
      <c r="M802" s="22"/>
      <c r="N802" s="22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67"/>
      <c r="C803" s="17"/>
      <c r="D803" s="17"/>
      <c r="E803" s="17"/>
      <c r="F803" s="17"/>
      <c r="G803" s="21"/>
      <c r="H803" s="21"/>
      <c r="I803" s="21"/>
      <c r="J803" s="21"/>
      <c r="K803" s="22"/>
      <c r="L803" s="22"/>
      <c r="M803" s="22"/>
      <c r="N803" s="22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67"/>
      <c r="C804" s="17"/>
      <c r="D804" s="17"/>
      <c r="E804" s="17"/>
      <c r="F804" s="17"/>
      <c r="G804" s="21"/>
      <c r="H804" s="21"/>
      <c r="I804" s="21"/>
      <c r="J804" s="21"/>
      <c r="K804" s="22"/>
      <c r="L804" s="22"/>
      <c r="M804" s="22"/>
      <c r="N804" s="22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67"/>
      <c r="C805" s="17"/>
      <c r="D805" s="17"/>
      <c r="E805" s="17"/>
      <c r="F805" s="17"/>
      <c r="G805" s="21"/>
      <c r="H805" s="21"/>
      <c r="I805" s="21"/>
      <c r="J805" s="21"/>
      <c r="K805" s="22"/>
      <c r="L805" s="22"/>
      <c r="M805" s="22"/>
      <c r="N805" s="22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67"/>
      <c r="C806" s="17"/>
      <c r="D806" s="17"/>
      <c r="E806" s="17"/>
      <c r="F806" s="17"/>
      <c r="G806" s="21"/>
      <c r="H806" s="21"/>
      <c r="I806" s="21"/>
      <c r="J806" s="21"/>
      <c r="K806" s="22"/>
      <c r="L806" s="22"/>
      <c r="M806" s="22"/>
      <c r="N806" s="22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67"/>
      <c r="C807" s="17"/>
      <c r="D807" s="17"/>
      <c r="E807" s="17"/>
      <c r="F807" s="17"/>
      <c r="G807" s="21"/>
      <c r="H807" s="21"/>
      <c r="I807" s="21"/>
      <c r="J807" s="21"/>
      <c r="K807" s="22"/>
      <c r="L807" s="22"/>
      <c r="M807" s="22"/>
      <c r="N807" s="22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67"/>
      <c r="C808" s="17"/>
      <c r="D808" s="17"/>
      <c r="E808" s="17"/>
      <c r="F808" s="17"/>
      <c r="G808" s="21"/>
      <c r="H808" s="21"/>
      <c r="I808" s="21"/>
      <c r="J808" s="21"/>
      <c r="K808" s="22"/>
      <c r="L808" s="22"/>
      <c r="M808" s="22"/>
      <c r="N808" s="22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67"/>
      <c r="C809" s="17"/>
      <c r="D809" s="17"/>
      <c r="E809" s="17"/>
      <c r="F809" s="17"/>
      <c r="G809" s="21"/>
      <c r="H809" s="21"/>
      <c r="I809" s="21"/>
      <c r="J809" s="21"/>
      <c r="K809" s="22"/>
      <c r="L809" s="22"/>
      <c r="M809" s="22"/>
      <c r="N809" s="22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67"/>
      <c r="C810" s="17"/>
      <c r="D810" s="17"/>
      <c r="E810" s="17"/>
      <c r="F810" s="17"/>
      <c r="G810" s="21"/>
      <c r="H810" s="21"/>
      <c r="I810" s="21"/>
      <c r="J810" s="21"/>
      <c r="K810" s="22"/>
      <c r="L810" s="22"/>
      <c r="M810" s="22"/>
      <c r="N810" s="22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67"/>
      <c r="C811" s="17"/>
      <c r="D811" s="17"/>
      <c r="E811" s="17"/>
      <c r="F811" s="17"/>
      <c r="G811" s="21"/>
      <c r="H811" s="21"/>
      <c r="I811" s="21"/>
      <c r="J811" s="21"/>
      <c r="K811" s="22"/>
      <c r="L811" s="22"/>
      <c r="M811" s="22"/>
      <c r="N811" s="22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67"/>
      <c r="C812" s="17"/>
      <c r="D812" s="17"/>
      <c r="E812" s="17"/>
      <c r="F812" s="17"/>
      <c r="G812" s="21"/>
      <c r="H812" s="21"/>
      <c r="I812" s="21"/>
      <c r="J812" s="21"/>
      <c r="K812" s="22"/>
      <c r="L812" s="22"/>
      <c r="M812" s="22"/>
      <c r="N812" s="22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67"/>
      <c r="C813" s="17"/>
      <c r="D813" s="17"/>
      <c r="E813" s="17"/>
      <c r="F813" s="17"/>
      <c r="G813" s="21"/>
      <c r="H813" s="21"/>
      <c r="I813" s="21"/>
      <c r="J813" s="21"/>
      <c r="K813" s="22"/>
      <c r="L813" s="22"/>
      <c r="M813" s="22"/>
      <c r="N813" s="22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67"/>
      <c r="C814" s="17"/>
      <c r="D814" s="17"/>
      <c r="E814" s="17"/>
      <c r="F814" s="17"/>
      <c r="G814" s="21"/>
      <c r="H814" s="21"/>
      <c r="I814" s="21"/>
      <c r="J814" s="21"/>
      <c r="K814" s="22"/>
      <c r="L814" s="22"/>
      <c r="M814" s="22"/>
      <c r="N814" s="22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67"/>
      <c r="C815" s="17"/>
      <c r="D815" s="17"/>
      <c r="E815" s="17"/>
      <c r="F815" s="17"/>
      <c r="G815" s="21"/>
      <c r="H815" s="21"/>
      <c r="I815" s="21"/>
      <c r="J815" s="21"/>
      <c r="K815" s="22"/>
      <c r="L815" s="22"/>
      <c r="M815" s="22"/>
      <c r="N815" s="22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67"/>
      <c r="C816" s="17"/>
      <c r="D816" s="17"/>
      <c r="E816" s="17"/>
      <c r="F816" s="17"/>
      <c r="G816" s="21"/>
      <c r="H816" s="21"/>
      <c r="I816" s="21"/>
      <c r="J816" s="21"/>
      <c r="K816" s="22"/>
      <c r="L816" s="22"/>
      <c r="M816" s="22"/>
      <c r="N816" s="22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67"/>
      <c r="C817" s="17"/>
      <c r="D817" s="17"/>
      <c r="E817" s="17"/>
      <c r="F817" s="17"/>
      <c r="G817" s="21"/>
      <c r="H817" s="21"/>
      <c r="I817" s="21"/>
      <c r="J817" s="21"/>
      <c r="K817" s="22"/>
      <c r="L817" s="22"/>
      <c r="M817" s="22"/>
      <c r="N817" s="22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67"/>
      <c r="C818" s="17"/>
      <c r="D818" s="17"/>
      <c r="E818" s="17"/>
      <c r="F818" s="17"/>
      <c r="G818" s="21"/>
      <c r="H818" s="21"/>
      <c r="I818" s="21"/>
      <c r="J818" s="21"/>
      <c r="K818" s="22"/>
      <c r="L818" s="22"/>
      <c r="M818" s="22"/>
      <c r="N818" s="22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67"/>
      <c r="C819" s="17"/>
      <c r="D819" s="17"/>
      <c r="E819" s="17"/>
      <c r="F819" s="17"/>
      <c r="G819" s="21"/>
      <c r="H819" s="21"/>
      <c r="I819" s="21"/>
      <c r="J819" s="21"/>
      <c r="K819" s="22"/>
      <c r="L819" s="22"/>
      <c r="M819" s="22"/>
      <c r="N819" s="22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67"/>
      <c r="C820" s="17"/>
      <c r="D820" s="17"/>
      <c r="E820" s="17"/>
      <c r="F820" s="17"/>
      <c r="G820" s="21"/>
      <c r="H820" s="21"/>
      <c r="I820" s="21"/>
      <c r="J820" s="21"/>
      <c r="K820" s="22"/>
      <c r="L820" s="22"/>
      <c r="M820" s="22"/>
      <c r="N820" s="22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67"/>
      <c r="C821" s="17"/>
      <c r="D821" s="17"/>
      <c r="E821" s="17"/>
      <c r="F821" s="17"/>
      <c r="G821" s="21"/>
      <c r="H821" s="21"/>
      <c r="I821" s="21"/>
      <c r="J821" s="21"/>
      <c r="K821" s="22"/>
      <c r="L821" s="22"/>
      <c r="M821" s="22"/>
      <c r="N821" s="22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67"/>
      <c r="C822" s="17"/>
      <c r="D822" s="17"/>
      <c r="E822" s="17"/>
      <c r="F822" s="17"/>
      <c r="G822" s="21"/>
      <c r="H822" s="21"/>
      <c r="I822" s="21"/>
      <c r="J822" s="21"/>
      <c r="K822" s="22"/>
      <c r="L822" s="22"/>
      <c r="M822" s="22"/>
      <c r="N822" s="22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67"/>
      <c r="C823" s="17"/>
      <c r="D823" s="17"/>
      <c r="E823" s="17"/>
      <c r="F823" s="17"/>
      <c r="G823" s="21"/>
      <c r="H823" s="21"/>
      <c r="I823" s="21"/>
      <c r="J823" s="21"/>
      <c r="K823" s="22"/>
      <c r="L823" s="22"/>
      <c r="M823" s="22"/>
      <c r="N823" s="22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67"/>
      <c r="C824" s="17"/>
      <c r="D824" s="17"/>
      <c r="E824" s="17"/>
      <c r="F824" s="17"/>
      <c r="G824" s="21"/>
      <c r="H824" s="21"/>
      <c r="I824" s="21"/>
      <c r="J824" s="21"/>
      <c r="K824" s="22"/>
      <c r="L824" s="22"/>
      <c r="M824" s="22"/>
      <c r="N824" s="22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67"/>
      <c r="C825" s="17"/>
      <c r="D825" s="17"/>
      <c r="E825" s="17"/>
      <c r="F825" s="17"/>
      <c r="G825" s="21"/>
      <c r="H825" s="21"/>
      <c r="I825" s="21"/>
      <c r="J825" s="21"/>
      <c r="K825" s="22"/>
      <c r="L825" s="22"/>
      <c r="M825" s="22"/>
      <c r="N825" s="22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67"/>
      <c r="C826" s="17"/>
      <c r="D826" s="17"/>
      <c r="E826" s="17"/>
      <c r="F826" s="17"/>
      <c r="G826" s="21"/>
      <c r="H826" s="21"/>
      <c r="I826" s="21"/>
      <c r="J826" s="21"/>
      <c r="K826" s="22"/>
      <c r="L826" s="22"/>
      <c r="M826" s="22"/>
      <c r="N826" s="22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67"/>
      <c r="C827" s="17"/>
      <c r="D827" s="17"/>
      <c r="E827" s="17"/>
      <c r="F827" s="17"/>
      <c r="G827" s="21"/>
      <c r="H827" s="21"/>
      <c r="I827" s="21"/>
      <c r="J827" s="21"/>
      <c r="K827" s="22"/>
      <c r="L827" s="22"/>
      <c r="M827" s="22"/>
      <c r="N827" s="22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67"/>
      <c r="C828" s="17"/>
      <c r="D828" s="17"/>
      <c r="E828" s="17"/>
      <c r="F828" s="17"/>
      <c r="G828" s="21"/>
      <c r="H828" s="21"/>
      <c r="I828" s="21"/>
      <c r="J828" s="21"/>
      <c r="K828" s="22"/>
      <c r="L828" s="22"/>
      <c r="M828" s="22"/>
      <c r="N828" s="22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67"/>
      <c r="C829" s="17"/>
      <c r="D829" s="17"/>
      <c r="E829" s="17"/>
      <c r="F829" s="17"/>
      <c r="G829" s="21"/>
      <c r="H829" s="21"/>
      <c r="I829" s="21"/>
      <c r="J829" s="21"/>
      <c r="K829" s="22"/>
      <c r="L829" s="22"/>
      <c r="M829" s="22"/>
      <c r="N829" s="22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67"/>
      <c r="C830" s="17"/>
      <c r="D830" s="17"/>
      <c r="E830" s="17"/>
      <c r="F830" s="17"/>
      <c r="G830" s="21"/>
      <c r="H830" s="21"/>
      <c r="I830" s="21"/>
      <c r="J830" s="21"/>
      <c r="K830" s="22"/>
      <c r="L830" s="22"/>
      <c r="M830" s="22"/>
      <c r="N830" s="22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67"/>
      <c r="C831" s="17"/>
      <c r="D831" s="17"/>
      <c r="E831" s="17"/>
      <c r="F831" s="17"/>
      <c r="G831" s="21"/>
      <c r="H831" s="21"/>
      <c r="I831" s="21"/>
      <c r="J831" s="21"/>
      <c r="K831" s="22"/>
      <c r="L831" s="22"/>
      <c r="M831" s="22"/>
      <c r="N831" s="22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67"/>
      <c r="C832" s="17"/>
      <c r="D832" s="17"/>
      <c r="E832" s="17"/>
      <c r="F832" s="17"/>
      <c r="G832" s="21"/>
      <c r="H832" s="21"/>
      <c r="I832" s="21"/>
      <c r="J832" s="21"/>
      <c r="K832" s="22"/>
      <c r="L832" s="22"/>
      <c r="M832" s="22"/>
      <c r="N832" s="22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67"/>
      <c r="C833" s="17"/>
      <c r="D833" s="17"/>
      <c r="E833" s="17"/>
      <c r="F833" s="17"/>
      <c r="G833" s="21"/>
      <c r="H833" s="21"/>
      <c r="I833" s="21"/>
      <c r="J833" s="21"/>
      <c r="K833" s="22"/>
      <c r="L833" s="22"/>
      <c r="M833" s="22"/>
      <c r="N833" s="22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67"/>
      <c r="C834" s="17"/>
      <c r="D834" s="17"/>
      <c r="E834" s="17"/>
      <c r="F834" s="17"/>
      <c r="G834" s="21"/>
      <c r="H834" s="21"/>
      <c r="I834" s="21"/>
      <c r="J834" s="21"/>
      <c r="K834" s="22"/>
      <c r="L834" s="22"/>
      <c r="M834" s="22"/>
      <c r="N834" s="22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67"/>
      <c r="C835" s="17"/>
      <c r="D835" s="17"/>
      <c r="E835" s="17"/>
      <c r="F835" s="17"/>
      <c r="G835" s="21"/>
      <c r="H835" s="21"/>
      <c r="I835" s="21"/>
      <c r="J835" s="21"/>
      <c r="K835" s="22"/>
      <c r="L835" s="22"/>
      <c r="M835" s="22"/>
      <c r="N835" s="22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67"/>
      <c r="C836" s="17"/>
      <c r="D836" s="17"/>
      <c r="E836" s="17"/>
      <c r="F836" s="17"/>
      <c r="G836" s="21"/>
      <c r="H836" s="21"/>
      <c r="I836" s="21"/>
      <c r="J836" s="21"/>
      <c r="K836" s="22"/>
      <c r="L836" s="22"/>
      <c r="M836" s="22"/>
      <c r="N836" s="22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67"/>
      <c r="C837" s="17"/>
      <c r="D837" s="17"/>
      <c r="E837" s="17"/>
      <c r="F837" s="17"/>
      <c r="G837" s="21"/>
      <c r="H837" s="21"/>
      <c r="I837" s="21"/>
      <c r="J837" s="21"/>
      <c r="K837" s="22"/>
      <c r="L837" s="22"/>
      <c r="M837" s="22"/>
      <c r="N837" s="22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67"/>
      <c r="C838" s="17"/>
      <c r="D838" s="17"/>
      <c r="E838" s="17"/>
      <c r="F838" s="17"/>
      <c r="G838" s="21"/>
      <c r="H838" s="21"/>
      <c r="I838" s="21"/>
      <c r="J838" s="21"/>
      <c r="K838" s="22"/>
      <c r="L838" s="22"/>
      <c r="M838" s="22"/>
      <c r="N838" s="22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67"/>
      <c r="C839" s="17"/>
      <c r="D839" s="17"/>
      <c r="E839" s="17"/>
      <c r="F839" s="17"/>
      <c r="G839" s="21"/>
      <c r="H839" s="21"/>
      <c r="I839" s="21"/>
      <c r="J839" s="21"/>
      <c r="K839" s="22"/>
      <c r="L839" s="22"/>
      <c r="M839" s="22"/>
      <c r="N839" s="22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67"/>
      <c r="C840" s="17"/>
      <c r="D840" s="17"/>
      <c r="E840" s="17"/>
      <c r="F840" s="17"/>
      <c r="G840" s="21"/>
      <c r="H840" s="21"/>
      <c r="I840" s="21"/>
      <c r="J840" s="21"/>
      <c r="K840" s="22"/>
      <c r="L840" s="22"/>
      <c r="M840" s="22"/>
      <c r="N840" s="22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67"/>
      <c r="C841" s="17"/>
      <c r="D841" s="17"/>
      <c r="E841" s="17"/>
      <c r="F841" s="17"/>
      <c r="G841" s="21"/>
      <c r="H841" s="21"/>
      <c r="I841" s="21"/>
      <c r="J841" s="21"/>
      <c r="K841" s="22"/>
      <c r="L841" s="22"/>
      <c r="M841" s="22"/>
      <c r="N841" s="22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67"/>
      <c r="C842" s="17"/>
      <c r="D842" s="17"/>
      <c r="E842" s="17"/>
      <c r="F842" s="17"/>
      <c r="G842" s="21"/>
      <c r="H842" s="21"/>
      <c r="I842" s="21"/>
      <c r="J842" s="21"/>
      <c r="K842" s="22"/>
      <c r="L842" s="22"/>
      <c r="M842" s="22"/>
      <c r="N842" s="22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67"/>
      <c r="C843" s="17"/>
      <c r="D843" s="17"/>
      <c r="E843" s="17"/>
      <c r="F843" s="17"/>
      <c r="G843" s="21"/>
      <c r="H843" s="21"/>
      <c r="I843" s="21"/>
      <c r="J843" s="21"/>
      <c r="K843" s="22"/>
      <c r="L843" s="22"/>
      <c r="M843" s="22"/>
      <c r="N843" s="22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67"/>
      <c r="C844" s="17"/>
      <c r="D844" s="17"/>
      <c r="E844" s="17"/>
      <c r="F844" s="17"/>
      <c r="G844" s="21"/>
      <c r="H844" s="21"/>
      <c r="I844" s="21"/>
      <c r="J844" s="21"/>
      <c r="K844" s="22"/>
      <c r="L844" s="22"/>
      <c r="M844" s="22"/>
      <c r="N844" s="22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67"/>
      <c r="C845" s="17"/>
      <c r="D845" s="17"/>
      <c r="E845" s="17"/>
      <c r="F845" s="17"/>
      <c r="G845" s="21"/>
      <c r="H845" s="21"/>
      <c r="I845" s="21"/>
      <c r="J845" s="21"/>
      <c r="K845" s="22"/>
      <c r="L845" s="22"/>
      <c r="M845" s="22"/>
      <c r="N845" s="22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67"/>
      <c r="C846" s="17"/>
      <c r="D846" s="17"/>
      <c r="E846" s="17"/>
      <c r="F846" s="17"/>
      <c r="G846" s="21"/>
      <c r="H846" s="21"/>
      <c r="I846" s="21"/>
      <c r="J846" s="21"/>
      <c r="K846" s="22"/>
      <c r="L846" s="22"/>
      <c r="M846" s="22"/>
      <c r="N846" s="22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67"/>
      <c r="C847" s="17"/>
      <c r="D847" s="17"/>
      <c r="E847" s="17"/>
      <c r="F847" s="17"/>
      <c r="G847" s="21"/>
      <c r="H847" s="21"/>
      <c r="I847" s="21"/>
      <c r="J847" s="21"/>
      <c r="K847" s="22"/>
      <c r="L847" s="22"/>
      <c r="M847" s="22"/>
      <c r="N847" s="22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67"/>
      <c r="C848" s="17"/>
      <c r="D848" s="17"/>
      <c r="E848" s="17"/>
      <c r="F848" s="17"/>
      <c r="G848" s="21"/>
      <c r="H848" s="21"/>
      <c r="I848" s="21"/>
      <c r="J848" s="21"/>
      <c r="K848" s="22"/>
      <c r="L848" s="22"/>
      <c r="M848" s="22"/>
      <c r="N848" s="22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67"/>
      <c r="C849" s="17"/>
      <c r="D849" s="17"/>
      <c r="E849" s="17"/>
      <c r="F849" s="17"/>
      <c r="G849" s="21"/>
      <c r="H849" s="21"/>
      <c r="I849" s="21"/>
      <c r="J849" s="21"/>
      <c r="K849" s="22"/>
      <c r="L849" s="22"/>
      <c r="M849" s="22"/>
      <c r="N849" s="22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67"/>
      <c r="C850" s="17"/>
      <c r="D850" s="17"/>
      <c r="E850" s="17"/>
      <c r="F850" s="17"/>
      <c r="G850" s="21"/>
      <c r="H850" s="21"/>
      <c r="I850" s="21"/>
      <c r="J850" s="21"/>
      <c r="K850" s="22"/>
      <c r="L850" s="22"/>
      <c r="M850" s="22"/>
      <c r="N850" s="22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67"/>
      <c r="C851" s="17"/>
      <c r="D851" s="17"/>
      <c r="E851" s="17"/>
      <c r="F851" s="17"/>
      <c r="G851" s="21"/>
      <c r="H851" s="21"/>
      <c r="I851" s="21"/>
      <c r="J851" s="21"/>
      <c r="K851" s="22"/>
      <c r="L851" s="22"/>
      <c r="M851" s="22"/>
      <c r="N851" s="22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67"/>
      <c r="C852" s="17"/>
      <c r="D852" s="17"/>
      <c r="E852" s="17"/>
      <c r="F852" s="17"/>
      <c r="G852" s="21"/>
      <c r="H852" s="21"/>
      <c r="I852" s="21"/>
      <c r="J852" s="21"/>
      <c r="K852" s="22"/>
      <c r="L852" s="22"/>
      <c r="M852" s="22"/>
      <c r="N852" s="22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67"/>
      <c r="C853" s="17"/>
      <c r="D853" s="17"/>
      <c r="E853" s="17"/>
      <c r="F853" s="17"/>
      <c r="G853" s="21"/>
      <c r="H853" s="21"/>
      <c r="I853" s="21"/>
      <c r="J853" s="21"/>
      <c r="K853" s="22"/>
      <c r="L853" s="22"/>
      <c r="M853" s="22"/>
      <c r="N853" s="22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67"/>
      <c r="C854" s="17"/>
      <c r="D854" s="17"/>
      <c r="E854" s="17"/>
      <c r="F854" s="17"/>
      <c r="G854" s="21"/>
      <c r="H854" s="21"/>
      <c r="I854" s="21"/>
      <c r="J854" s="21"/>
      <c r="K854" s="22"/>
      <c r="L854" s="22"/>
      <c r="M854" s="22"/>
      <c r="N854" s="22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67"/>
      <c r="C855" s="17"/>
      <c r="D855" s="17"/>
      <c r="E855" s="17"/>
      <c r="F855" s="17"/>
      <c r="G855" s="21"/>
      <c r="H855" s="21"/>
      <c r="I855" s="21"/>
      <c r="J855" s="21"/>
      <c r="K855" s="22"/>
      <c r="L855" s="22"/>
      <c r="M855" s="22"/>
      <c r="N855" s="22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sheetData>
    <row r="1">
      <c r="A1" s="69" t="str">
        <f>IFERROR(__xludf.DUMMYFUNCTION("QUERY(Dataset!A:F, ""SELECT A,B,C,D,E,F WHERE A='Peru' AND F=0"",1)"),"País")</f>
        <v>País</v>
      </c>
      <c r="B1" s="69" t="str">
        <f>IFERROR(__xludf.DUMMYFUNCTION("""COMPUTED_VALUE"""),"Fecha inicio")</f>
        <v>Fecha inicio</v>
      </c>
      <c r="C1" s="69" t="str">
        <f>IFERROR(__xludf.DUMMYFUNCTION("""COMPUTED_VALUE"""),"Fecha fin")</f>
        <v>Fecha fin</v>
      </c>
      <c r="D1" s="69" t="str">
        <f>IFERROR(__xludf.DUMMYFUNCTION("""COMPUTED_VALUE"""),"Semana")</f>
        <v>Semana</v>
      </c>
      <c r="E1" s="69" t="str">
        <f>IFERROR(__xludf.DUMMYFUNCTION("""COMPUTED_VALUE"""),"Total muertes reportadas")</f>
        <v>Total muertes reportadas</v>
      </c>
      <c r="F1" s="69" t="str">
        <f>IFERROR(__xludf.DUMMYFUNCTION("""COMPUTED_VALUE"""),"Total muertes reportadas por covid")</f>
        <v>Total muertes reportadas por covid</v>
      </c>
      <c r="G1" s="70" t="s">
        <v>8</v>
      </c>
      <c r="H1" s="70" t="s">
        <v>19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17" t="str">
        <f>IFERROR(__xludf.DUMMYFUNCTION("""COMPUTED_VALUE"""),"Peru")</f>
        <v>Peru</v>
      </c>
      <c r="B2" s="54">
        <f>IFERROR(__xludf.DUMMYFUNCTION("""COMPUTED_VALUE"""),42737.0)</f>
        <v>42737</v>
      </c>
      <c r="C2" s="19">
        <f>IFERROR(__xludf.DUMMYFUNCTION("""COMPUTED_VALUE"""),42743.0)</f>
        <v>42743</v>
      </c>
      <c r="D2" s="17">
        <f>IFERROR(__xludf.DUMMYFUNCTION("""COMPUTED_VALUE"""),1.0)</f>
        <v>1</v>
      </c>
      <c r="E2" s="17">
        <f>IFERROR(__xludf.DUMMYFUNCTION("""COMPUTED_VALUE"""),1586.0)</f>
        <v>1586</v>
      </c>
      <c r="F2" s="17">
        <f>IFERROR(__xludf.DUMMYFUNCTION("""COMPUTED_VALUE"""),0.0)</f>
        <v>0</v>
      </c>
      <c r="G2" s="55">
        <v>1.0</v>
      </c>
      <c r="H2" s="21">
        <f t="shared" ref="H2:H53" si="1">AVERAGEIFS($E$2:$E$273,$D$2:$D$273,G2)</f>
        <v>2054.5</v>
      </c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tr">
        <f>IFERROR(__xludf.DUMMYFUNCTION("""COMPUTED_VALUE"""),"Peru")</f>
        <v>Peru</v>
      </c>
      <c r="B3" s="54">
        <f>IFERROR(__xludf.DUMMYFUNCTION("""COMPUTED_VALUE"""),42744.0)</f>
        <v>42744</v>
      </c>
      <c r="C3" s="19">
        <f>IFERROR(__xludf.DUMMYFUNCTION("""COMPUTED_VALUE"""),42750.0)</f>
        <v>42750</v>
      </c>
      <c r="D3" s="17">
        <f>IFERROR(__xludf.DUMMYFUNCTION("""COMPUTED_VALUE"""),2.0)</f>
        <v>2</v>
      </c>
      <c r="E3" s="17">
        <f>IFERROR(__xludf.DUMMYFUNCTION("""COMPUTED_VALUE"""),1672.0)</f>
        <v>1672</v>
      </c>
      <c r="F3" s="17">
        <f>IFERROR(__xludf.DUMMYFUNCTION("""COMPUTED_VALUE"""),0.0)</f>
        <v>0</v>
      </c>
      <c r="G3" s="55">
        <v>2.0</v>
      </c>
      <c r="H3" s="21">
        <f t="shared" si="1"/>
        <v>2051.5</v>
      </c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tr">
        <f>IFERROR(__xludf.DUMMYFUNCTION("""COMPUTED_VALUE"""),"Peru")</f>
        <v>Peru</v>
      </c>
      <c r="B4" s="54">
        <f>IFERROR(__xludf.DUMMYFUNCTION("""COMPUTED_VALUE"""),42751.0)</f>
        <v>42751</v>
      </c>
      <c r="C4" s="19">
        <f>IFERROR(__xludf.DUMMYFUNCTION("""COMPUTED_VALUE"""),42757.0)</f>
        <v>42757</v>
      </c>
      <c r="D4" s="17">
        <f>IFERROR(__xludf.DUMMYFUNCTION("""COMPUTED_VALUE"""),3.0)</f>
        <v>3</v>
      </c>
      <c r="E4" s="17">
        <f>IFERROR(__xludf.DUMMYFUNCTION("""COMPUTED_VALUE"""),1740.0)</f>
        <v>1740</v>
      </c>
      <c r="F4" s="17">
        <f>IFERROR(__xludf.DUMMYFUNCTION("""COMPUTED_VALUE"""),0.0)</f>
        <v>0</v>
      </c>
      <c r="G4" s="55">
        <v>3.0</v>
      </c>
      <c r="H4" s="21">
        <f t="shared" si="1"/>
        <v>2030.75</v>
      </c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tr">
        <f>IFERROR(__xludf.DUMMYFUNCTION("""COMPUTED_VALUE"""),"Peru")</f>
        <v>Peru</v>
      </c>
      <c r="B5" s="54">
        <f>IFERROR(__xludf.DUMMYFUNCTION("""COMPUTED_VALUE"""),42758.0)</f>
        <v>42758</v>
      </c>
      <c r="C5" s="19">
        <f>IFERROR(__xludf.DUMMYFUNCTION("""COMPUTED_VALUE"""),42764.0)</f>
        <v>42764</v>
      </c>
      <c r="D5" s="17">
        <f>IFERROR(__xludf.DUMMYFUNCTION("""COMPUTED_VALUE"""),4.0)</f>
        <v>4</v>
      </c>
      <c r="E5" s="17">
        <f>IFERROR(__xludf.DUMMYFUNCTION("""COMPUTED_VALUE"""),1760.0)</f>
        <v>1760</v>
      </c>
      <c r="F5" s="17">
        <f>IFERROR(__xludf.DUMMYFUNCTION("""COMPUTED_VALUE"""),0.0)</f>
        <v>0</v>
      </c>
      <c r="G5" s="55">
        <v>4.0</v>
      </c>
      <c r="H5" s="21">
        <f t="shared" si="1"/>
        <v>2049.25</v>
      </c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tr">
        <f>IFERROR(__xludf.DUMMYFUNCTION("""COMPUTED_VALUE"""),"Peru")</f>
        <v>Peru</v>
      </c>
      <c r="B6" s="54">
        <f>IFERROR(__xludf.DUMMYFUNCTION("""COMPUTED_VALUE"""),42765.0)</f>
        <v>42765</v>
      </c>
      <c r="C6" s="19">
        <f>IFERROR(__xludf.DUMMYFUNCTION("""COMPUTED_VALUE"""),42771.0)</f>
        <v>42771</v>
      </c>
      <c r="D6" s="17">
        <f>IFERROR(__xludf.DUMMYFUNCTION("""COMPUTED_VALUE"""),5.0)</f>
        <v>5</v>
      </c>
      <c r="E6" s="17">
        <f>IFERROR(__xludf.DUMMYFUNCTION("""COMPUTED_VALUE"""),1881.0)</f>
        <v>1881</v>
      </c>
      <c r="F6" s="17">
        <f>IFERROR(__xludf.DUMMYFUNCTION("""COMPUTED_VALUE"""),0.0)</f>
        <v>0</v>
      </c>
      <c r="G6" s="55">
        <v>5.0</v>
      </c>
      <c r="H6" s="21">
        <f t="shared" si="1"/>
        <v>2092.25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tr">
        <f>IFERROR(__xludf.DUMMYFUNCTION("""COMPUTED_VALUE"""),"Peru")</f>
        <v>Peru</v>
      </c>
      <c r="B7" s="54">
        <f>IFERROR(__xludf.DUMMYFUNCTION("""COMPUTED_VALUE"""),42772.0)</f>
        <v>42772</v>
      </c>
      <c r="C7" s="19">
        <f>IFERROR(__xludf.DUMMYFUNCTION("""COMPUTED_VALUE"""),42778.0)</f>
        <v>42778</v>
      </c>
      <c r="D7" s="17">
        <f>IFERROR(__xludf.DUMMYFUNCTION("""COMPUTED_VALUE"""),6.0)</f>
        <v>6</v>
      </c>
      <c r="E7" s="17">
        <f>IFERROR(__xludf.DUMMYFUNCTION("""COMPUTED_VALUE"""),1682.0)</f>
        <v>1682</v>
      </c>
      <c r="F7" s="17">
        <f>IFERROR(__xludf.DUMMYFUNCTION("""COMPUTED_VALUE"""),0.0)</f>
        <v>0</v>
      </c>
      <c r="G7" s="55">
        <v>6.0</v>
      </c>
      <c r="H7" s="21">
        <f t="shared" si="1"/>
        <v>2058.25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tr">
        <f>IFERROR(__xludf.DUMMYFUNCTION("""COMPUTED_VALUE"""),"Peru")</f>
        <v>Peru</v>
      </c>
      <c r="B8" s="54">
        <f>IFERROR(__xludf.DUMMYFUNCTION("""COMPUTED_VALUE"""),42779.0)</f>
        <v>42779</v>
      </c>
      <c r="C8" s="19">
        <f>IFERROR(__xludf.DUMMYFUNCTION("""COMPUTED_VALUE"""),42785.0)</f>
        <v>42785</v>
      </c>
      <c r="D8" s="17">
        <f>IFERROR(__xludf.DUMMYFUNCTION("""COMPUTED_VALUE"""),7.0)</f>
        <v>7</v>
      </c>
      <c r="E8" s="17">
        <f>IFERROR(__xludf.DUMMYFUNCTION("""COMPUTED_VALUE"""),1715.0)</f>
        <v>1715</v>
      </c>
      <c r="F8" s="17">
        <f>IFERROR(__xludf.DUMMYFUNCTION("""COMPUTED_VALUE"""),0.0)</f>
        <v>0</v>
      </c>
      <c r="G8" s="55">
        <v>7.0</v>
      </c>
      <c r="H8" s="21">
        <f t="shared" si="1"/>
        <v>2086</v>
      </c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tr">
        <f>IFERROR(__xludf.DUMMYFUNCTION("""COMPUTED_VALUE"""),"Peru")</f>
        <v>Peru</v>
      </c>
      <c r="B9" s="54">
        <f>IFERROR(__xludf.DUMMYFUNCTION("""COMPUTED_VALUE"""),42786.0)</f>
        <v>42786</v>
      </c>
      <c r="C9" s="19">
        <f>IFERROR(__xludf.DUMMYFUNCTION("""COMPUTED_VALUE"""),42792.0)</f>
        <v>42792</v>
      </c>
      <c r="D9" s="17">
        <f>IFERROR(__xludf.DUMMYFUNCTION("""COMPUTED_VALUE"""),8.0)</f>
        <v>8</v>
      </c>
      <c r="E9" s="17">
        <f>IFERROR(__xludf.DUMMYFUNCTION("""COMPUTED_VALUE"""),1933.0)</f>
        <v>1933</v>
      </c>
      <c r="F9" s="17">
        <f>IFERROR(__xludf.DUMMYFUNCTION("""COMPUTED_VALUE"""),0.0)</f>
        <v>0</v>
      </c>
      <c r="G9" s="55">
        <v>8.0</v>
      </c>
      <c r="H9" s="21">
        <f t="shared" si="1"/>
        <v>2136</v>
      </c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tr">
        <f>IFERROR(__xludf.DUMMYFUNCTION("""COMPUTED_VALUE"""),"Peru")</f>
        <v>Peru</v>
      </c>
      <c r="B10" s="54">
        <f>IFERROR(__xludf.DUMMYFUNCTION("""COMPUTED_VALUE"""),42793.0)</f>
        <v>42793</v>
      </c>
      <c r="C10" s="19">
        <f>IFERROR(__xludf.DUMMYFUNCTION("""COMPUTED_VALUE"""),42799.0)</f>
        <v>42799</v>
      </c>
      <c r="D10" s="17">
        <f>IFERROR(__xludf.DUMMYFUNCTION("""COMPUTED_VALUE"""),9.0)</f>
        <v>9</v>
      </c>
      <c r="E10" s="17">
        <f>IFERROR(__xludf.DUMMYFUNCTION("""COMPUTED_VALUE"""),2052.0)</f>
        <v>2052</v>
      </c>
      <c r="F10" s="17">
        <f>IFERROR(__xludf.DUMMYFUNCTION("""COMPUTED_VALUE"""),0.0)</f>
        <v>0</v>
      </c>
      <c r="G10" s="55">
        <v>9.0</v>
      </c>
      <c r="H10" s="21">
        <f t="shared" si="1"/>
        <v>2197</v>
      </c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tr">
        <f>IFERROR(__xludf.DUMMYFUNCTION("""COMPUTED_VALUE"""),"Peru")</f>
        <v>Peru</v>
      </c>
      <c r="B11" s="54">
        <f>IFERROR(__xludf.DUMMYFUNCTION("""COMPUTED_VALUE"""),42800.0)</f>
        <v>42800</v>
      </c>
      <c r="C11" s="19">
        <f>IFERROR(__xludf.DUMMYFUNCTION("""COMPUTED_VALUE"""),42806.0)</f>
        <v>42806</v>
      </c>
      <c r="D11" s="17">
        <f>IFERROR(__xludf.DUMMYFUNCTION("""COMPUTED_VALUE"""),10.0)</f>
        <v>10</v>
      </c>
      <c r="E11" s="17">
        <f>IFERROR(__xludf.DUMMYFUNCTION("""COMPUTED_VALUE"""),1839.0)</f>
        <v>1839</v>
      </c>
      <c r="F11" s="17">
        <f>IFERROR(__xludf.DUMMYFUNCTION("""COMPUTED_VALUE"""),0.0)</f>
        <v>0</v>
      </c>
      <c r="G11" s="55">
        <v>10.0</v>
      </c>
      <c r="H11" s="21">
        <f t="shared" si="1"/>
        <v>2008.333333</v>
      </c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tr">
        <f>IFERROR(__xludf.DUMMYFUNCTION("""COMPUTED_VALUE"""),"Peru")</f>
        <v>Peru</v>
      </c>
      <c r="B12" s="54">
        <f>IFERROR(__xludf.DUMMYFUNCTION("""COMPUTED_VALUE"""),42807.0)</f>
        <v>42807</v>
      </c>
      <c r="C12" s="19">
        <f>IFERROR(__xludf.DUMMYFUNCTION("""COMPUTED_VALUE"""),42813.0)</f>
        <v>42813</v>
      </c>
      <c r="D12" s="17">
        <f>IFERROR(__xludf.DUMMYFUNCTION("""COMPUTED_VALUE"""),11.0)</f>
        <v>11</v>
      </c>
      <c r="E12" s="17">
        <f>IFERROR(__xludf.DUMMYFUNCTION("""COMPUTED_VALUE"""),1931.0)</f>
        <v>1931</v>
      </c>
      <c r="F12" s="17">
        <f>IFERROR(__xludf.DUMMYFUNCTION("""COMPUTED_VALUE"""),0.0)</f>
        <v>0</v>
      </c>
      <c r="G12" s="55">
        <v>11.0</v>
      </c>
      <c r="H12" s="21">
        <f t="shared" si="1"/>
        <v>2051.666667</v>
      </c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tr">
        <f>IFERROR(__xludf.DUMMYFUNCTION("""COMPUTED_VALUE"""),"Peru")</f>
        <v>Peru</v>
      </c>
      <c r="B13" s="54">
        <f>IFERROR(__xludf.DUMMYFUNCTION("""COMPUTED_VALUE"""),42814.0)</f>
        <v>42814</v>
      </c>
      <c r="C13" s="19">
        <f>IFERROR(__xludf.DUMMYFUNCTION("""COMPUTED_VALUE"""),42820.0)</f>
        <v>42820</v>
      </c>
      <c r="D13" s="17">
        <f>IFERROR(__xludf.DUMMYFUNCTION("""COMPUTED_VALUE"""),12.0)</f>
        <v>12</v>
      </c>
      <c r="E13" s="17">
        <f>IFERROR(__xludf.DUMMYFUNCTION("""COMPUTED_VALUE"""),1911.0)</f>
        <v>1911</v>
      </c>
      <c r="F13" s="17">
        <f>IFERROR(__xludf.DUMMYFUNCTION("""COMPUTED_VALUE"""),0.0)</f>
        <v>0</v>
      </c>
      <c r="G13" s="55">
        <v>12.0</v>
      </c>
      <c r="H13" s="21">
        <f t="shared" si="1"/>
        <v>1996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tr">
        <f>IFERROR(__xludf.DUMMYFUNCTION("""COMPUTED_VALUE"""),"Peru")</f>
        <v>Peru</v>
      </c>
      <c r="B14" s="54">
        <f>IFERROR(__xludf.DUMMYFUNCTION("""COMPUTED_VALUE"""),42821.0)</f>
        <v>42821</v>
      </c>
      <c r="C14" s="19">
        <f>IFERROR(__xludf.DUMMYFUNCTION("""COMPUTED_VALUE"""),42827.0)</f>
        <v>42827</v>
      </c>
      <c r="D14" s="17">
        <f>IFERROR(__xludf.DUMMYFUNCTION("""COMPUTED_VALUE"""),13.0)</f>
        <v>13</v>
      </c>
      <c r="E14" s="17">
        <f>IFERROR(__xludf.DUMMYFUNCTION("""COMPUTED_VALUE"""),1786.0)</f>
        <v>1786</v>
      </c>
      <c r="F14" s="17">
        <f>IFERROR(__xludf.DUMMYFUNCTION("""COMPUTED_VALUE"""),0.0)</f>
        <v>0</v>
      </c>
      <c r="G14" s="55">
        <v>13.0</v>
      </c>
      <c r="H14" s="21">
        <f t="shared" si="1"/>
        <v>1960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tr">
        <f>IFERROR(__xludf.DUMMYFUNCTION("""COMPUTED_VALUE"""),"Peru")</f>
        <v>Peru</v>
      </c>
      <c r="B15" s="54">
        <f>IFERROR(__xludf.DUMMYFUNCTION("""COMPUTED_VALUE"""),42828.0)</f>
        <v>42828</v>
      </c>
      <c r="C15" s="19">
        <f>IFERROR(__xludf.DUMMYFUNCTION("""COMPUTED_VALUE"""),42834.0)</f>
        <v>42834</v>
      </c>
      <c r="D15" s="17">
        <f>IFERROR(__xludf.DUMMYFUNCTION("""COMPUTED_VALUE"""),14.0)</f>
        <v>14</v>
      </c>
      <c r="E15" s="17">
        <f>IFERROR(__xludf.DUMMYFUNCTION("""COMPUTED_VALUE"""),1765.0)</f>
        <v>1765</v>
      </c>
      <c r="F15" s="17">
        <f>IFERROR(__xludf.DUMMYFUNCTION("""COMPUTED_VALUE"""),0.0)</f>
        <v>0</v>
      </c>
      <c r="G15" s="55">
        <v>14.0</v>
      </c>
      <c r="H15" s="21">
        <f t="shared" si="1"/>
        <v>1968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tr">
        <f>IFERROR(__xludf.DUMMYFUNCTION("""COMPUTED_VALUE"""),"Peru")</f>
        <v>Peru</v>
      </c>
      <c r="B16" s="54">
        <f>IFERROR(__xludf.DUMMYFUNCTION("""COMPUTED_VALUE"""),42835.0)</f>
        <v>42835</v>
      </c>
      <c r="C16" s="19">
        <f>IFERROR(__xludf.DUMMYFUNCTION("""COMPUTED_VALUE"""),42841.0)</f>
        <v>42841</v>
      </c>
      <c r="D16" s="17">
        <f>IFERROR(__xludf.DUMMYFUNCTION("""COMPUTED_VALUE"""),15.0)</f>
        <v>15</v>
      </c>
      <c r="E16" s="17">
        <f>IFERROR(__xludf.DUMMYFUNCTION("""COMPUTED_VALUE"""),1758.0)</f>
        <v>1758</v>
      </c>
      <c r="F16" s="17">
        <f>IFERROR(__xludf.DUMMYFUNCTION("""COMPUTED_VALUE"""),0.0)</f>
        <v>0</v>
      </c>
      <c r="G16" s="55">
        <v>15.0</v>
      </c>
      <c r="H16" s="21">
        <f t="shared" si="1"/>
        <v>1896.333333</v>
      </c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tr">
        <f>IFERROR(__xludf.DUMMYFUNCTION("""COMPUTED_VALUE"""),"Peru")</f>
        <v>Peru</v>
      </c>
      <c r="B17" s="54">
        <f>IFERROR(__xludf.DUMMYFUNCTION("""COMPUTED_VALUE"""),42842.0)</f>
        <v>42842</v>
      </c>
      <c r="C17" s="19">
        <f>IFERROR(__xludf.DUMMYFUNCTION("""COMPUTED_VALUE"""),42848.0)</f>
        <v>42848</v>
      </c>
      <c r="D17" s="17">
        <f>IFERROR(__xludf.DUMMYFUNCTION("""COMPUTED_VALUE"""),16.0)</f>
        <v>16</v>
      </c>
      <c r="E17" s="17">
        <f>IFERROR(__xludf.DUMMYFUNCTION("""COMPUTED_VALUE"""),1804.0)</f>
        <v>1804</v>
      </c>
      <c r="F17" s="17">
        <f>IFERROR(__xludf.DUMMYFUNCTION("""COMPUTED_VALUE"""),0.0)</f>
        <v>0</v>
      </c>
      <c r="G17" s="55">
        <v>16.0</v>
      </c>
      <c r="H17" s="21">
        <f t="shared" si="1"/>
        <v>1976</v>
      </c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tr">
        <f>IFERROR(__xludf.DUMMYFUNCTION("""COMPUTED_VALUE"""),"Peru")</f>
        <v>Peru</v>
      </c>
      <c r="B18" s="54">
        <f>IFERROR(__xludf.DUMMYFUNCTION("""COMPUTED_VALUE"""),42849.0)</f>
        <v>42849</v>
      </c>
      <c r="C18" s="19">
        <f>IFERROR(__xludf.DUMMYFUNCTION("""COMPUTED_VALUE"""),42855.0)</f>
        <v>42855</v>
      </c>
      <c r="D18" s="17">
        <f>IFERROR(__xludf.DUMMYFUNCTION("""COMPUTED_VALUE"""),17.0)</f>
        <v>17</v>
      </c>
      <c r="E18" s="17">
        <f>IFERROR(__xludf.DUMMYFUNCTION("""COMPUTED_VALUE"""),1685.0)</f>
        <v>1685</v>
      </c>
      <c r="F18" s="17">
        <f>IFERROR(__xludf.DUMMYFUNCTION("""COMPUTED_VALUE"""),0.0)</f>
        <v>0</v>
      </c>
      <c r="G18" s="55">
        <v>17.0</v>
      </c>
      <c r="H18" s="21">
        <f t="shared" si="1"/>
        <v>1899.666667</v>
      </c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tr">
        <f>IFERROR(__xludf.DUMMYFUNCTION("""COMPUTED_VALUE"""),"Peru")</f>
        <v>Peru</v>
      </c>
      <c r="B19" s="54">
        <f>IFERROR(__xludf.DUMMYFUNCTION("""COMPUTED_VALUE"""),42856.0)</f>
        <v>42856</v>
      </c>
      <c r="C19" s="19">
        <f>IFERROR(__xludf.DUMMYFUNCTION("""COMPUTED_VALUE"""),42862.0)</f>
        <v>42862</v>
      </c>
      <c r="D19" s="17">
        <f>IFERROR(__xludf.DUMMYFUNCTION("""COMPUTED_VALUE"""),18.0)</f>
        <v>18</v>
      </c>
      <c r="E19" s="17">
        <f>IFERROR(__xludf.DUMMYFUNCTION("""COMPUTED_VALUE"""),1780.0)</f>
        <v>1780</v>
      </c>
      <c r="F19" s="17">
        <f>IFERROR(__xludf.DUMMYFUNCTION("""COMPUTED_VALUE"""),0.0)</f>
        <v>0</v>
      </c>
      <c r="G19" s="55">
        <v>18.0</v>
      </c>
      <c r="H19" s="21">
        <f t="shared" si="1"/>
        <v>1983.666667</v>
      </c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tr">
        <f>IFERROR(__xludf.DUMMYFUNCTION("""COMPUTED_VALUE"""),"Peru")</f>
        <v>Peru</v>
      </c>
      <c r="B20" s="54">
        <f>IFERROR(__xludf.DUMMYFUNCTION("""COMPUTED_VALUE"""),42863.0)</f>
        <v>42863</v>
      </c>
      <c r="C20" s="19">
        <f>IFERROR(__xludf.DUMMYFUNCTION("""COMPUTED_VALUE"""),42869.0)</f>
        <v>42869</v>
      </c>
      <c r="D20" s="17">
        <f>IFERROR(__xludf.DUMMYFUNCTION("""COMPUTED_VALUE"""),19.0)</f>
        <v>19</v>
      </c>
      <c r="E20" s="17">
        <f>IFERROR(__xludf.DUMMYFUNCTION("""COMPUTED_VALUE"""),1751.0)</f>
        <v>1751</v>
      </c>
      <c r="F20" s="17">
        <f>IFERROR(__xludf.DUMMYFUNCTION("""COMPUTED_VALUE"""),0.0)</f>
        <v>0</v>
      </c>
      <c r="G20" s="55">
        <v>19.0</v>
      </c>
      <c r="H20" s="21">
        <f t="shared" si="1"/>
        <v>1911</v>
      </c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tr">
        <f>IFERROR(__xludf.DUMMYFUNCTION("""COMPUTED_VALUE"""),"Peru")</f>
        <v>Peru</v>
      </c>
      <c r="B21" s="54">
        <f>IFERROR(__xludf.DUMMYFUNCTION("""COMPUTED_VALUE"""),42870.0)</f>
        <v>42870</v>
      </c>
      <c r="C21" s="19">
        <f>IFERROR(__xludf.DUMMYFUNCTION("""COMPUTED_VALUE"""),42876.0)</f>
        <v>42876</v>
      </c>
      <c r="D21" s="17">
        <f>IFERROR(__xludf.DUMMYFUNCTION("""COMPUTED_VALUE"""),20.0)</f>
        <v>20</v>
      </c>
      <c r="E21" s="17">
        <f>IFERROR(__xludf.DUMMYFUNCTION("""COMPUTED_VALUE"""),1813.0)</f>
        <v>1813</v>
      </c>
      <c r="F21" s="17">
        <f>IFERROR(__xludf.DUMMYFUNCTION("""COMPUTED_VALUE"""),0.0)</f>
        <v>0</v>
      </c>
      <c r="G21" s="55">
        <v>20.0</v>
      </c>
      <c r="H21" s="21">
        <f t="shared" si="1"/>
        <v>1984</v>
      </c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tr">
        <f>IFERROR(__xludf.DUMMYFUNCTION("""COMPUTED_VALUE"""),"Peru")</f>
        <v>Peru</v>
      </c>
      <c r="B22" s="54">
        <f>IFERROR(__xludf.DUMMYFUNCTION("""COMPUTED_VALUE"""),42877.0)</f>
        <v>42877</v>
      </c>
      <c r="C22" s="19">
        <f>IFERROR(__xludf.DUMMYFUNCTION("""COMPUTED_VALUE"""),42883.0)</f>
        <v>42883</v>
      </c>
      <c r="D22" s="17">
        <f>IFERROR(__xludf.DUMMYFUNCTION("""COMPUTED_VALUE"""),21.0)</f>
        <v>21</v>
      </c>
      <c r="E22" s="17">
        <f>IFERROR(__xludf.DUMMYFUNCTION("""COMPUTED_VALUE"""),1813.0)</f>
        <v>1813</v>
      </c>
      <c r="F22" s="17">
        <f>IFERROR(__xludf.DUMMYFUNCTION("""COMPUTED_VALUE"""),0.0)</f>
        <v>0</v>
      </c>
      <c r="G22" s="55">
        <v>21.0</v>
      </c>
      <c r="H22" s="21">
        <f t="shared" si="1"/>
        <v>2034</v>
      </c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tr">
        <f>IFERROR(__xludf.DUMMYFUNCTION("""COMPUTED_VALUE"""),"Peru")</f>
        <v>Peru</v>
      </c>
      <c r="B23" s="54">
        <f>IFERROR(__xludf.DUMMYFUNCTION("""COMPUTED_VALUE"""),42884.0)</f>
        <v>42884</v>
      </c>
      <c r="C23" s="19">
        <f>IFERROR(__xludf.DUMMYFUNCTION("""COMPUTED_VALUE"""),42890.0)</f>
        <v>42890</v>
      </c>
      <c r="D23" s="17">
        <f>IFERROR(__xludf.DUMMYFUNCTION("""COMPUTED_VALUE"""),22.0)</f>
        <v>22</v>
      </c>
      <c r="E23" s="17">
        <f>IFERROR(__xludf.DUMMYFUNCTION("""COMPUTED_VALUE"""),1782.0)</f>
        <v>1782</v>
      </c>
      <c r="F23" s="17">
        <f>IFERROR(__xludf.DUMMYFUNCTION("""COMPUTED_VALUE"""),0.0)</f>
        <v>0</v>
      </c>
      <c r="G23" s="55">
        <v>22.0</v>
      </c>
      <c r="H23" s="21">
        <f t="shared" si="1"/>
        <v>2050</v>
      </c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tr">
        <f>IFERROR(__xludf.DUMMYFUNCTION("""COMPUTED_VALUE"""),"Peru")</f>
        <v>Peru</v>
      </c>
      <c r="B24" s="54">
        <f>IFERROR(__xludf.DUMMYFUNCTION("""COMPUTED_VALUE"""),42891.0)</f>
        <v>42891</v>
      </c>
      <c r="C24" s="19">
        <f>IFERROR(__xludf.DUMMYFUNCTION("""COMPUTED_VALUE"""),42897.0)</f>
        <v>42897</v>
      </c>
      <c r="D24" s="17">
        <f>IFERROR(__xludf.DUMMYFUNCTION("""COMPUTED_VALUE"""),23.0)</f>
        <v>23</v>
      </c>
      <c r="E24" s="17">
        <f>IFERROR(__xludf.DUMMYFUNCTION("""COMPUTED_VALUE"""),1934.0)</f>
        <v>1934</v>
      </c>
      <c r="F24" s="17">
        <f>IFERROR(__xludf.DUMMYFUNCTION("""COMPUTED_VALUE"""),0.0)</f>
        <v>0</v>
      </c>
      <c r="G24" s="55">
        <v>23.0</v>
      </c>
      <c r="H24" s="21">
        <f t="shared" si="1"/>
        <v>2135</v>
      </c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tr">
        <f>IFERROR(__xludf.DUMMYFUNCTION("""COMPUTED_VALUE"""),"Peru")</f>
        <v>Peru</v>
      </c>
      <c r="B25" s="54">
        <f>IFERROR(__xludf.DUMMYFUNCTION("""COMPUTED_VALUE"""),42898.0)</f>
        <v>42898</v>
      </c>
      <c r="C25" s="19">
        <f>IFERROR(__xludf.DUMMYFUNCTION("""COMPUTED_VALUE"""),42904.0)</f>
        <v>42904</v>
      </c>
      <c r="D25" s="17">
        <f>IFERROR(__xludf.DUMMYFUNCTION("""COMPUTED_VALUE"""),24.0)</f>
        <v>24</v>
      </c>
      <c r="E25" s="17">
        <f>IFERROR(__xludf.DUMMYFUNCTION("""COMPUTED_VALUE"""),1839.0)</f>
        <v>1839</v>
      </c>
      <c r="F25" s="17">
        <f>IFERROR(__xludf.DUMMYFUNCTION("""COMPUTED_VALUE"""),0.0)</f>
        <v>0</v>
      </c>
      <c r="G25" s="55">
        <v>24.0</v>
      </c>
      <c r="H25" s="21">
        <f t="shared" si="1"/>
        <v>2150</v>
      </c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tr">
        <f>IFERROR(__xludf.DUMMYFUNCTION("""COMPUTED_VALUE"""),"Peru")</f>
        <v>Peru</v>
      </c>
      <c r="B26" s="54">
        <f>IFERROR(__xludf.DUMMYFUNCTION("""COMPUTED_VALUE"""),42905.0)</f>
        <v>42905</v>
      </c>
      <c r="C26" s="19">
        <f>IFERROR(__xludf.DUMMYFUNCTION("""COMPUTED_VALUE"""),42911.0)</f>
        <v>42911</v>
      </c>
      <c r="D26" s="17">
        <f>IFERROR(__xludf.DUMMYFUNCTION("""COMPUTED_VALUE"""),25.0)</f>
        <v>25</v>
      </c>
      <c r="E26" s="17">
        <f>IFERROR(__xludf.DUMMYFUNCTION("""COMPUTED_VALUE"""),1917.0)</f>
        <v>1917</v>
      </c>
      <c r="F26" s="17">
        <f>IFERROR(__xludf.DUMMYFUNCTION("""COMPUTED_VALUE"""),0.0)</f>
        <v>0</v>
      </c>
      <c r="G26" s="55">
        <v>25.0</v>
      </c>
      <c r="H26" s="21">
        <f t="shared" si="1"/>
        <v>2223.333333</v>
      </c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tr">
        <f>IFERROR(__xludf.DUMMYFUNCTION("""COMPUTED_VALUE"""),"Peru")</f>
        <v>Peru</v>
      </c>
      <c r="B27" s="54">
        <f>IFERROR(__xludf.DUMMYFUNCTION("""COMPUTED_VALUE"""),42912.0)</f>
        <v>42912</v>
      </c>
      <c r="C27" s="19">
        <f>IFERROR(__xludf.DUMMYFUNCTION("""COMPUTED_VALUE"""),42918.0)</f>
        <v>42918</v>
      </c>
      <c r="D27" s="17">
        <f>IFERROR(__xludf.DUMMYFUNCTION("""COMPUTED_VALUE"""),26.0)</f>
        <v>26</v>
      </c>
      <c r="E27" s="17">
        <f>IFERROR(__xludf.DUMMYFUNCTION("""COMPUTED_VALUE"""),1965.0)</f>
        <v>1965</v>
      </c>
      <c r="F27" s="17">
        <f>IFERROR(__xludf.DUMMYFUNCTION("""COMPUTED_VALUE"""),0.0)</f>
        <v>0</v>
      </c>
      <c r="G27" s="55">
        <v>26.0</v>
      </c>
      <c r="H27" s="21">
        <f t="shared" si="1"/>
        <v>2200.333333</v>
      </c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tr">
        <f>IFERROR(__xludf.DUMMYFUNCTION("""COMPUTED_VALUE"""),"Peru")</f>
        <v>Peru</v>
      </c>
      <c r="B28" s="54">
        <f>IFERROR(__xludf.DUMMYFUNCTION("""COMPUTED_VALUE"""),42919.0)</f>
        <v>42919</v>
      </c>
      <c r="C28" s="19">
        <f>IFERROR(__xludf.DUMMYFUNCTION("""COMPUTED_VALUE"""),42925.0)</f>
        <v>42925</v>
      </c>
      <c r="D28" s="17">
        <f>IFERROR(__xludf.DUMMYFUNCTION("""COMPUTED_VALUE"""),27.0)</f>
        <v>27</v>
      </c>
      <c r="E28" s="17">
        <f>IFERROR(__xludf.DUMMYFUNCTION("""COMPUTED_VALUE"""),2009.0)</f>
        <v>2009</v>
      </c>
      <c r="F28" s="17">
        <f>IFERROR(__xludf.DUMMYFUNCTION("""COMPUTED_VALUE"""),0.0)</f>
        <v>0</v>
      </c>
      <c r="G28" s="55">
        <v>27.0</v>
      </c>
      <c r="H28" s="21">
        <f t="shared" si="1"/>
        <v>2240</v>
      </c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tr">
        <f>IFERROR(__xludf.DUMMYFUNCTION("""COMPUTED_VALUE"""),"Peru")</f>
        <v>Peru</v>
      </c>
      <c r="B29" s="54">
        <f>IFERROR(__xludf.DUMMYFUNCTION("""COMPUTED_VALUE"""),42926.0)</f>
        <v>42926</v>
      </c>
      <c r="C29" s="19">
        <f>IFERROR(__xludf.DUMMYFUNCTION("""COMPUTED_VALUE"""),42932.0)</f>
        <v>42932</v>
      </c>
      <c r="D29" s="17">
        <f>IFERROR(__xludf.DUMMYFUNCTION("""COMPUTED_VALUE"""),28.0)</f>
        <v>28</v>
      </c>
      <c r="E29" s="17">
        <f>IFERROR(__xludf.DUMMYFUNCTION("""COMPUTED_VALUE"""),1923.0)</f>
        <v>1923</v>
      </c>
      <c r="F29" s="17">
        <f>IFERROR(__xludf.DUMMYFUNCTION("""COMPUTED_VALUE"""),0.0)</f>
        <v>0</v>
      </c>
      <c r="G29" s="55">
        <v>28.0</v>
      </c>
      <c r="H29" s="21">
        <f t="shared" si="1"/>
        <v>2141.666667</v>
      </c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tr">
        <f>IFERROR(__xludf.DUMMYFUNCTION("""COMPUTED_VALUE"""),"Peru")</f>
        <v>Peru</v>
      </c>
      <c r="B30" s="54">
        <f>IFERROR(__xludf.DUMMYFUNCTION("""COMPUTED_VALUE"""),42933.0)</f>
        <v>42933</v>
      </c>
      <c r="C30" s="19">
        <f>IFERROR(__xludf.DUMMYFUNCTION("""COMPUTED_VALUE"""),42939.0)</f>
        <v>42939</v>
      </c>
      <c r="D30" s="17">
        <f>IFERROR(__xludf.DUMMYFUNCTION("""COMPUTED_VALUE"""),29.0)</f>
        <v>29</v>
      </c>
      <c r="E30" s="17">
        <f>IFERROR(__xludf.DUMMYFUNCTION("""COMPUTED_VALUE"""),1955.0)</f>
        <v>1955</v>
      </c>
      <c r="F30" s="17">
        <f>IFERROR(__xludf.DUMMYFUNCTION("""COMPUTED_VALUE"""),0.0)</f>
        <v>0</v>
      </c>
      <c r="G30" s="55">
        <v>29.0</v>
      </c>
      <c r="H30" s="21">
        <f t="shared" si="1"/>
        <v>2199.666667</v>
      </c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tr">
        <f>IFERROR(__xludf.DUMMYFUNCTION("""COMPUTED_VALUE"""),"Peru")</f>
        <v>Peru</v>
      </c>
      <c r="B31" s="54">
        <f>IFERROR(__xludf.DUMMYFUNCTION("""COMPUTED_VALUE"""),42940.0)</f>
        <v>42940</v>
      </c>
      <c r="C31" s="19">
        <f>IFERROR(__xludf.DUMMYFUNCTION("""COMPUTED_VALUE"""),42946.0)</f>
        <v>42946</v>
      </c>
      <c r="D31" s="17">
        <f>IFERROR(__xludf.DUMMYFUNCTION("""COMPUTED_VALUE"""),30.0)</f>
        <v>30</v>
      </c>
      <c r="E31" s="17">
        <f>IFERROR(__xludf.DUMMYFUNCTION("""COMPUTED_VALUE"""),2004.0)</f>
        <v>2004</v>
      </c>
      <c r="F31" s="17">
        <f>IFERROR(__xludf.DUMMYFUNCTION("""COMPUTED_VALUE"""),0.0)</f>
        <v>0</v>
      </c>
      <c r="G31" s="55">
        <v>30.0</v>
      </c>
      <c r="H31" s="21">
        <f t="shared" si="1"/>
        <v>2215.333333</v>
      </c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tr">
        <f>IFERROR(__xludf.DUMMYFUNCTION("""COMPUTED_VALUE"""),"Peru")</f>
        <v>Peru</v>
      </c>
      <c r="B32" s="54">
        <f>IFERROR(__xludf.DUMMYFUNCTION("""COMPUTED_VALUE"""),42947.0)</f>
        <v>42947</v>
      </c>
      <c r="C32" s="19">
        <f>IFERROR(__xludf.DUMMYFUNCTION("""COMPUTED_VALUE"""),42953.0)</f>
        <v>42953</v>
      </c>
      <c r="D32" s="17">
        <f>IFERROR(__xludf.DUMMYFUNCTION("""COMPUTED_VALUE"""),31.0)</f>
        <v>31</v>
      </c>
      <c r="E32" s="17">
        <f>IFERROR(__xludf.DUMMYFUNCTION("""COMPUTED_VALUE"""),1929.0)</f>
        <v>1929</v>
      </c>
      <c r="F32" s="17">
        <f>IFERROR(__xludf.DUMMYFUNCTION("""COMPUTED_VALUE"""),0.0)</f>
        <v>0</v>
      </c>
      <c r="G32" s="55">
        <v>31.0</v>
      </c>
      <c r="H32" s="21">
        <f t="shared" si="1"/>
        <v>2182.666667</v>
      </c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tr">
        <f>IFERROR(__xludf.DUMMYFUNCTION("""COMPUTED_VALUE"""),"Peru")</f>
        <v>Peru</v>
      </c>
      <c r="B33" s="54">
        <f>IFERROR(__xludf.DUMMYFUNCTION("""COMPUTED_VALUE"""),42954.0)</f>
        <v>42954</v>
      </c>
      <c r="C33" s="19">
        <f>IFERROR(__xludf.DUMMYFUNCTION("""COMPUTED_VALUE"""),42960.0)</f>
        <v>42960</v>
      </c>
      <c r="D33" s="17">
        <f>IFERROR(__xludf.DUMMYFUNCTION("""COMPUTED_VALUE"""),32.0)</f>
        <v>32</v>
      </c>
      <c r="E33" s="17">
        <f>IFERROR(__xludf.DUMMYFUNCTION("""COMPUTED_VALUE"""),1962.0)</f>
        <v>1962</v>
      </c>
      <c r="F33" s="17">
        <f>IFERROR(__xludf.DUMMYFUNCTION("""COMPUTED_VALUE"""),0.0)</f>
        <v>0</v>
      </c>
      <c r="G33" s="55">
        <v>32.0</v>
      </c>
      <c r="H33" s="21">
        <f t="shared" si="1"/>
        <v>2230.333333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tr">
        <f>IFERROR(__xludf.DUMMYFUNCTION("""COMPUTED_VALUE"""),"Peru")</f>
        <v>Peru</v>
      </c>
      <c r="B34" s="54">
        <f>IFERROR(__xludf.DUMMYFUNCTION("""COMPUTED_VALUE"""),42961.0)</f>
        <v>42961</v>
      </c>
      <c r="C34" s="19">
        <f>IFERROR(__xludf.DUMMYFUNCTION("""COMPUTED_VALUE"""),42967.0)</f>
        <v>42967</v>
      </c>
      <c r="D34" s="17">
        <f>IFERROR(__xludf.DUMMYFUNCTION("""COMPUTED_VALUE"""),33.0)</f>
        <v>33</v>
      </c>
      <c r="E34" s="17">
        <f>IFERROR(__xludf.DUMMYFUNCTION("""COMPUTED_VALUE"""),1913.0)</f>
        <v>1913</v>
      </c>
      <c r="F34" s="17">
        <f>IFERROR(__xludf.DUMMYFUNCTION("""COMPUTED_VALUE"""),0.0)</f>
        <v>0</v>
      </c>
      <c r="G34" s="55">
        <v>33.0</v>
      </c>
      <c r="H34" s="21">
        <f t="shared" si="1"/>
        <v>2135</v>
      </c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tr">
        <f>IFERROR(__xludf.DUMMYFUNCTION("""COMPUTED_VALUE"""),"Peru")</f>
        <v>Peru</v>
      </c>
      <c r="B35" s="54">
        <f>IFERROR(__xludf.DUMMYFUNCTION("""COMPUTED_VALUE"""),42968.0)</f>
        <v>42968</v>
      </c>
      <c r="C35" s="19">
        <f>IFERROR(__xludf.DUMMYFUNCTION("""COMPUTED_VALUE"""),42974.0)</f>
        <v>42974</v>
      </c>
      <c r="D35" s="17">
        <f>IFERROR(__xludf.DUMMYFUNCTION("""COMPUTED_VALUE"""),34.0)</f>
        <v>34</v>
      </c>
      <c r="E35" s="17">
        <f>IFERROR(__xludf.DUMMYFUNCTION("""COMPUTED_VALUE"""),1969.0)</f>
        <v>1969</v>
      </c>
      <c r="F35" s="17">
        <f>IFERROR(__xludf.DUMMYFUNCTION("""COMPUTED_VALUE"""),0.0)</f>
        <v>0</v>
      </c>
      <c r="G35" s="55">
        <v>34.0</v>
      </c>
      <c r="H35" s="21">
        <f t="shared" si="1"/>
        <v>2123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tr">
        <f>IFERROR(__xludf.DUMMYFUNCTION("""COMPUTED_VALUE"""),"Peru")</f>
        <v>Peru</v>
      </c>
      <c r="B36" s="54">
        <f>IFERROR(__xludf.DUMMYFUNCTION("""COMPUTED_VALUE"""),42975.0)</f>
        <v>42975</v>
      </c>
      <c r="C36" s="19">
        <f>IFERROR(__xludf.DUMMYFUNCTION("""COMPUTED_VALUE"""),42981.0)</f>
        <v>42981</v>
      </c>
      <c r="D36" s="17">
        <f>IFERROR(__xludf.DUMMYFUNCTION("""COMPUTED_VALUE"""),35.0)</f>
        <v>35</v>
      </c>
      <c r="E36" s="17">
        <f>IFERROR(__xludf.DUMMYFUNCTION("""COMPUTED_VALUE"""),1972.0)</f>
        <v>1972</v>
      </c>
      <c r="F36" s="17">
        <f>IFERROR(__xludf.DUMMYFUNCTION("""COMPUTED_VALUE"""),0.0)</f>
        <v>0</v>
      </c>
      <c r="G36" s="55">
        <v>35.0</v>
      </c>
      <c r="H36" s="21">
        <f t="shared" si="1"/>
        <v>2193.333333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tr">
        <f>IFERROR(__xludf.DUMMYFUNCTION("""COMPUTED_VALUE"""),"Peru")</f>
        <v>Peru</v>
      </c>
      <c r="B37" s="54">
        <f>IFERROR(__xludf.DUMMYFUNCTION("""COMPUTED_VALUE"""),42982.0)</f>
        <v>42982</v>
      </c>
      <c r="C37" s="19">
        <f>IFERROR(__xludf.DUMMYFUNCTION("""COMPUTED_VALUE"""),42988.0)</f>
        <v>42988</v>
      </c>
      <c r="D37" s="17">
        <f>IFERROR(__xludf.DUMMYFUNCTION("""COMPUTED_VALUE"""),36.0)</f>
        <v>36</v>
      </c>
      <c r="E37" s="17">
        <f>IFERROR(__xludf.DUMMYFUNCTION("""COMPUTED_VALUE"""),2027.0)</f>
        <v>2027</v>
      </c>
      <c r="F37" s="17">
        <f>IFERROR(__xludf.DUMMYFUNCTION("""COMPUTED_VALUE"""),0.0)</f>
        <v>0</v>
      </c>
      <c r="G37" s="55">
        <v>36.0</v>
      </c>
      <c r="H37" s="21">
        <f t="shared" si="1"/>
        <v>2168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tr">
        <f>IFERROR(__xludf.DUMMYFUNCTION("""COMPUTED_VALUE"""),"Peru")</f>
        <v>Peru</v>
      </c>
      <c r="B38" s="54">
        <f>IFERROR(__xludf.DUMMYFUNCTION("""COMPUTED_VALUE"""),42989.0)</f>
        <v>42989</v>
      </c>
      <c r="C38" s="19">
        <f>IFERROR(__xludf.DUMMYFUNCTION("""COMPUTED_VALUE"""),42995.0)</f>
        <v>42995</v>
      </c>
      <c r="D38" s="17">
        <f>IFERROR(__xludf.DUMMYFUNCTION("""COMPUTED_VALUE"""),37.0)</f>
        <v>37</v>
      </c>
      <c r="E38" s="17">
        <f>IFERROR(__xludf.DUMMYFUNCTION("""COMPUTED_VALUE"""),2058.0)</f>
        <v>2058</v>
      </c>
      <c r="F38" s="17">
        <f>IFERROR(__xludf.DUMMYFUNCTION("""COMPUTED_VALUE"""),0.0)</f>
        <v>0</v>
      </c>
      <c r="G38" s="55">
        <v>37.0</v>
      </c>
      <c r="H38" s="21">
        <f t="shared" si="1"/>
        <v>2175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tr">
        <f>IFERROR(__xludf.DUMMYFUNCTION("""COMPUTED_VALUE"""),"Peru")</f>
        <v>Peru</v>
      </c>
      <c r="B39" s="54">
        <f>IFERROR(__xludf.DUMMYFUNCTION("""COMPUTED_VALUE"""),42996.0)</f>
        <v>42996</v>
      </c>
      <c r="C39" s="19">
        <f>IFERROR(__xludf.DUMMYFUNCTION("""COMPUTED_VALUE"""),43002.0)</f>
        <v>43002</v>
      </c>
      <c r="D39" s="17">
        <f>IFERROR(__xludf.DUMMYFUNCTION("""COMPUTED_VALUE"""),38.0)</f>
        <v>38</v>
      </c>
      <c r="E39" s="17">
        <f>IFERROR(__xludf.DUMMYFUNCTION("""COMPUTED_VALUE"""),2014.0)</f>
        <v>2014</v>
      </c>
      <c r="F39" s="17">
        <f>IFERROR(__xludf.DUMMYFUNCTION("""COMPUTED_VALUE"""),0.0)</f>
        <v>0</v>
      </c>
      <c r="G39" s="55">
        <v>38.0</v>
      </c>
      <c r="H39" s="21">
        <f t="shared" si="1"/>
        <v>2213.333333</v>
      </c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tr">
        <f>IFERROR(__xludf.DUMMYFUNCTION("""COMPUTED_VALUE"""),"Peru")</f>
        <v>Peru</v>
      </c>
      <c r="B40" s="54">
        <f>IFERROR(__xludf.DUMMYFUNCTION("""COMPUTED_VALUE"""),43003.0)</f>
        <v>43003</v>
      </c>
      <c r="C40" s="19">
        <f>IFERROR(__xludf.DUMMYFUNCTION("""COMPUTED_VALUE"""),43009.0)</f>
        <v>43009</v>
      </c>
      <c r="D40" s="17">
        <f>IFERROR(__xludf.DUMMYFUNCTION("""COMPUTED_VALUE"""),39.0)</f>
        <v>39</v>
      </c>
      <c r="E40" s="17">
        <f>IFERROR(__xludf.DUMMYFUNCTION("""COMPUTED_VALUE"""),2081.0)</f>
        <v>2081</v>
      </c>
      <c r="F40" s="17">
        <f>IFERROR(__xludf.DUMMYFUNCTION("""COMPUTED_VALUE"""),0.0)</f>
        <v>0</v>
      </c>
      <c r="G40" s="55">
        <v>39.0</v>
      </c>
      <c r="H40" s="21">
        <f t="shared" si="1"/>
        <v>2217.333333</v>
      </c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tr">
        <f>IFERROR(__xludf.DUMMYFUNCTION("""COMPUTED_VALUE"""),"Peru")</f>
        <v>Peru</v>
      </c>
      <c r="B41" s="54">
        <f>IFERROR(__xludf.DUMMYFUNCTION("""COMPUTED_VALUE"""),43010.0)</f>
        <v>43010</v>
      </c>
      <c r="C41" s="19">
        <f>IFERROR(__xludf.DUMMYFUNCTION("""COMPUTED_VALUE"""),43016.0)</f>
        <v>43016</v>
      </c>
      <c r="D41" s="17">
        <f>IFERROR(__xludf.DUMMYFUNCTION("""COMPUTED_VALUE"""),40.0)</f>
        <v>40</v>
      </c>
      <c r="E41" s="17">
        <f>IFERROR(__xludf.DUMMYFUNCTION("""COMPUTED_VALUE"""),1969.0)</f>
        <v>1969</v>
      </c>
      <c r="F41" s="17">
        <f>IFERROR(__xludf.DUMMYFUNCTION("""COMPUTED_VALUE"""),0.0)</f>
        <v>0</v>
      </c>
      <c r="G41" s="55">
        <v>40.0</v>
      </c>
      <c r="H41" s="21">
        <f t="shared" si="1"/>
        <v>2151.666667</v>
      </c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tr">
        <f>IFERROR(__xludf.DUMMYFUNCTION("""COMPUTED_VALUE"""),"Peru")</f>
        <v>Peru</v>
      </c>
      <c r="B42" s="54">
        <f>IFERROR(__xludf.DUMMYFUNCTION("""COMPUTED_VALUE"""),43017.0)</f>
        <v>43017</v>
      </c>
      <c r="C42" s="19">
        <f>IFERROR(__xludf.DUMMYFUNCTION("""COMPUTED_VALUE"""),43023.0)</f>
        <v>43023</v>
      </c>
      <c r="D42" s="17">
        <f>IFERROR(__xludf.DUMMYFUNCTION("""COMPUTED_VALUE"""),41.0)</f>
        <v>41</v>
      </c>
      <c r="E42" s="17">
        <f>IFERROR(__xludf.DUMMYFUNCTION("""COMPUTED_VALUE"""),2077.0)</f>
        <v>2077</v>
      </c>
      <c r="F42" s="17">
        <f>IFERROR(__xludf.DUMMYFUNCTION("""COMPUTED_VALUE"""),0.0)</f>
        <v>0</v>
      </c>
      <c r="G42" s="55">
        <v>41.0</v>
      </c>
      <c r="H42" s="21">
        <f t="shared" si="1"/>
        <v>2191.666667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tr">
        <f>IFERROR(__xludf.DUMMYFUNCTION("""COMPUTED_VALUE"""),"Peru")</f>
        <v>Peru</v>
      </c>
      <c r="B43" s="54">
        <f>IFERROR(__xludf.DUMMYFUNCTION("""COMPUTED_VALUE"""),43024.0)</f>
        <v>43024</v>
      </c>
      <c r="C43" s="19">
        <f>IFERROR(__xludf.DUMMYFUNCTION("""COMPUTED_VALUE"""),43030.0)</f>
        <v>43030</v>
      </c>
      <c r="D43" s="17">
        <f>IFERROR(__xludf.DUMMYFUNCTION("""COMPUTED_VALUE"""),42.0)</f>
        <v>42</v>
      </c>
      <c r="E43" s="17">
        <f>IFERROR(__xludf.DUMMYFUNCTION("""COMPUTED_VALUE"""),2070.0)</f>
        <v>2070</v>
      </c>
      <c r="F43" s="17">
        <f>IFERROR(__xludf.DUMMYFUNCTION("""COMPUTED_VALUE"""),0.0)</f>
        <v>0</v>
      </c>
      <c r="G43" s="55">
        <v>42.0</v>
      </c>
      <c r="H43" s="21">
        <f t="shared" si="1"/>
        <v>2233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tr">
        <f>IFERROR(__xludf.DUMMYFUNCTION("""COMPUTED_VALUE"""),"Peru")</f>
        <v>Peru</v>
      </c>
      <c r="B44" s="54">
        <f>IFERROR(__xludf.DUMMYFUNCTION("""COMPUTED_VALUE"""),43031.0)</f>
        <v>43031</v>
      </c>
      <c r="C44" s="19">
        <f>IFERROR(__xludf.DUMMYFUNCTION("""COMPUTED_VALUE"""),43037.0)</f>
        <v>43037</v>
      </c>
      <c r="D44" s="17">
        <f>IFERROR(__xludf.DUMMYFUNCTION("""COMPUTED_VALUE"""),43.0)</f>
        <v>43</v>
      </c>
      <c r="E44" s="17">
        <f>IFERROR(__xludf.DUMMYFUNCTION("""COMPUTED_VALUE"""),2041.0)</f>
        <v>2041</v>
      </c>
      <c r="F44" s="17">
        <f>IFERROR(__xludf.DUMMYFUNCTION("""COMPUTED_VALUE"""),0.0)</f>
        <v>0</v>
      </c>
      <c r="G44" s="55">
        <v>43.0</v>
      </c>
      <c r="H44" s="21">
        <f t="shared" si="1"/>
        <v>2185.666667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tr">
        <f>IFERROR(__xludf.DUMMYFUNCTION("""COMPUTED_VALUE"""),"Peru")</f>
        <v>Peru</v>
      </c>
      <c r="B45" s="54">
        <f>IFERROR(__xludf.DUMMYFUNCTION("""COMPUTED_VALUE"""),43038.0)</f>
        <v>43038</v>
      </c>
      <c r="C45" s="19">
        <f>IFERROR(__xludf.DUMMYFUNCTION("""COMPUTED_VALUE"""),43044.0)</f>
        <v>43044</v>
      </c>
      <c r="D45" s="17">
        <f>IFERROR(__xludf.DUMMYFUNCTION("""COMPUTED_VALUE"""),44.0)</f>
        <v>44</v>
      </c>
      <c r="E45" s="17">
        <f>IFERROR(__xludf.DUMMYFUNCTION("""COMPUTED_VALUE"""),2029.0)</f>
        <v>2029</v>
      </c>
      <c r="F45" s="17">
        <f>IFERROR(__xludf.DUMMYFUNCTION("""COMPUTED_VALUE"""),0.0)</f>
        <v>0</v>
      </c>
      <c r="G45" s="55">
        <v>44.0</v>
      </c>
      <c r="H45" s="21">
        <f t="shared" si="1"/>
        <v>2205</v>
      </c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tr">
        <f>IFERROR(__xludf.DUMMYFUNCTION("""COMPUTED_VALUE"""),"Peru")</f>
        <v>Peru</v>
      </c>
      <c r="B46" s="54">
        <f>IFERROR(__xludf.DUMMYFUNCTION("""COMPUTED_VALUE"""),43045.0)</f>
        <v>43045</v>
      </c>
      <c r="C46" s="19">
        <f>IFERROR(__xludf.DUMMYFUNCTION("""COMPUTED_VALUE"""),43051.0)</f>
        <v>43051</v>
      </c>
      <c r="D46" s="17">
        <f>IFERROR(__xludf.DUMMYFUNCTION("""COMPUTED_VALUE"""),45.0)</f>
        <v>45</v>
      </c>
      <c r="E46" s="17">
        <f>IFERROR(__xludf.DUMMYFUNCTION("""COMPUTED_VALUE"""),1997.0)</f>
        <v>1997</v>
      </c>
      <c r="F46" s="17">
        <f>IFERROR(__xludf.DUMMYFUNCTION("""COMPUTED_VALUE"""),0.0)</f>
        <v>0</v>
      </c>
      <c r="G46" s="55">
        <v>45.0</v>
      </c>
      <c r="H46" s="21">
        <f t="shared" si="1"/>
        <v>2168</v>
      </c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tr">
        <f>IFERROR(__xludf.DUMMYFUNCTION("""COMPUTED_VALUE"""),"Peru")</f>
        <v>Peru</v>
      </c>
      <c r="B47" s="54">
        <f>IFERROR(__xludf.DUMMYFUNCTION("""COMPUTED_VALUE"""),43052.0)</f>
        <v>43052</v>
      </c>
      <c r="C47" s="19">
        <f>IFERROR(__xludf.DUMMYFUNCTION("""COMPUTED_VALUE"""),43058.0)</f>
        <v>43058</v>
      </c>
      <c r="D47" s="17">
        <f>IFERROR(__xludf.DUMMYFUNCTION("""COMPUTED_VALUE"""),46.0)</f>
        <v>46</v>
      </c>
      <c r="E47" s="17">
        <f>IFERROR(__xludf.DUMMYFUNCTION("""COMPUTED_VALUE"""),1892.0)</f>
        <v>1892</v>
      </c>
      <c r="F47" s="17">
        <f>IFERROR(__xludf.DUMMYFUNCTION("""COMPUTED_VALUE"""),0.0)</f>
        <v>0</v>
      </c>
      <c r="G47" s="55">
        <v>46.0</v>
      </c>
      <c r="H47" s="21">
        <f t="shared" si="1"/>
        <v>2057.666667</v>
      </c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tr">
        <f>IFERROR(__xludf.DUMMYFUNCTION("""COMPUTED_VALUE"""),"Peru")</f>
        <v>Peru</v>
      </c>
      <c r="B48" s="54">
        <f>IFERROR(__xludf.DUMMYFUNCTION("""COMPUTED_VALUE"""),43059.0)</f>
        <v>43059</v>
      </c>
      <c r="C48" s="19">
        <f>IFERROR(__xludf.DUMMYFUNCTION("""COMPUTED_VALUE"""),43065.0)</f>
        <v>43065</v>
      </c>
      <c r="D48" s="17">
        <f>IFERROR(__xludf.DUMMYFUNCTION("""COMPUTED_VALUE"""),47.0)</f>
        <v>47</v>
      </c>
      <c r="E48" s="17">
        <f>IFERROR(__xludf.DUMMYFUNCTION("""COMPUTED_VALUE"""),2035.0)</f>
        <v>2035</v>
      </c>
      <c r="F48" s="17">
        <f>IFERROR(__xludf.DUMMYFUNCTION("""COMPUTED_VALUE"""),0.0)</f>
        <v>0</v>
      </c>
      <c r="G48" s="55">
        <v>47.0</v>
      </c>
      <c r="H48" s="21">
        <f t="shared" si="1"/>
        <v>2082.666667</v>
      </c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tr">
        <f>IFERROR(__xludf.DUMMYFUNCTION("""COMPUTED_VALUE"""),"Peru")</f>
        <v>Peru</v>
      </c>
      <c r="B49" s="54">
        <f>IFERROR(__xludf.DUMMYFUNCTION("""COMPUTED_VALUE"""),43066.0)</f>
        <v>43066</v>
      </c>
      <c r="C49" s="19">
        <f>IFERROR(__xludf.DUMMYFUNCTION("""COMPUTED_VALUE"""),43072.0)</f>
        <v>43072</v>
      </c>
      <c r="D49" s="17">
        <f>IFERROR(__xludf.DUMMYFUNCTION("""COMPUTED_VALUE"""),48.0)</f>
        <v>48</v>
      </c>
      <c r="E49" s="17">
        <f>IFERROR(__xludf.DUMMYFUNCTION("""COMPUTED_VALUE"""),1951.0)</f>
        <v>1951</v>
      </c>
      <c r="F49" s="17">
        <f>IFERROR(__xludf.DUMMYFUNCTION("""COMPUTED_VALUE"""),0.0)</f>
        <v>0</v>
      </c>
      <c r="G49" s="55">
        <v>48.0</v>
      </c>
      <c r="H49" s="21">
        <f t="shared" si="1"/>
        <v>2059</v>
      </c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tr">
        <f>IFERROR(__xludf.DUMMYFUNCTION("""COMPUTED_VALUE"""),"Peru")</f>
        <v>Peru</v>
      </c>
      <c r="B50" s="54">
        <f>IFERROR(__xludf.DUMMYFUNCTION("""COMPUTED_VALUE"""),43073.0)</f>
        <v>43073</v>
      </c>
      <c r="C50" s="19">
        <f>IFERROR(__xludf.DUMMYFUNCTION("""COMPUTED_VALUE"""),43079.0)</f>
        <v>43079</v>
      </c>
      <c r="D50" s="17">
        <f>IFERROR(__xludf.DUMMYFUNCTION("""COMPUTED_VALUE"""),49.0)</f>
        <v>49</v>
      </c>
      <c r="E50" s="17">
        <f>IFERROR(__xludf.DUMMYFUNCTION("""COMPUTED_VALUE"""),1868.0)</f>
        <v>1868</v>
      </c>
      <c r="F50" s="17">
        <f>IFERROR(__xludf.DUMMYFUNCTION("""COMPUTED_VALUE"""),0.0)</f>
        <v>0</v>
      </c>
      <c r="G50" s="55">
        <v>49.0</v>
      </c>
      <c r="H50" s="21">
        <f t="shared" si="1"/>
        <v>2088.666667</v>
      </c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tr">
        <f>IFERROR(__xludf.DUMMYFUNCTION("""COMPUTED_VALUE"""),"Peru")</f>
        <v>Peru</v>
      </c>
      <c r="B51" s="54">
        <f>IFERROR(__xludf.DUMMYFUNCTION("""COMPUTED_VALUE"""),43080.0)</f>
        <v>43080</v>
      </c>
      <c r="C51" s="19">
        <f>IFERROR(__xludf.DUMMYFUNCTION("""COMPUTED_VALUE"""),43086.0)</f>
        <v>43086</v>
      </c>
      <c r="D51" s="17">
        <f>IFERROR(__xludf.DUMMYFUNCTION("""COMPUTED_VALUE"""),50.0)</f>
        <v>50</v>
      </c>
      <c r="E51" s="17">
        <f>IFERROR(__xludf.DUMMYFUNCTION("""COMPUTED_VALUE"""),1968.0)</f>
        <v>1968</v>
      </c>
      <c r="F51" s="17">
        <f>IFERROR(__xludf.DUMMYFUNCTION("""COMPUTED_VALUE"""),0.0)</f>
        <v>0</v>
      </c>
      <c r="G51" s="55">
        <v>50.0</v>
      </c>
      <c r="H51" s="21">
        <f t="shared" si="1"/>
        <v>2114.666667</v>
      </c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tr">
        <f>IFERROR(__xludf.DUMMYFUNCTION("""COMPUTED_VALUE"""),"Peru")</f>
        <v>Peru</v>
      </c>
      <c r="B52" s="54">
        <f>IFERROR(__xludf.DUMMYFUNCTION("""COMPUTED_VALUE"""),43087.0)</f>
        <v>43087</v>
      </c>
      <c r="C52" s="19">
        <f>IFERROR(__xludf.DUMMYFUNCTION("""COMPUTED_VALUE"""),43093.0)</f>
        <v>43093</v>
      </c>
      <c r="D52" s="17">
        <f>IFERROR(__xludf.DUMMYFUNCTION("""COMPUTED_VALUE"""),51.0)</f>
        <v>51</v>
      </c>
      <c r="E52" s="17">
        <f>IFERROR(__xludf.DUMMYFUNCTION("""COMPUTED_VALUE"""),1949.0)</f>
        <v>1949</v>
      </c>
      <c r="F52" s="17">
        <f>IFERROR(__xludf.DUMMYFUNCTION("""COMPUTED_VALUE"""),0.0)</f>
        <v>0</v>
      </c>
      <c r="G52" s="55">
        <v>51.0</v>
      </c>
      <c r="H52" s="21">
        <f t="shared" si="1"/>
        <v>2100.666667</v>
      </c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tr">
        <f>IFERROR(__xludf.DUMMYFUNCTION("""COMPUTED_VALUE"""),"Peru")</f>
        <v>Peru</v>
      </c>
      <c r="B53" s="54">
        <f>IFERROR(__xludf.DUMMYFUNCTION("""COMPUTED_VALUE"""),43094.0)</f>
        <v>43094</v>
      </c>
      <c r="C53" s="19">
        <f>IFERROR(__xludf.DUMMYFUNCTION("""COMPUTED_VALUE"""),43100.0)</f>
        <v>43100</v>
      </c>
      <c r="D53" s="17">
        <f>IFERROR(__xludf.DUMMYFUNCTION("""COMPUTED_VALUE"""),52.0)</f>
        <v>52</v>
      </c>
      <c r="E53" s="17">
        <f>IFERROR(__xludf.DUMMYFUNCTION("""COMPUTED_VALUE"""),1948.0)</f>
        <v>1948</v>
      </c>
      <c r="F53" s="17">
        <f>IFERROR(__xludf.DUMMYFUNCTION("""COMPUTED_VALUE"""),0.0)</f>
        <v>0</v>
      </c>
      <c r="G53" s="55">
        <v>52.0</v>
      </c>
      <c r="H53" s="21">
        <f t="shared" si="1"/>
        <v>2159</v>
      </c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tr">
        <f>IFERROR(__xludf.DUMMYFUNCTION("""COMPUTED_VALUE"""),"Peru")</f>
        <v>Peru</v>
      </c>
      <c r="B54" s="54">
        <f>IFERROR(__xludf.DUMMYFUNCTION("""COMPUTED_VALUE"""),43101.0)</f>
        <v>43101</v>
      </c>
      <c r="C54" s="19">
        <f>IFERROR(__xludf.DUMMYFUNCTION("""COMPUTED_VALUE"""),43107.0)</f>
        <v>43107</v>
      </c>
      <c r="D54" s="17">
        <f>IFERROR(__xludf.DUMMYFUNCTION("""COMPUTED_VALUE"""),1.0)</f>
        <v>1</v>
      </c>
      <c r="E54" s="17">
        <f>IFERROR(__xludf.DUMMYFUNCTION("""COMPUTED_VALUE"""),1987.0)</f>
        <v>1987</v>
      </c>
      <c r="F54" s="17">
        <f>IFERROR(__xludf.DUMMYFUNCTION("""COMPUTED_VALUE"""),0.0)</f>
        <v>0</v>
      </c>
      <c r="G54" s="55">
        <v>53.0</v>
      </c>
      <c r="H54" s="71">
        <v>0.0</v>
      </c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tr">
        <f>IFERROR(__xludf.DUMMYFUNCTION("""COMPUTED_VALUE"""),"Peru")</f>
        <v>Peru</v>
      </c>
      <c r="B55" s="54">
        <f>IFERROR(__xludf.DUMMYFUNCTION("""COMPUTED_VALUE"""),43108.0)</f>
        <v>43108</v>
      </c>
      <c r="C55" s="19">
        <f>IFERROR(__xludf.DUMMYFUNCTION("""COMPUTED_VALUE"""),43114.0)</f>
        <v>43114</v>
      </c>
      <c r="D55" s="17">
        <f>IFERROR(__xludf.DUMMYFUNCTION("""COMPUTED_VALUE"""),2.0)</f>
        <v>2</v>
      </c>
      <c r="E55" s="17">
        <f>IFERROR(__xludf.DUMMYFUNCTION("""COMPUTED_VALUE"""),1980.0)</f>
        <v>1980</v>
      </c>
      <c r="F55" s="17">
        <f>IFERROR(__xludf.DUMMYFUNCTION("""COMPUTED_VALUE"""),0.0)</f>
        <v>0</v>
      </c>
      <c r="G55" s="17"/>
      <c r="H55" s="21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tr">
        <f>IFERROR(__xludf.DUMMYFUNCTION("""COMPUTED_VALUE"""),"Peru")</f>
        <v>Peru</v>
      </c>
      <c r="B56" s="54">
        <f>IFERROR(__xludf.DUMMYFUNCTION("""COMPUTED_VALUE"""),43115.0)</f>
        <v>43115</v>
      </c>
      <c r="C56" s="19">
        <f>IFERROR(__xludf.DUMMYFUNCTION("""COMPUTED_VALUE"""),43121.0)</f>
        <v>43121</v>
      </c>
      <c r="D56" s="17">
        <f>IFERROR(__xludf.DUMMYFUNCTION("""COMPUTED_VALUE"""),3.0)</f>
        <v>3</v>
      </c>
      <c r="E56" s="17">
        <f>IFERROR(__xludf.DUMMYFUNCTION("""COMPUTED_VALUE"""),1922.0)</f>
        <v>1922</v>
      </c>
      <c r="F56" s="17">
        <f>IFERROR(__xludf.DUMMYFUNCTION("""COMPUTED_VALUE"""),0.0)</f>
        <v>0</v>
      </c>
      <c r="G56" s="17"/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tr">
        <f>IFERROR(__xludf.DUMMYFUNCTION("""COMPUTED_VALUE"""),"Peru")</f>
        <v>Peru</v>
      </c>
      <c r="B57" s="54">
        <f>IFERROR(__xludf.DUMMYFUNCTION("""COMPUTED_VALUE"""),43122.0)</f>
        <v>43122</v>
      </c>
      <c r="C57" s="19">
        <f>IFERROR(__xludf.DUMMYFUNCTION("""COMPUTED_VALUE"""),43128.0)</f>
        <v>43128</v>
      </c>
      <c r="D57" s="17">
        <f>IFERROR(__xludf.DUMMYFUNCTION("""COMPUTED_VALUE"""),4.0)</f>
        <v>4</v>
      </c>
      <c r="E57" s="17">
        <f>IFERROR(__xludf.DUMMYFUNCTION("""COMPUTED_VALUE"""),1953.0)</f>
        <v>1953</v>
      </c>
      <c r="F57" s="17">
        <f>IFERROR(__xludf.DUMMYFUNCTION("""COMPUTED_VALUE"""),0.0)</f>
        <v>0</v>
      </c>
      <c r="G57" s="17"/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tr">
        <f>IFERROR(__xludf.DUMMYFUNCTION("""COMPUTED_VALUE"""),"Peru")</f>
        <v>Peru</v>
      </c>
      <c r="B58" s="54">
        <f>IFERROR(__xludf.DUMMYFUNCTION("""COMPUTED_VALUE"""),43129.0)</f>
        <v>43129</v>
      </c>
      <c r="C58" s="19">
        <f>IFERROR(__xludf.DUMMYFUNCTION("""COMPUTED_VALUE"""),43135.0)</f>
        <v>43135</v>
      </c>
      <c r="D58" s="17">
        <f>IFERROR(__xludf.DUMMYFUNCTION("""COMPUTED_VALUE"""),5.0)</f>
        <v>5</v>
      </c>
      <c r="E58" s="17">
        <f>IFERROR(__xludf.DUMMYFUNCTION("""COMPUTED_VALUE"""),1888.0)</f>
        <v>1888</v>
      </c>
      <c r="F58" s="17">
        <f>IFERROR(__xludf.DUMMYFUNCTION("""COMPUTED_VALUE"""),0.0)</f>
        <v>0</v>
      </c>
      <c r="G58" s="17"/>
      <c r="H58" s="21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tr">
        <f>IFERROR(__xludf.DUMMYFUNCTION("""COMPUTED_VALUE"""),"Peru")</f>
        <v>Peru</v>
      </c>
      <c r="B59" s="54">
        <f>IFERROR(__xludf.DUMMYFUNCTION("""COMPUTED_VALUE"""),43136.0)</f>
        <v>43136</v>
      </c>
      <c r="C59" s="19">
        <f>IFERROR(__xludf.DUMMYFUNCTION("""COMPUTED_VALUE"""),43142.0)</f>
        <v>43142</v>
      </c>
      <c r="D59" s="17">
        <f>IFERROR(__xludf.DUMMYFUNCTION("""COMPUTED_VALUE"""),6.0)</f>
        <v>6</v>
      </c>
      <c r="E59" s="17">
        <f>IFERROR(__xludf.DUMMYFUNCTION("""COMPUTED_VALUE"""),1914.0)</f>
        <v>1914</v>
      </c>
      <c r="F59" s="17">
        <f>IFERROR(__xludf.DUMMYFUNCTION("""COMPUTED_VALUE"""),0.0)</f>
        <v>0</v>
      </c>
      <c r="G59" s="17"/>
      <c r="H59" s="21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tr">
        <f>IFERROR(__xludf.DUMMYFUNCTION("""COMPUTED_VALUE"""),"Peru")</f>
        <v>Peru</v>
      </c>
      <c r="B60" s="54">
        <f>IFERROR(__xludf.DUMMYFUNCTION("""COMPUTED_VALUE"""),43143.0)</f>
        <v>43143</v>
      </c>
      <c r="C60" s="19">
        <f>IFERROR(__xludf.DUMMYFUNCTION("""COMPUTED_VALUE"""),43149.0)</f>
        <v>43149</v>
      </c>
      <c r="D60" s="17">
        <f>IFERROR(__xludf.DUMMYFUNCTION("""COMPUTED_VALUE"""),7.0)</f>
        <v>7</v>
      </c>
      <c r="E60" s="17">
        <f>IFERROR(__xludf.DUMMYFUNCTION("""COMPUTED_VALUE"""),2024.0)</f>
        <v>2024</v>
      </c>
      <c r="F60" s="17">
        <f>IFERROR(__xludf.DUMMYFUNCTION("""COMPUTED_VALUE"""),0.0)</f>
        <v>0</v>
      </c>
      <c r="G60" s="17"/>
      <c r="H60" s="21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tr">
        <f>IFERROR(__xludf.DUMMYFUNCTION("""COMPUTED_VALUE"""),"Peru")</f>
        <v>Peru</v>
      </c>
      <c r="B61" s="54">
        <f>IFERROR(__xludf.DUMMYFUNCTION("""COMPUTED_VALUE"""),43150.0)</f>
        <v>43150</v>
      </c>
      <c r="C61" s="19">
        <f>IFERROR(__xludf.DUMMYFUNCTION("""COMPUTED_VALUE"""),43156.0)</f>
        <v>43156</v>
      </c>
      <c r="D61" s="17">
        <f>IFERROR(__xludf.DUMMYFUNCTION("""COMPUTED_VALUE"""),8.0)</f>
        <v>8</v>
      </c>
      <c r="E61" s="17">
        <f>IFERROR(__xludf.DUMMYFUNCTION("""COMPUTED_VALUE"""),1948.0)</f>
        <v>1948</v>
      </c>
      <c r="F61" s="17">
        <f>IFERROR(__xludf.DUMMYFUNCTION("""COMPUTED_VALUE"""),0.0)</f>
        <v>0</v>
      </c>
      <c r="G61" s="17"/>
      <c r="H61" s="21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tr">
        <f>IFERROR(__xludf.DUMMYFUNCTION("""COMPUTED_VALUE"""),"Peru")</f>
        <v>Peru</v>
      </c>
      <c r="B62" s="54">
        <f>IFERROR(__xludf.DUMMYFUNCTION("""COMPUTED_VALUE"""),43157.0)</f>
        <v>43157</v>
      </c>
      <c r="C62" s="19">
        <f>IFERROR(__xludf.DUMMYFUNCTION("""COMPUTED_VALUE"""),43163.0)</f>
        <v>43163</v>
      </c>
      <c r="D62" s="17">
        <f>IFERROR(__xludf.DUMMYFUNCTION("""COMPUTED_VALUE"""),9.0)</f>
        <v>9</v>
      </c>
      <c r="E62" s="17">
        <f>IFERROR(__xludf.DUMMYFUNCTION("""COMPUTED_VALUE"""),1947.0)</f>
        <v>1947</v>
      </c>
      <c r="F62" s="17">
        <f>IFERROR(__xludf.DUMMYFUNCTION("""COMPUTED_VALUE"""),0.0)</f>
        <v>0</v>
      </c>
      <c r="G62" s="17"/>
      <c r="H62" s="21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tr">
        <f>IFERROR(__xludf.DUMMYFUNCTION("""COMPUTED_VALUE"""),"Peru")</f>
        <v>Peru</v>
      </c>
      <c r="B63" s="54">
        <f>IFERROR(__xludf.DUMMYFUNCTION("""COMPUTED_VALUE"""),43164.0)</f>
        <v>43164</v>
      </c>
      <c r="C63" s="19">
        <f>IFERROR(__xludf.DUMMYFUNCTION("""COMPUTED_VALUE"""),43170.0)</f>
        <v>43170</v>
      </c>
      <c r="D63" s="17">
        <f>IFERROR(__xludf.DUMMYFUNCTION("""COMPUTED_VALUE"""),10.0)</f>
        <v>10</v>
      </c>
      <c r="E63" s="17">
        <f>IFERROR(__xludf.DUMMYFUNCTION("""COMPUTED_VALUE"""),1893.0)</f>
        <v>1893</v>
      </c>
      <c r="F63" s="17">
        <f>IFERROR(__xludf.DUMMYFUNCTION("""COMPUTED_VALUE"""),0.0)</f>
        <v>0</v>
      </c>
      <c r="G63" s="17"/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tr">
        <f>IFERROR(__xludf.DUMMYFUNCTION("""COMPUTED_VALUE"""),"Peru")</f>
        <v>Peru</v>
      </c>
      <c r="B64" s="54">
        <f>IFERROR(__xludf.DUMMYFUNCTION("""COMPUTED_VALUE"""),43171.0)</f>
        <v>43171</v>
      </c>
      <c r="C64" s="19">
        <f>IFERROR(__xludf.DUMMYFUNCTION("""COMPUTED_VALUE"""),43177.0)</f>
        <v>43177</v>
      </c>
      <c r="D64" s="17">
        <f>IFERROR(__xludf.DUMMYFUNCTION("""COMPUTED_VALUE"""),11.0)</f>
        <v>11</v>
      </c>
      <c r="E64" s="17">
        <f>IFERROR(__xludf.DUMMYFUNCTION("""COMPUTED_VALUE"""),1972.0)</f>
        <v>1972</v>
      </c>
      <c r="F64" s="17">
        <f>IFERROR(__xludf.DUMMYFUNCTION("""COMPUTED_VALUE"""),0.0)</f>
        <v>0</v>
      </c>
      <c r="G64" s="17"/>
      <c r="H64" s="21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tr">
        <f>IFERROR(__xludf.DUMMYFUNCTION("""COMPUTED_VALUE"""),"Peru")</f>
        <v>Peru</v>
      </c>
      <c r="B65" s="54">
        <f>IFERROR(__xludf.DUMMYFUNCTION("""COMPUTED_VALUE"""),43178.0)</f>
        <v>43178</v>
      </c>
      <c r="C65" s="19">
        <f>IFERROR(__xludf.DUMMYFUNCTION("""COMPUTED_VALUE"""),43184.0)</f>
        <v>43184</v>
      </c>
      <c r="D65" s="17">
        <f>IFERROR(__xludf.DUMMYFUNCTION("""COMPUTED_VALUE"""),12.0)</f>
        <v>12</v>
      </c>
      <c r="E65" s="17">
        <f>IFERROR(__xludf.DUMMYFUNCTION("""COMPUTED_VALUE"""),1970.0)</f>
        <v>1970</v>
      </c>
      <c r="F65" s="17">
        <f>IFERROR(__xludf.DUMMYFUNCTION("""COMPUTED_VALUE"""),0.0)</f>
        <v>0</v>
      </c>
      <c r="G65" s="17"/>
      <c r="H65" s="21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tr">
        <f>IFERROR(__xludf.DUMMYFUNCTION("""COMPUTED_VALUE"""),"Peru")</f>
        <v>Peru</v>
      </c>
      <c r="B66" s="54">
        <f>IFERROR(__xludf.DUMMYFUNCTION("""COMPUTED_VALUE"""),43185.0)</f>
        <v>43185</v>
      </c>
      <c r="C66" s="19">
        <f>IFERROR(__xludf.DUMMYFUNCTION("""COMPUTED_VALUE"""),43191.0)</f>
        <v>43191</v>
      </c>
      <c r="D66" s="17">
        <f>IFERROR(__xludf.DUMMYFUNCTION("""COMPUTED_VALUE"""),13.0)</f>
        <v>13</v>
      </c>
      <c r="E66" s="17">
        <f>IFERROR(__xludf.DUMMYFUNCTION("""COMPUTED_VALUE"""),1984.0)</f>
        <v>1984</v>
      </c>
      <c r="F66" s="17">
        <f>IFERROR(__xludf.DUMMYFUNCTION("""COMPUTED_VALUE"""),0.0)</f>
        <v>0</v>
      </c>
      <c r="G66" s="17"/>
      <c r="H66" s="21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tr">
        <f>IFERROR(__xludf.DUMMYFUNCTION("""COMPUTED_VALUE"""),"Peru")</f>
        <v>Peru</v>
      </c>
      <c r="B67" s="54">
        <f>IFERROR(__xludf.DUMMYFUNCTION("""COMPUTED_VALUE"""),43192.0)</f>
        <v>43192</v>
      </c>
      <c r="C67" s="19">
        <f>IFERROR(__xludf.DUMMYFUNCTION("""COMPUTED_VALUE"""),43198.0)</f>
        <v>43198</v>
      </c>
      <c r="D67" s="17">
        <f>IFERROR(__xludf.DUMMYFUNCTION("""COMPUTED_VALUE"""),14.0)</f>
        <v>14</v>
      </c>
      <c r="E67" s="17">
        <f>IFERROR(__xludf.DUMMYFUNCTION("""COMPUTED_VALUE"""),2100.0)</f>
        <v>2100</v>
      </c>
      <c r="F67" s="17">
        <f>IFERROR(__xludf.DUMMYFUNCTION("""COMPUTED_VALUE"""),0.0)</f>
        <v>0</v>
      </c>
      <c r="G67" s="17"/>
      <c r="H67" s="21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tr">
        <f>IFERROR(__xludf.DUMMYFUNCTION("""COMPUTED_VALUE"""),"Peru")</f>
        <v>Peru</v>
      </c>
      <c r="B68" s="54">
        <f>IFERROR(__xludf.DUMMYFUNCTION("""COMPUTED_VALUE"""),43199.0)</f>
        <v>43199</v>
      </c>
      <c r="C68" s="19">
        <f>IFERROR(__xludf.DUMMYFUNCTION("""COMPUTED_VALUE"""),43205.0)</f>
        <v>43205</v>
      </c>
      <c r="D68" s="17">
        <f>IFERROR(__xludf.DUMMYFUNCTION("""COMPUTED_VALUE"""),15.0)</f>
        <v>15</v>
      </c>
      <c r="E68" s="17">
        <f>IFERROR(__xludf.DUMMYFUNCTION("""COMPUTED_VALUE"""),1835.0)</f>
        <v>1835</v>
      </c>
      <c r="F68" s="17">
        <f>IFERROR(__xludf.DUMMYFUNCTION("""COMPUTED_VALUE"""),0.0)</f>
        <v>0</v>
      </c>
      <c r="G68" s="17"/>
      <c r="H68" s="21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tr">
        <f>IFERROR(__xludf.DUMMYFUNCTION("""COMPUTED_VALUE"""),"Peru")</f>
        <v>Peru</v>
      </c>
      <c r="B69" s="54">
        <f>IFERROR(__xludf.DUMMYFUNCTION("""COMPUTED_VALUE"""),43206.0)</f>
        <v>43206</v>
      </c>
      <c r="C69" s="19">
        <f>IFERROR(__xludf.DUMMYFUNCTION("""COMPUTED_VALUE"""),43212.0)</f>
        <v>43212</v>
      </c>
      <c r="D69" s="17">
        <f>IFERROR(__xludf.DUMMYFUNCTION("""COMPUTED_VALUE"""),16.0)</f>
        <v>16</v>
      </c>
      <c r="E69" s="17">
        <f>IFERROR(__xludf.DUMMYFUNCTION("""COMPUTED_VALUE"""),1985.0)</f>
        <v>1985</v>
      </c>
      <c r="F69" s="17">
        <f>IFERROR(__xludf.DUMMYFUNCTION("""COMPUTED_VALUE"""),0.0)</f>
        <v>0</v>
      </c>
      <c r="G69" s="17"/>
      <c r="H69" s="21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tr">
        <f>IFERROR(__xludf.DUMMYFUNCTION("""COMPUTED_VALUE"""),"Peru")</f>
        <v>Peru</v>
      </c>
      <c r="B70" s="54">
        <f>IFERROR(__xludf.DUMMYFUNCTION("""COMPUTED_VALUE"""),43213.0)</f>
        <v>43213</v>
      </c>
      <c r="C70" s="19">
        <f>IFERROR(__xludf.DUMMYFUNCTION("""COMPUTED_VALUE"""),43219.0)</f>
        <v>43219</v>
      </c>
      <c r="D70" s="17">
        <f>IFERROR(__xludf.DUMMYFUNCTION("""COMPUTED_VALUE"""),17.0)</f>
        <v>17</v>
      </c>
      <c r="E70" s="17">
        <f>IFERROR(__xludf.DUMMYFUNCTION("""COMPUTED_VALUE"""),1991.0)</f>
        <v>1991</v>
      </c>
      <c r="F70" s="17">
        <f>IFERROR(__xludf.DUMMYFUNCTION("""COMPUTED_VALUE"""),0.0)</f>
        <v>0</v>
      </c>
      <c r="G70" s="17"/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tr">
        <f>IFERROR(__xludf.DUMMYFUNCTION("""COMPUTED_VALUE"""),"Peru")</f>
        <v>Peru</v>
      </c>
      <c r="B71" s="54">
        <f>IFERROR(__xludf.DUMMYFUNCTION("""COMPUTED_VALUE"""),43220.0)</f>
        <v>43220</v>
      </c>
      <c r="C71" s="19">
        <f>IFERROR(__xludf.DUMMYFUNCTION("""COMPUTED_VALUE"""),43226.0)</f>
        <v>43226</v>
      </c>
      <c r="D71" s="17">
        <f>IFERROR(__xludf.DUMMYFUNCTION("""COMPUTED_VALUE"""),18.0)</f>
        <v>18</v>
      </c>
      <c r="E71" s="17">
        <f>IFERROR(__xludf.DUMMYFUNCTION("""COMPUTED_VALUE"""),2129.0)</f>
        <v>2129</v>
      </c>
      <c r="F71" s="17">
        <f>IFERROR(__xludf.DUMMYFUNCTION("""COMPUTED_VALUE"""),0.0)</f>
        <v>0</v>
      </c>
      <c r="G71" s="17"/>
      <c r="H71" s="21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tr">
        <f>IFERROR(__xludf.DUMMYFUNCTION("""COMPUTED_VALUE"""),"Peru")</f>
        <v>Peru</v>
      </c>
      <c r="B72" s="54">
        <f>IFERROR(__xludf.DUMMYFUNCTION("""COMPUTED_VALUE"""),43227.0)</f>
        <v>43227</v>
      </c>
      <c r="C72" s="19">
        <f>IFERROR(__xludf.DUMMYFUNCTION("""COMPUTED_VALUE"""),43233.0)</f>
        <v>43233</v>
      </c>
      <c r="D72" s="17">
        <f>IFERROR(__xludf.DUMMYFUNCTION("""COMPUTED_VALUE"""),19.0)</f>
        <v>19</v>
      </c>
      <c r="E72" s="17">
        <f>IFERROR(__xludf.DUMMYFUNCTION("""COMPUTED_VALUE"""),2001.0)</f>
        <v>2001</v>
      </c>
      <c r="F72" s="17">
        <f>IFERROR(__xludf.DUMMYFUNCTION("""COMPUTED_VALUE"""),0.0)</f>
        <v>0</v>
      </c>
      <c r="G72" s="17"/>
      <c r="H72" s="21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tr">
        <f>IFERROR(__xludf.DUMMYFUNCTION("""COMPUTED_VALUE"""),"Peru")</f>
        <v>Peru</v>
      </c>
      <c r="B73" s="54">
        <f>IFERROR(__xludf.DUMMYFUNCTION("""COMPUTED_VALUE"""),43234.0)</f>
        <v>43234</v>
      </c>
      <c r="C73" s="19">
        <f>IFERROR(__xludf.DUMMYFUNCTION("""COMPUTED_VALUE"""),43240.0)</f>
        <v>43240</v>
      </c>
      <c r="D73" s="17">
        <f>IFERROR(__xludf.DUMMYFUNCTION("""COMPUTED_VALUE"""),20.0)</f>
        <v>20</v>
      </c>
      <c r="E73" s="17">
        <f>IFERROR(__xludf.DUMMYFUNCTION("""COMPUTED_VALUE"""),2118.0)</f>
        <v>2118</v>
      </c>
      <c r="F73" s="17">
        <f>IFERROR(__xludf.DUMMYFUNCTION("""COMPUTED_VALUE"""),0.0)</f>
        <v>0</v>
      </c>
      <c r="G73" s="17"/>
      <c r="H73" s="21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tr">
        <f>IFERROR(__xludf.DUMMYFUNCTION("""COMPUTED_VALUE"""),"Peru")</f>
        <v>Peru</v>
      </c>
      <c r="B74" s="54">
        <f>IFERROR(__xludf.DUMMYFUNCTION("""COMPUTED_VALUE"""),43241.0)</f>
        <v>43241</v>
      </c>
      <c r="C74" s="19">
        <f>IFERROR(__xludf.DUMMYFUNCTION("""COMPUTED_VALUE"""),43247.0)</f>
        <v>43247</v>
      </c>
      <c r="D74" s="17">
        <f>IFERROR(__xludf.DUMMYFUNCTION("""COMPUTED_VALUE"""),21.0)</f>
        <v>21</v>
      </c>
      <c r="E74" s="17">
        <f>IFERROR(__xludf.DUMMYFUNCTION("""COMPUTED_VALUE"""),2294.0)</f>
        <v>2294</v>
      </c>
      <c r="F74" s="17">
        <f>IFERROR(__xludf.DUMMYFUNCTION("""COMPUTED_VALUE"""),0.0)</f>
        <v>0</v>
      </c>
      <c r="G74" s="17"/>
      <c r="H74" s="21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tr">
        <f>IFERROR(__xludf.DUMMYFUNCTION("""COMPUTED_VALUE"""),"Peru")</f>
        <v>Peru</v>
      </c>
      <c r="B75" s="54">
        <f>IFERROR(__xludf.DUMMYFUNCTION("""COMPUTED_VALUE"""),43248.0)</f>
        <v>43248</v>
      </c>
      <c r="C75" s="19">
        <f>IFERROR(__xludf.DUMMYFUNCTION("""COMPUTED_VALUE"""),43254.0)</f>
        <v>43254</v>
      </c>
      <c r="D75" s="17">
        <f>IFERROR(__xludf.DUMMYFUNCTION("""COMPUTED_VALUE"""),22.0)</f>
        <v>22</v>
      </c>
      <c r="E75" s="17">
        <f>IFERROR(__xludf.DUMMYFUNCTION("""COMPUTED_VALUE"""),2288.0)</f>
        <v>2288</v>
      </c>
      <c r="F75" s="17">
        <f>IFERROR(__xludf.DUMMYFUNCTION("""COMPUTED_VALUE"""),0.0)</f>
        <v>0</v>
      </c>
      <c r="G75" s="17"/>
      <c r="H75" s="21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tr">
        <f>IFERROR(__xludf.DUMMYFUNCTION("""COMPUTED_VALUE"""),"Peru")</f>
        <v>Peru</v>
      </c>
      <c r="B76" s="54">
        <f>IFERROR(__xludf.DUMMYFUNCTION("""COMPUTED_VALUE"""),43255.0)</f>
        <v>43255</v>
      </c>
      <c r="C76" s="19">
        <f>IFERROR(__xludf.DUMMYFUNCTION("""COMPUTED_VALUE"""),43261.0)</f>
        <v>43261</v>
      </c>
      <c r="D76" s="17">
        <f>IFERROR(__xludf.DUMMYFUNCTION("""COMPUTED_VALUE"""),23.0)</f>
        <v>23</v>
      </c>
      <c r="E76" s="17">
        <f>IFERROR(__xludf.DUMMYFUNCTION("""COMPUTED_VALUE"""),2347.0)</f>
        <v>2347</v>
      </c>
      <c r="F76" s="17">
        <f>IFERROR(__xludf.DUMMYFUNCTION("""COMPUTED_VALUE"""),0.0)</f>
        <v>0</v>
      </c>
      <c r="G76" s="17"/>
      <c r="H76" s="21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tr">
        <f>IFERROR(__xludf.DUMMYFUNCTION("""COMPUTED_VALUE"""),"Peru")</f>
        <v>Peru</v>
      </c>
      <c r="B77" s="54">
        <f>IFERROR(__xludf.DUMMYFUNCTION("""COMPUTED_VALUE"""),43262.0)</f>
        <v>43262</v>
      </c>
      <c r="C77" s="19">
        <f>IFERROR(__xludf.DUMMYFUNCTION("""COMPUTED_VALUE"""),43268.0)</f>
        <v>43268</v>
      </c>
      <c r="D77" s="17">
        <f>IFERROR(__xludf.DUMMYFUNCTION("""COMPUTED_VALUE"""),24.0)</f>
        <v>24</v>
      </c>
      <c r="E77" s="17">
        <f>IFERROR(__xludf.DUMMYFUNCTION("""COMPUTED_VALUE"""),2442.0)</f>
        <v>2442</v>
      </c>
      <c r="F77" s="17">
        <f>IFERROR(__xludf.DUMMYFUNCTION("""COMPUTED_VALUE"""),0.0)</f>
        <v>0</v>
      </c>
      <c r="G77" s="17"/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tr">
        <f>IFERROR(__xludf.DUMMYFUNCTION("""COMPUTED_VALUE"""),"Peru")</f>
        <v>Peru</v>
      </c>
      <c r="B78" s="54">
        <f>IFERROR(__xludf.DUMMYFUNCTION("""COMPUTED_VALUE"""),43269.0)</f>
        <v>43269</v>
      </c>
      <c r="C78" s="19">
        <f>IFERROR(__xludf.DUMMYFUNCTION("""COMPUTED_VALUE"""),43275.0)</f>
        <v>43275</v>
      </c>
      <c r="D78" s="17">
        <f>IFERROR(__xludf.DUMMYFUNCTION("""COMPUTED_VALUE"""),25.0)</f>
        <v>25</v>
      </c>
      <c r="E78" s="17">
        <f>IFERROR(__xludf.DUMMYFUNCTION("""COMPUTED_VALUE"""),2496.0)</f>
        <v>2496</v>
      </c>
      <c r="F78" s="17">
        <f>IFERROR(__xludf.DUMMYFUNCTION("""COMPUTED_VALUE"""),0.0)</f>
        <v>0</v>
      </c>
      <c r="G78" s="17"/>
      <c r="H78" s="21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tr">
        <f>IFERROR(__xludf.DUMMYFUNCTION("""COMPUTED_VALUE"""),"Peru")</f>
        <v>Peru</v>
      </c>
      <c r="B79" s="54">
        <f>IFERROR(__xludf.DUMMYFUNCTION("""COMPUTED_VALUE"""),43276.0)</f>
        <v>43276</v>
      </c>
      <c r="C79" s="19">
        <f>IFERROR(__xludf.DUMMYFUNCTION("""COMPUTED_VALUE"""),43282.0)</f>
        <v>43282</v>
      </c>
      <c r="D79" s="17">
        <f>IFERROR(__xludf.DUMMYFUNCTION("""COMPUTED_VALUE"""),26.0)</f>
        <v>26</v>
      </c>
      <c r="E79" s="17">
        <f>IFERROR(__xludf.DUMMYFUNCTION("""COMPUTED_VALUE"""),2454.0)</f>
        <v>2454</v>
      </c>
      <c r="F79" s="17">
        <f>IFERROR(__xludf.DUMMYFUNCTION("""COMPUTED_VALUE"""),0.0)</f>
        <v>0</v>
      </c>
      <c r="G79" s="17"/>
      <c r="H79" s="21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tr">
        <f>IFERROR(__xludf.DUMMYFUNCTION("""COMPUTED_VALUE"""),"Peru")</f>
        <v>Peru</v>
      </c>
      <c r="B80" s="54">
        <f>IFERROR(__xludf.DUMMYFUNCTION("""COMPUTED_VALUE"""),43283.0)</f>
        <v>43283</v>
      </c>
      <c r="C80" s="19">
        <f>IFERROR(__xludf.DUMMYFUNCTION("""COMPUTED_VALUE"""),43289.0)</f>
        <v>43289</v>
      </c>
      <c r="D80" s="17">
        <f>IFERROR(__xludf.DUMMYFUNCTION("""COMPUTED_VALUE"""),27.0)</f>
        <v>27</v>
      </c>
      <c r="E80" s="17">
        <f>IFERROR(__xludf.DUMMYFUNCTION("""COMPUTED_VALUE"""),2477.0)</f>
        <v>2477</v>
      </c>
      <c r="F80" s="17">
        <f>IFERROR(__xludf.DUMMYFUNCTION("""COMPUTED_VALUE"""),0.0)</f>
        <v>0</v>
      </c>
      <c r="G80" s="17"/>
      <c r="H80" s="21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tr">
        <f>IFERROR(__xludf.DUMMYFUNCTION("""COMPUTED_VALUE"""),"Peru")</f>
        <v>Peru</v>
      </c>
      <c r="B81" s="54">
        <f>IFERROR(__xludf.DUMMYFUNCTION("""COMPUTED_VALUE"""),43290.0)</f>
        <v>43290</v>
      </c>
      <c r="C81" s="19">
        <f>IFERROR(__xludf.DUMMYFUNCTION("""COMPUTED_VALUE"""),43296.0)</f>
        <v>43296</v>
      </c>
      <c r="D81" s="17">
        <f>IFERROR(__xludf.DUMMYFUNCTION("""COMPUTED_VALUE"""),28.0)</f>
        <v>28</v>
      </c>
      <c r="E81" s="17">
        <f>IFERROR(__xludf.DUMMYFUNCTION("""COMPUTED_VALUE"""),2320.0)</f>
        <v>2320</v>
      </c>
      <c r="F81" s="17">
        <f>IFERROR(__xludf.DUMMYFUNCTION("""COMPUTED_VALUE"""),0.0)</f>
        <v>0</v>
      </c>
      <c r="G81" s="17"/>
      <c r="H81" s="21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tr">
        <f>IFERROR(__xludf.DUMMYFUNCTION("""COMPUTED_VALUE"""),"Peru")</f>
        <v>Peru</v>
      </c>
      <c r="B82" s="54">
        <f>IFERROR(__xludf.DUMMYFUNCTION("""COMPUTED_VALUE"""),43297.0)</f>
        <v>43297</v>
      </c>
      <c r="C82" s="19">
        <f>IFERROR(__xludf.DUMMYFUNCTION("""COMPUTED_VALUE"""),43303.0)</f>
        <v>43303</v>
      </c>
      <c r="D82" s="17">
        <f>IFERROR(__xludf.DUMMYFUNCTION("""COMPUTED_VALUE"""),29.0)</f>
        <v>29</v>
      </c>
      <c r="E82" s="17">
        <f>IFERROR(__xludf.DUMMYFUNCTION("""COMPUTED_VALUE"""),2389.0)</f>
        <v>2389</v>
      </c>
      <c r="F82" s="17">
        <f>IFERROR(__xludf.DUMMYFUNCTION("""COMPUTED_VALUE"""),0.0)</f>
        <v>0</v>
      </c>
      <c r="G82" s="17"/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tr">
        <f>IFERROR(__xludf.DUMMYFUNCTION("""COMPUTED_VALUE"""),"Peru")</f>
        <v>Peru</v>
      </c>
      <c r="B83" s="54">
        <f>IFERROR(__xludf.DUMMYFUNCTION("""COMPUTED_VALUE"""),43304.0)</f>
        <v>43304</v>
      </c>
      <c r="C83" s="19">
        <f>IFERROR(__xludf.DUMMYFUNCTION("""COMPUTED_VALUE"""),43310.0)</f>
        <v>43310</v>
      </c>
      <c r="D83" s="17">
        <f>IFERROR(__xludf.DUMMYFUNCTION("""COMPUTED_VALUE"""),30.0)</f>
        <v>30</v>
      </c>
      <c r="E83" s="17">
        <f>IFERROR(__xludf.DUMMYFUNCTION("""COMPUTED_VALUE"""),2377.0)</f>
        <v>2377</v>
      </c>
      <c r="F83" s="17">
        <f>IFERROR(__xludf.DUMMYFUNCTION("""COMPUTED_VALUE"""),0.0)</f>
        <v>0</v>
      </c>
      <c r="G83" s="17"/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tr">
        <f>IFERROR(__xludf.DUMMYFUNCTION("""COMPUTED_VALUE"""),"Peru")</f>
        <v>Peru</v>
      </c>
      <c r="B84" s="54">
        <f>IFERROR(__xludf.DUMMYFUNCTION("""COMPUTED_VALUE"""),43311.0)</f>
        <v>43311</v>
      </c>
      <c r="C84" s="19">
        <f>IFERROR(__xludf.DUMMYFUNCTION("""COMPUTED_VALUE"""),43317.0)</f>
        <v>43317</v>
      </c>
      <c r="D84" s="17">
        <f>IFERROR(__xludf.DUMMYFUNCTION("""COMPUTED_VALUE"""),31.0)</f>
        <v>31</v>
      </c>
      <c r="E84" s="17">
        <f>IFERROR(__xludf.DUMMYFUNCTION("""COMPUTED_VALUE"""),2388.0)</f>
        <v>2388</v>
      </c>
      <c r="F84" s="17">
        <f>IFERROR(__xludf.DUMMYFUNCTION("""COMPUTED_VALUE"""),0.0)</f>
        <v>0</v>
      </c>
      <c r="G84" s="17"/>
      <c r="H84" s="21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tr">
        <f>IFERROR(__xludf.DUMMYFUNCTION("""COMPUTED_VALUE"""),"Peru")</f>
        <v>Peru</v>
      </c>
      <c r="B85" s="54">
        <f>IFERROR(__xludf.DUMMYFUNCTION("""COMPUTED_VALUE"""),43318.0)</f>
        <v>43318</v>
      </c>
      <c r="C85" s="19">
        <f>IFERROR(__xludf.DUMMYFUNCTION("""COMPUTED_VALUE"""),43324.0)</f>
        <v>43324</v>
      </c>
      <c r="D85" s="17">
        <f>IFERROR(__xludf.DUMMYFUNCTION("""COMPUTED_VALUE"""),32.0)</f>
        <v>32</v>
      </c>
      <c r="E85" s="17">
        <f>IFERROR(__xludf.DUMMYFUNCTION("""COMPUTED_VALUE"""),2373.0)</f>
        <v>2373</v>
      </c>
      <c r="F85" s="17">
        <f>IFERROR(__xludf.DUMMYFUNCTION("""COMPUTED_VALUE"""),0.0)</f>
        <v>0</v>
      </c>
      <c r="G85" s="17"/>
      <c r="H85" s="21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tr">
        <f>IFERROR(__xludf.DUMMYFUNCTION("""COMPUTED_VALUE"""),"Peru")</f>
        <v>Peru</v>
      </c>
      <c r="B86" s="54">
        <f>IFERROR(__xludf.DUMMYFUNCTION("""COMPUTED_VALUE"""),43325.0)</f>
        <v>43325</v>
      </c>
      <c r="C86" s="19">
        <f>IFERROR(__xludf.DUMMYFUNCTION("""COMPUTED_VALUE"""),43331.0)</f>
        <v>43331</v>
      </c>
      <c r="D86" s="17">
        <f>IFERROR(__xludf.DUMMYFUNCTION("""COMPUTED_VALUE"""),33.0)</f>
        <v>33</v>
      </c>
      <c r="E86" s="17">
        <f>IFERROR(__xludf.DUMMYFUNCTION("""COMPUTED_VALUE"""),2286.0)</f>
        <v>2286</v>
      </c>
      <c r="F86" s="17">
        <f>IFERROR(__xludf.DUMMYFUNCTION("""COMPUTED_VALUE"""),0.0)</f>
        <v>0</v>
      </c>
      <c r="G86" s="17"/>
      <c r="H86" s="21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tr">
        <f>IFERROR(__xludf.DUMMYFUNCTION("""COMPUTED_VALUE"""),"Peru")</f>
        <v>Peru</v>
      </c>
      <c r="B87" s="54">
        <f>IFERROR(__xludf.DUMMYFUNCTION("""COMPUTED_VALUE"""),43332.0)</f>
        <v>43332</v>
      </c>
      <c r="C87" s="19">
        <f>IFERROR(__xludf.DUMMYFUNCTION("""COMPUTED_VALUE"""),43338.0)</f>
        <v>43338</v>
      </c>
      <c r="D87" s="17">
        <f>IFERROR(__xludf.DUMMYFUNCTION("""COMPUTED_VALUE"""),34.0)</f>
        <v>34</v>
      </c>
      <c r="E87" s="17">
        <f>IFERROR(__xludf.DUMMYFUNCTION("""COMPUTED_VALUE"""),2217.0)</f>
        <v>2217</v>
      </c>
      <c r="F87" s="17">
        <f>IFERROR(__xludf.DUMMYFUNCTION("""COMPUTED_VALUE"""),0.0)</f>
        <v>0</v>
      </c>
      <c r="G87" s="17"/>
      <c r="H87" s="21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tr">
        <f>IFERROR(__xludf.DUMMYFUNCTION("""COMPUTED_VALUE"""),"Peru")</f>
        <v>Peru</v>
      </c>
      <c r="B88" s="54">
        <f>IFERROR(__xludf.DUMMYFUNCTION("""COMPUTED_VALUE"""),43339.0)</f>
        <v>43339</v>
      </c>
      <c r="C88" s="19">
        <f>IFERROR(__xludf.DUMMYFUNCTION("""COMPUTED_VALUE"""),43345.0)</f>
        <v>43345</v>
      </c>
      <c r="D88" s="17">
        <f>IFERROR(__xludf.DUMMYFUNCTION("""COMPUTED_VALUE"""),35.0)</f>
        <v>35</v>
      </c>
      <c r="E88" s="17">
        <f>IFERROR(__xludf.DUMMYFUNCTION("""COMPUTED_VALUE"""),2312.0)</f>
        <v>2312</v>
      </c>
      <c r="F88" s="17">
        <f>IFERROR(__xludf.DUMMYFUNCTION("""COMPUTED_VALUE"""),0.0)</f>
        <v>0</v>
      </c>
      <c r="G88" s="17"/>
      <c r="H88" s="21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tr">
        <f>IFERROR(__xludf.DUMMYFUNCTION("""COMPUTED_VALUE"""),"Peru")</f>
        <v>Peru</v>
      </c>
      <c r="B89" s="54">
        <f>IFERROR(__xludf.DUMMYFUNCTION("""COMPUTED_VALUE"""),43346.0)</f>
        <v>43346</v>
      </c>
      <c r="C89" s="19">
        <f>IFERROR(__xludf.DUMMYFUNCTION("""COMPUTED_VALUE"""),43352.0)</f>
        <v>43352</v>
      </c>
      <c r="D89" s="17">
        <f>IFERROR(__xludf.DUMMYFUNCTION("""COMPUTED_VALUE"""),36.0)</f>
        <v>36</v>
      </c>
      <c r="E89" s="17">
        <f>IFERROR(__xludf.DUMMYFUNCTION("""COMPUTED_VALUE"""),2288.0)</f>
        <v>2288</v>
      </c>
      <c r="F89" s="17">
        <f>IFERROR(__xludf.DUMMYFUNCTION("""COMPUTED_VALUE"""),0.0)</f>
        <v>0</v>
      </c>
      <c r="G89" s="17"/>
      <c r="H89" s="21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tr">
        <f>IFERROR(__xludf.DUMMYFUNCTION("""COMPUTED_VALUE"""),"Peru")</f>
        <v>Peru</v>
      </c>
      <c r="B90" s="54">
        <f>IFERROR(__xludf.DUMMYFUNCTION("""COMPUTED_VALUE"""),43353.0)</f>
        <v>43353</v>
      </c>
      <c r="C90" s="19">
        <f>IFERROR(__xludf.DUMMYFUNCTION("""COMPUTED_VALUE"""),43359.0)</f>
        <v>43359</v>
      </c>
      <c r="D90" s="17">
        <f>IFERROR(__xludf.DUMMYFUNCTION("""COMPUTED_VALUE"""),37.0)</f>
        <v>37</v>
      </c>
      <c r="E90" s="17">
        <f>IFERROR(__xludf.DUMMYFUNCTION("""COMPUTED_VALUE"""),2224.0)</f>
        <v>2224</v>
      </c>
      <c r="F90" s="17">
        <f>IFERROR(__xludf.DUMMYFUNCTION("""COMPUTED_VALUE"""),0.0)</f>
        <v>0</v>
      </c>
      <c r="G90" s="17"/>
      <c r="H90" s="21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tr">
        <f>IFERROR(__xludf.DUMMYFUNCTION("""COMPUTED_VALUE"""),"Peru")</f>
        <v>Peru</v>
      </c>
      <c r="B91" s="54">
        <f>IFERROR(__xludf.DUMMYFUNCTION("""COMPUTED_VALUE"""),43360.0)</f>
        <v>43360</v>
      </c>
      <c r="C91" s="19">
        <f>IFERROR(__xludf.DUMMYFUNCTION("""COMPUTED_VALUE"""),43366.0)</f>
        <v>43366</v>
      </c>
      <c r="D91" s="17">
        <f>IFERROR(__xludf.DUMMYFUNCTION("""COMPUTED_VALUE"""),38.0)</f>
        <v>38</v>
      </c>
      <c r="E91" s="17">
        <f>IFERROR(__xludf.DUMMYFUNCTION("""COMPUTED_VALUE"""),2259.0)</f>
        <v>2259</v>
      </c>
      <c r="F91" s="17">
        <f>IFERROR(__xludf.DUMMYFUNCTION("""COMPUTED_VALUE"""),0.0)</f>
        <v>0</v>
      </c>
      <c r="G91" s="17"/>
      <c r="H91" s="21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tr">
        <f>IFERROR(__xludf.DUMMYFUNCTION("""COMPUTED_VALUE"""),"Peru")</f>
        <v>Peru</v>
      </c>
      <c r="B92" s="54">
        <f>IFERROR(__xludf.DUMMYFUNCTION("""COMPUTED_VALUE"""),43367.0)</f>
        <v>43367</v>
      </c>
      <c r="C92" s="19">
        <f>IFERROR(__xludf.DUMMYFUNCTION("""COMPUTED_VALUE"""),43373.0)</f>
        <v>43373</v>
      </c>
      <c r="D92" s="17">
        <f>IFERROR(__xludf.DUMMYFUNCTION("""COMPUTED_VALUE"""),39.0)</f>
        <v>39</v>
      </c>
      <c r="E92" s="17">
        <f>IFERROR(__xludf.DUMMYFUNCTION("""COMPUTED_VALUE"""),2328.0)</f>
        <v>2328</v>
      </c>
      <c r="F92" s="17">
        <f>IFERROR(__xludf.DUMMYFUNCTION("""COMPUTED_VALUE"""),0.0)</f>
        <v>0</v>
      </c>
      <c r="G92" s="17"/>
      <c r="H92" s="21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tr">
        <f>IFERROR(__xludf.DUMMYFUNCTION("""COMPUTED_VALUE"""),"Peru")</f>
        <v>Peru</v>
      </c>
      <c r="B93" s="54">
        <f>IFERROR(__xludf.DUMMYFUNCTION("""COMPUTED_VALUE"""),43374.0)</f>
        <v>43374</v>
      </c>
      <c r="C93" s="19">
        <f>IFERROR(__xludf.DUMMYFUNCTION("""COMPUTED_VALUE"""),43380.0)</f>
        <v>43380</v>
      </c>
      <c r="D93" s="17">
        <f>IFERROR(__xludf.DUMMYFUNCTION("""COMPUTED_VALUE"""),40.0)</f>
        <v>40</v>
      </c>
      <c r="E93" s="17">
        <f>IFERROR(__xludf.DUMMYFUNCTION("""COMPUTED_VALUE"""),2244.0)</f>
        <v>2244</v>
      </c>
      <c r="F93" s="17">
        <f>IFERROR(__xludf.DUMMYFUNCTION("""COMPUTED_VALUE"""),0.0)</f>
        <v>0</v>
      </c>
      <c r="G93" s="17"/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tr">
        <f>IFERROR(__xludf.DUMMYFUNCTION("""COMPUTED_VALUE"""),"Peru")</f>
        <v>Peru</v>
      </c>
      <c r="B94" s="54">
        <f>IFERROR(__xludf.DUMMYFUNCTION("""COMPUTED_VALUE"""),43381.0)</f>
        <v>43381</v>
      </c>
      <c r="C94" s="19">
        <f>IFERROR(__xludf.DUMMYFUNCTION("""COMPUTED_VALUE"""),43387.0)</f>
        <v>43387</v>
      </c>
      <c r="D94" s="17">
        <f>IFERROR(__xludf.DUMMYFUNCTION("""COMPUTED_VALUE"""),41.0)</f>
        <v>41</v>
      </c>
      <c r="E94" s="17">
        <f>IFERROR(__xludf.DUMMYFUNCTION("""COMPUTED_VALUE"""),2286.0)</f>
        <v>2286</v>
      </c>
      <c r="F94" s="17">
        <f>IFERROR(__xludf.DUMMYFUNCTION("""COMPUTED_VALUE"""),0.0)</f>
        <v>0</v>
      </c>
      <c r="G94" s="17"/>
      <c r="H94" s="21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tr">
        <f>IFERROR(__xludf.DUMMYFUNCTION("""COMPUTED_VALUE"""),"Peru")</f>
        <v>Peru</v>
      </c>
      <c r="B95" s="54">
        <f>IFERROR(__xludf.DUMMYFUNCTION("""COMPUTED_VALUE"""),43388.0)</f>
        <v>43388</v>
      </c>
      <c r="C95" s="19">
        <f>IFERROR(__xludf.DUMMYFUNCTION("""COMPUTED_VALUE"""),43394.0)</f>
        <v>43394</v>
      </c>
      <c r="D95" s="17">
        <f>IFERROR(__xludf.DUMMYFUNCTION("""COMPUTED_VALUE"""),42.0)</f>
        <v>42</v>
      </c>
      <c r="E95" s="17">
        <f>IFERROR(__xludf.DUMMYFUNCTION("""COMPUTED_VALUE"""),2296.0)</f>
        <v>2296</v>
      </c>
      <c r="F95" s="17">
        <f>IFERROR(__xludf.DUMMYFUNCTION("""COMPUTED_VALUE"""),0.0)</f>
        <v>0</v>
      </c>
      <c r="G95" s="17"/>
      <c r="H95" s="21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tr">
        <f>IFERROR(__xludf.DUMMYFUNCTION("""COMPUTED_VALUE"""),"Peru")</f>
        <v>Peru</v>
      </c>
      <c r="B96" s="54">
        <f>IFERROR(__xludf.DUMMYFUNCTION("""COMPUTED_VALUE"""),43395.0)</f>
        <v>43395</v>
      </c>
      <c r="C96" s="19">
        <f>IFERROR(__xludf.DUMMYFUNCTION("""COMPUTED_VALUE"""),43401.0)</f>
        <v>43401</v>
      </c>
      <c r="D96" s="17">
        <f>IFERROR(__xludf.DUMMYFUNCTION("""COMPUTED_VALUE"""),43.0)</f>
        <v>43</v>
      </c>
      <c r="E96" s="17">
        <f>IFERROR(__xludf.DUMMYFUNCTION("""COMPUTED_VALUE"""),2296.0)</f>
        <v>2296</v>
      </c>
      <c r="F96" s="17">
        <f>IFERROR(__xludf.DUMMYFUNCTION("""COMPUTED_VALUE"""),0.0)</f>
        <v>0</v>
      </c>
      <c r="G96" s="17"/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tr">
        <f>IFERROR(__xludf.DUMMYFUNCTION("""COMPUTED_VALUE"""),"Peru")</f>
        <v>Peru</v>
      </c>
      <c r="B97" s="54">
        <f>IFERROR(__xludf.DUMMYFUNCTION("""COMPUTED_VALUE"""),43402.0)</f>
        <v>43402</v>
      </c>
      <c r="C97" s="19">
        <f>IFERROR(__xludf.DUMMYFUNCTION("""COMPUTED_VALUE"""),43408.0)</f>
        <v>43408</v>
      </c>
      <c r="D97" s="17">
        <f>IFERROR(__xludf.DUMMYFUNCTION("""COMPUTED_VALUE"""),44.0)</f>
        <v>44</v>
      </c>
      <c r="E97" s="17">
        <f>IFERROR(__xludf.DUMMYFUNCTION("""COMPUTED_VALUE"""),2243.0)</f>
        <v>2243</v>
      </c>
      <c r="F97" s="17">
        <f>IFERROR(__xludf.DUMMYFUNCTION("""COMPUTED_VALUE"""),0.0)</f>
        <v>0</v>
      </c>
      <c r="G97" s="17"/>
      <c r="H97" s="21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tr">
        <f>IFERROR(__xludf.DUMMYFUNCTION("""COMPUTED_VALUE"""),"Peru")</f>
        <v>Peru</v>
      </c>
      <c r="B98" s="54">
        <f>IFERROR(__xludf.DUMMYFUNCTION("""COMPUTED_VALUE"""),43409.0)</f>
        <v>43409</v>
      </c>
      <c r="C98" s="19">
        <f>IFERROR(__xludf.DUMMYFUNCTION("""COMPUTED_VALUE"""),43415.0)</f>
        <v>43415</v>
      </c>
      <c r="D98" s="17">
        <f>IFERROR(__xludf.DUMMYFUNCTION("""COMPUTED_VALUE"""),45.0)</f>
        <v>45</v>
      </c>
      <c r="E98" s="17">
        <f>IFERROR(__xludf.DUMMYFUNCTION("""COMPUTED_VALUE"""),2244.0)</f>
        <v>2244</v>
      </c>
      <c r="F98" s="17">
        <f>IFERROR(__xludf.DUMMYFUNCTION("""COMPUTED_VALUE"""),0.0)</f>
        <v>0</v>
      </c>
      <c r="G98" s="17"/>
      <c r="H98" s="21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tr">
        <f>IFERROR(__xludf.DUMMYFUNCTION("""COMPUTED_VALUE"""),"Peru")</f>
        <v>Peru</v>
      </c>
      <c r="B99" s="54">
        <f>IFERROR(__xludf.DUMMYFUNCTION("""COMPUTED_VALUE"""),43416.0)</f>
        <v>43416</v>
      </c>
      <c r="C99" s="19">
        <f>IFERROR(__xludf.DUMMYFUNCTION("""COMPUTED_VALUE"""),43422.0)</f>
        <v>43422</v>
      </c>
      <c r="D99" s="17">
        <f>IFERROR(__xludf.DUMMYFUNCTION("""COMPUTED_VALUE"""),46.0)</f>
        <v>46</v>
      </c>
      <c r="E99" s="17">
        <f>IFERROR(__xludf.DUMMYFUNCTION("""COMPUTED_VALUE"""),2059.0)</f>
        <v>2059</v>
      </c>
      <c r="F99" s="17">
        <f>IFERROR(__xludf.DUMMYFUNCTION("""COMPUTED_VALUE"""),0.0)</f>
        <v>0</v>
      </c>
      <c r="G99" s="17"/>
      <c r="H99" s="21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tr">
        <f>IFERROR(__xludf.DUMMYFUNCTION("""COMPUTED_VALUE"""),"Peru")</f>
        <v>Peru</v>
      </c>
      <c r="B100" s="54">
        <f>IFERROR(__xludf.DUMMYFUNCTION("""COMPUTED_VALUE"""),43423.0)</f>
        <v>43423</v>
      </c>
      <c r="C100" s="19">
        <f>IFERROR(__xludf.DUMMYFUNCTION("""COMPUTED_VALUE"""),43429.0)</f>
        <v>43429</v>
      </c>
      <c r="D100" s="17">
        <f>IFERROR(__xludf.DUMMYFUNCTION("""COMPUTED_VALUE"""),47.0)</f>
        <v>47</v>
      </c>
      <c r="E100" s="17">
        <f>IFERROR(__xludf.DUMMYFUNCTION("""COMPUTED_VALUE"""),2015.0)</f>
        <v>2015</v>
      </c>
      <c r="F100" s="17">
        <f>IFERROR(__xludf.DUMMYFUNCTION("""COMPUTED_VALUE"""),0.0)</f>
        <v>0</v>
      </c>
      <c r="G100" s="17"/>
      <c r="H100" s="21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tr">
        <f>IFERROR(__xludf.DUMMYFUNCTION("""COMPUTED_VALUE"""),"Peru")</f>
        <v>Peru</v>
      </c>
      <c r="B101" s="54">
        <f>IFERROR(__xludf.DUMMYFUNCTION("""COMPUTED_VALUE"""),43430.0)</f>
        <v>43430</v>
      </c>
      <c r="C101" s="19">
        <f>IFERROR(__xludf.DUMMYFUNCTION("""COMPUTED_VALUE"""),43436.0)</f>
        <v>43436</v>
      </c>
      <c r="D101" s="17">
        <f>IFERROR(__xludf.DUMMYFUNCTION("""COMPUTED_VALUE"""),48.0)</f>
        <v>48</v>
      </c>
      <c r="E101" s="17">
        <f>IFERROR(__xludf.DUMMYFUNCTION("""COMPUTED_VALUE"""),2029.0)</f>
        <v>2029</v>
      </c>
      <c r="F101" s="17">
        <f>IFERROR(__xludf.DUMMYFUNCTION("""COMPUTED_VALUE"""),0.0)</f>
        <v>0</v>
      </c>
      <c r="G101" s="17"/>
      <c r="H101" s="21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tr">
        <f>IFERROR(__xludf.DUMMYFUNCTION("""COMPUTED_VALUE"""),"Peru")</f>
        <v>Peru</v>
      </c>
      <c r="B102" s="54">
        <f>IFERROR(__xludf.DUMMYFUNCTION("""COMPUTED_VALUE"""),43437.0)</f>
        <v>43437</v>
      </c>
      <c r="C102" s="19">
        <f>IFERROR(__xludf.DUMMYFUNCTION("""COMPUTED_VALUE"""),43443.0)</f>
        <v>43443</v>
      </c>
      <c r="D102" s="17">
        <f>IFERROR(__xludf.DUMMYFUNCTION("""COMPUTED_VALUE"""),49.0)</f>
        <v>49</v>
      </c>
      <c r="E102" s="17">
        <f>IFERROR(__xludf.DUMMYFUNCTION("""COMPUTED_VALUE"""),2147.0)</f>
        <v>2147</v>
      </c>
      <c r="F102" s="17">
        <f>IFERROR(__xludf.DUMMYFUNCTION("""COMPUTED_VALUE"""),0.0)</f>
        <v>0</v>
      </c>
      <c r="G102" s="17"/>
      <c r="H102" s="21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tr">
        <f>IFERROR(__xludf.DUMMYFUNCTION("""COMPUTED_VALUE"""),"Peru")</f>
        <v>Peru</v>
      </c>
      <c r="B103" s="54">
        <f>IFERROR(__xludf.DUMMYFUNCTION("""COMPUTED_VALUE"""),43444.0)</f>
        <v>43444</v>
      </c>
      <c r="C103" s="19">
        <f>IFERROR(__xludf.DUMMYFUNCTION("""COMPUTED_VALUE"""),43450.0)</f>
        <v>43450</v>
      </c>
      <c r="D103" s="17">
        <f>IFERROR(__xludf.DUMMYFUNCTION("""COMPUTED_VALUE"""),50.0)</f>
        <v>50</v>
      </c>
      <c r="E103" s="17">
        <f>IFERROR(__xludf.DUMMYFUNCTION("""COMPUTED_VALUE"""),2169.0)</f>
        <v>2169</v>
      </c>
      <c r="F103" s="17">
        <f>IFERROR(__xludf.DUMMYFUNCTION("""COMPUTED_VALUE"""),0.0)</f>
        <v>0</v>
      </c>
      <c r="G103" s="17"/>
      <c r="H103" s="21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tr">
        <f>IFERROR(__xludf.DUMMYFUNCTION("""COMPUTED_VALUE"""),"Peru")</f>
        <v>Peru</v>
      </c>
      <c r="B104" s="54">
        <f>IFERROR(__xludf.DUMMYFUNCTION("""COMPUTED_VALUE"""),43451.0)</f>
        <v>43451</v>
      </c>
      <c r="C104" s="19">
        <f>IFERROR(__xludf.DUMMYFUNCTION("""COMPUTED_VALUE"""),43457.0)</f>
        <v>43457</v>
      </c>
      <c r="D104" s="17">
        <f>IFERROR(__xludf.DUMMYFUNCTION("""COMPUTED_VALUE"""),51.0)</f>
        <v>51</v>
      </c>
      <c r="E104" s="17">
        <f>IFERROR(__xludf.DUMMYFUNCTION("""COMPUTED_VALUE"""),2181.0)</f>
        <v>2181</v>
      </c>
      <c r="F104" s="17">
        <f>IFERROR(__xludf.DUMMYFUNCTION("""COMPUTED_VALUE"""),0.0)</f>
        <v>0</v>
      </c>
      <c r="G104" s="17"/>
      <c r="H104" s="21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tr">
        <f>IFERROR(__xludf.DUMMYFUNCTION("""COMPUTED_VALUE"""),"Peru")</f>
        <v>Peru</v>
      </c>
      <c r="B105" s="54">
        <f>IFERROR(__xludf.DUMMYFUNCTION("""COMPUTED_VALUE"""),43458.0)</f>
        <v>43458</v>
      </c>
      <c r="C105" s="19">
        <f>IFERROR(__xludf.DUMMYFUNCTION("""COMPUTED_VALUE"""),43464.0)</f>
        <v>43464</v>
      </c>
      <c r="D105" s="17">
        <f>IFERROR(__xludf.DUMMYFUNCTION("""COMPUTED_VALUE"""),52.0)</f>
        <v>52</v>
      </c>
      <c r="E105" s="17">
        <f>IFERROR(__xludf.DUMMYFUNCTION("""COMPUTED_VALUE"""),2204.0)</f>
        <v>2204</v>
      </c>
      <c r="F105" s="17">
        <f>IFERROR(__xludf.DUMMYFUNCTION("""COMPUTED_VALUE"""),0.0)</f>
        <v>0</v>
      </c>
      <c r="G105" s="17"/>
      <c r="H105" s="21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tr">
        <f>IFERROR(__xludf.DUMMYFUNCTION("""COMPUTED_VALUE"""),"Peru")</f>
        <v>Peru</v>
      </c>
      <c r="B106" s="54">
        <f>IFERROR(__xludf.DUMMYFUNCTION("""COMPUTED_VALUE"""),43465.0)</f>
        <v>43465</v>
      </c>
      <c r="C106" s="19">
        <f>IFERROR(__xludf.DUMMYFUNCTION("""COMPUTED_VALUE"""),43471.0)</f>
        <v>43471</v>
      </c>
      <c r="D106" s="17">
        <f>IFERROR(__xludf.DUMMYFUNCTION("""COMPUTED_VALUE"""),1.0)</f>
        <v>1</v>
      </c>
      <c r="E106" s="17">
        <f>IFERROR(__xludf.DUMMYFUNCTION("""COMPUTED_VALUE"""),2238.0)</f>
        <v>2238</v>
      </c>
      <c r="F106" s="17">
        <f>IFERROR(__xludf.DUMMYFUNCTION("""COMPUTED_VALUE"""),0.0)</f>
        <v>0</v>
      </c>
      <c r="G106" s="17"/>
      <c r="H106" s="21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tr">
        <f>IFERROR(__xludf.DUMMYFUNCTION("""COMPUTED_VALUE"""),"Peru")</f>
        <v>Peru</v>
      </c>
      <c r="B107" s="54">
        <f>IFERROR(__xludf.DUMMYFUNCTION("""COMPUTED_VALUE"""),43472.0)</f>
        <v>43472</v>
      </c>
      <c r="C107" s="19">
        <f>IFERROR(__xludf.DUMMYFUNCTION("""COMPUTED_VALUE"""),43478.0)</f>
        <v>43478</v>
      </c>
      <c r="D107" s="17">
        <f>IFERROR(__xludf.DUMMYFUNCTION("""COMPUTED_VALUE"""),2.0)</f>
        <v>2</v>
      </c>
      <c r="E107" s="17">
        <f>IFERROR(__xludf.DUMMYFUNCTION("""COMPUTED_VALUE"""),2126.0)</f>
        <v>2126</v>
      </c>
      <c r="F107" s="17">
        <f>IFERROR(__xludf.DUMMYFUNCTION("""COMPUTED_VALUE"""),0.0)</f>
        <v>0</v>
      </c>
      <c r="G107" s="17"/>
      <c r="H107" s="21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tr">
        <f>IFERROR(__xludf.DUMMYFUNCTION("""COMPUTED_VALUE"""),"Peru")</f>
        <v>Peru</v>
      </c>
      <c r="B108" s="54">
        <f>IFERROR(__xludf.DUMMYFUNCTION("""COMPUTED_VALUE"""),43479.0)</f>
        <v>43479</v>
      </c>
      <c r="C108" s="19">
        <f>IFERROR(__xludf.DUMMYFUNCTION("""COMPUTED_VALUE"""),43485.0)</f>
        <v>43485</v>
      </c>
      <c r="D108" s="17">
        <f>IFERROR(__xludf.DUMMYFUNCTION("""COMPUTED_VALUE"""),3.0)</f>
        <v>3</v>
      </c>
      <c r="E108" s="17">
        <f>IFERROR(__xludf.DUMMYFUNCTION("""COMPUTED_VALUE"""),2132.0)</f>
        <v>2132</v>
      </c>
      <c r="F108" s="17">
        <f>IFERROR(__xludf.DUMMYFUNCTION("""COMPUTED_VALUE"""),0.0)</f>
        <v>0</v>
      </c>
      <c r="G108" s="17"/>
      <c r="H108" s="21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tr">
        <f>IFERROR(__xludf.DUMMYFUNCTION("""COMPUTED_VALUE"""),"Peru")</f>
        <v>Peru</v>
      </c>
      <c r="B109" s="54">
        <f>IFERROR(__xludf.DUMMYFUNCTION("""COMPUTED_VALUE"""),43486.0)</f>
        <v>43486</v>
      </c>
      <c r="C109" s="19">
        <f>IFERROR(__xludf.DUMMYFUNCTION("""COMPUTED_VALUE"""),43492.0)</f>
        <v>43492</v>
      </c>
      <c r="D109" s="17">
        <f>IFERROR(__xludf.DUMMYFUNCTION("""COMPUTED_VALUE"""),4.0)</f>
        <v>4</v>
      </c>
      <c r="E109" s="17">
        <f>IFERROR(__xludf.DUMMYFUNCTION("""COMPUTED_VALUE"""),2126.0)</f>
        <v>2126</v>
      </c>
      <c r="F109" s="17">
        <f>IFERROR(__xludf.DUMMYFUNCTION("""COMPUTED_VALUE"""),0.0)</f>
        <v>0</v>
      </c>
      <c r="G109" s="17"/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tr">
        <f>IFERROR(__xludf.DUMMYFUNCTION("""COMPUTED_VALUE"""),"Peru")</f>
        <v>Peru</v>
      </c>
      <c r="B110" s="54">
        <f>IFERROR(__xludf.DUMMYFUNCTION("""COMPUTED_VALUE"""),43493.0)</f>
        <v>43493</v>
      </c>
      <c r="C110" s="19">
        <f>IFERROR(__xludf.DUMMYFUNCTION("""COMPUTED_VALUE"""),43499.0)</f>
        <v>43499</v>
      </c>
      <c r="D110" s="17">
        <f>IFERROR(__xludf.DUMMYFUNCTION("""COMPUTED_VALUE"""),5.0)</f>
        <v>5</v>
      </c>
      <c r="E110" s="17">
        <f>IFERROR(__xludf.DUMMYFUNCTION("""COMPUTED_VALUE"""),2345.0)</f>
        <v>2345</v>
      </c>
      <c r="F110" s="17">
        <f>IFERROR(__xludf.DUMMYFUNCTION("""COMPUTED_VALUE"""),0.0)</f>
        <v>0</v>
      </c>
      <c r="G110" s="17"/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tr">
        <f>IFERROR(__xludf.DUMMYFUNCTION("""COMPUTED_VALUE"""),"Peru")</f>
        <v>Peru</v>
      </c>
      <c r="B111" s="54">
        <f>IFERROR(__xludf.DUMMYFUNCTION("""COMPUTED_VALUE"""),43500.0)</f>
        <v>43500</v>
      </c>
      <c r="C111" s="19">
        <f>IFERROR(__xludf.DUMMYFUNCTION("""COMPUTED_VALUE"""),43506.0)</f>
        <v>43506</v>
      </c>
      <c r="D111" s="17">
        <f>IFERROR(__xludf.DUMMYFUNCTION("""COMPUTED_VALUE"""),6.0)</f>
        <v>6</v>
      </c>
      <c r="E111" s="17">
        <f>IFERROR(__xludf.DUMMYFUNCTION("""COMPUTED_VALUE"""),2307.0)</f>
        <v>2307</v>
      </c>
      <c r="F111" s="17">
        <f>IFERROR(__xludf.DUMMYFUNCTION("""COMPUTED_VALUE"""),0.0)</f>
        <v>0</v>
      </c>
      <c r="G111" s="17"/>
      <c r="H111" s="21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tr">
        <f>IFERROR(__xludf.DUMMYFUNCTION("""COMPUTED_VALUE"""),"Peru")</f>
        <v>Peru</v>
      </c>
      <c r="B112" s="54">
        <f>IFERROR(__xludf.DUMMYFUNCTION("""COMPUTED_VALUE"""),43507.0)</f>
        <v>43507</v>
      </c>
      <c r="C112" s="19">
        <f>IFERROR(__xludf.DUMMYFUNCTION("""COMPUTED_VALUE"""),43513.0)</f>
        <v>43513</v>
      </c>
      <c r="D112" s="17">
        <f>IFERROR(__xludf.DUMMYFUNCTION("""COMPUTED_VALUE"""),7.0)</f>
        <v>7</v>
      </c>
      <c r="E112" s="17">
        <f>IFERROR(__xludf.DUMMYFUNCTION("""COMPUTED_VALUE"""),2251.0)</f>
        <v>2251</v>
      </c>
      <c r="F112" s="17">
        <f>IFERROR(__xludf.DUMMYFUNCTION("""COMPUTED_VALUE"""),0.0)</f>
        <v>0</v>
      </c>
      <c r="G112" s="17"/>
      <c r="H112" s="21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tr">
        <f>IFERROR(__xludf.DUMMYFUNCTION("""COMPUTED_VALUE"""),"Peru")</f>
        <v>Peru</v>
      </c>
      <c r="B113" s="54">
        <f>IFERROR(__xludf.DUMMYFUNCTION("""COMPUTED_VALUE"""),43514.0)</f>
        <v>43514</v>
      </c>
      <c r="C113" s="19">
        <f>IFERROR(__xludf.DUMMYFUNCTION("""COMPUTED_VALUE"""),43520.0)</f>
        <v>43520</v>
      </c>
      <c r="D113" s="17">
        <f>IFERROR(__xludf.DUMMYFUNCTION("""COMPUTED_VALUE"""),8.0)</f>
        <v>8</v>
      </c>
      <c r="E113" s="17">
        <f>IFERROR(__xludf.DUMMYFUNCTION("""COMPUTED_VALUE"""),2317.0)</f>
        <v>2317</v>
      </c>
      <c r="F113" s="17">
        <f>IFERROR(__xludf.DUMMYFUNCTION("""COMPUTED_VALUE"""),0.0)</f>
        <v>0</v>
      </c>
      <c r="G113" s="17"/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tr">
        <f>IFERROR(__xludf.DUMMYFUNCTION("""COMPUTED_VALUE"""),"Peru")</f>
        <v>Peru</v>
      </c>
      <c r="B114" s="54">
        <f>IFERROR(__xludf.DUMMYFUNCTION("""COMPUTED_VALUE"""),43521.0)</f>
        <v>43521</v>
      </c>
      <c r="C114" s="19">
        <f>IFERROR(__xludf.DUMMYFUNCTION("""COMPUTED_VALUE"""),43527.0)</f>
        <v>43527</v>
      </c>
      <c r="D114" s="17">
        <f>IFERROR(__xludf.DUMMYFUNCTION("""COMPUTED_VALUE"""),9.0)</f>
        <v>9</v>
      </c>
      <c r="E114" s="17">
        <f>IFERROR(__xludf.DUMMYFUNCTION("""COMPUTED_VALUE"""),2372.0)</f>
        <v>2372</v>
      </c>
      <c r="F114" s="17">
        <f>IFERROR(__xludf.DUMMYFUNCTION("""COMPUTED_VALUE"""),0.0)</f>
        <v>0</v>
      </c>
      <c r="G114" s="17"/>
      <c r="H114" s="21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tr">
        <f>IFERROR(__xludf.DUMMYFUNCTION("""COMPUTED_VALUE"""),"Peru")</f>
        <v>Peru</v>
      </c>
      <c r="B115" s="54">
        <f>IFERROR(__xludf.DUMMYFUNCTION("""COMPUTED_VALUE"""),43528.0)</f>
        <v>43528</v>
      </c>
      <c r="C115" s="19">
        <f>IFERROR(__xludf.DUMMYFUNCTION("""COMPUTED_VALUE"""),43534.0)</f>
        <v>43534</v>
      </c>
      <c r="D115" s="17">
        <f>IFERROR(__xludf.DUMMYFUNCTION("""COMPUTED_VALUE"""),10.0)</f>
        <v>10</v>
      </c>
      <c r="E115" s="17">
        <f>IFERROR(__xludf.DUMMYFUNCTION("""COMPUTED_VALUE"""),2293.0)</f>
        <v>2293</v>
      </c>
      <c r="F115" s="17">
        <f>IFERROR(__xludf.DUMMYFUNCTION("""COMPUTED_VALUE"""),0.0)</f>
        <v>0</v>
      </c>
      <c r="G115" s="17"/>
      <c r="H115" s="21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tr">
        <f>IFERROR(__xludf.DUMMYFUNCTION("""COMPUTED_VALUE"""),"Peru")</f>
        <v>Peru</v>
      </c>
      <c r="B116" s="54">
        <f>IFERROR(__xludf.DUMMYFUNCTION("""COMPUTED_VALUE"""),43535.0)</f>
        <v>43535</v>
      </c>
      <c r="C116" s="19">
        <f>IFERROR(__xludf.DUMMYFUNCTION("""COMPUTED_VALUE"""),43541.0)</f>
        <v>43541</v>
      </c>
      <c r="D116" s="17">
        <f>IFERROR(__xludf.DUMMYFUNCTION("""COMPUTED_VALUE"""),11.0)</f>
        <v>11</v>
      </c>
      <c r="E116" s="17">
        <f>IFERROR(__xludf.DUMMYFUNCTION("""COMPUTED_VALUE"""),2252.0)</f>
        <v>2252</v>
      </c>
      <c r="F116" s="17">
        <f>IFERROR(__xludf.DUMMYFUNCTION("""COMPUTED_VALUE"""),0.0)</f>
        <v>0</v>
      </c>
      <c r="G116" s="17"/>
      <c r="H116" s="21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tr">
        <f>IFERROR(__xludf.DUMMYFUNCTION("""COMPUTED_VALUE"""),"Peru")</f>
        <v>Peru</v>
      </c>
      <c r="B117" s="54">
        <f>IFERROR(__xludf.DUMMYFUNCTION("""COMPUTED_VALUE"""),43542.0)</f>
        <v>43542</v>
      </c>
      <c r="C117" s="19">
        <f>IFERROR(__xludf.DUMMYFUNCTION("""COMPUTED_VALUE"""),43548.0)</f>
        <v>43548</v>
      </c>
      <c r="D117" s="17">
        <f>IFERROR(__xludf.DUMMYFUNCTION("""COMPUTED_VALUE"""),12.0)</f>
        <v>12</v>
      </c>
      <c r="E117" s="17">
        <f>IFERROR(__xludf.DUMMYFUNCTION("""COMPUTED_VALUE"""),2107.0)</f>
        <v>2107</v>
      </c>
      <c r="F117" s="17">
        <f>IFERROR(__xludf.DUMMYFUNCTION("""COMPUTED_VALUE"""),0.0)</f>
        <v>0</v>
      </c>
      <c r="G117" s="17"/>
      <c r="H117" s="21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tr">
        <f>IFERROR(__xludf.DUMMYFUNCTION("""COMPUTED_VALUE"""),"Peru")</f>
        <v>Peru</v>
      </c>
      <c r="B118" s="54">
        <f>IFERROR(__xludf.DUMMYFUNCTION("""COMPUTED_VALUE"""),43549.0)</f>
        <v>43549</v>
      </c>
      <c r="C118" s="19">
        <f>IFERROR(__xludf.DUMMYFUNCTION("""COMPUTED_VALUE"""),43555.0)</f>
        <v>43555</v>
      </c>
      <c r="D118" s="17">
        <f>IFERROR(__xludf.DUMMYFUNCTION("""COMPUTED_VALUE"""),13.0)</f>
        <v>13</v>
      </c>
      <c r="E118" s="17">
        <f>IFERROR(__xludf.DUMMYFUNCTION("""COMPUTED_VALUE"""),2110.0)</f>
        <v>2110</v>
      </c>
      <c r="F118" s="17">
        <f>IFERROR(__xludf.DUMMYFUNCTION("""COMPUTED_VALUE"""),0.0)</f>
        <v>0</v>
      </c>
      <c r="G118" s="17"/>
      <c r="H118" s="21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tr">
        <f>IFERROR(__xludf.DUMMYFUNCTION("""COMPUTED_VALUE"""),"Peru")</f>
        <v>Peru</v>
      </c>
      <c r="B119" s="54">
        <f>IFERROR(__xludf.DUMMYFUNCTION("""COMPUTED_VALUE"""),43556.0)</f>
        <v>43556</v>
      </c>
      <c r="C119" s="19">
        <f>IFERROR(__xludf.DUMMYFUNCTION("""COMPUTED_VALUE"""),43562.0)</f>
        <v>43562</v>
      </c>
      <c r="D119" s="17">
        <f>IFERROR(__xludf.DUMMYFUNCTION("""COMPUTED_VALUE"""),14.0)</f>
        <v>14</v>
      </c>
      <c r="E119" s="17">
        <f>IFERROR(__xludf.DUMMYFUNCTION("""COMPUTED_VALUE"""),2039.0)</f>
        <v>2039</v>
      </c>
      <c r="F119" s="17">
        <f>IFERROR(__xludf.DUMMYFUNCTION("""COMPUTED_VALUE"""),0.0)</f>
        <v>0</v>
      </c>
      <c r="G119" s="17"/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tr">
        <f>IFERROR(__xludf.DUMMYFUNCTION("""COMPUTED_VALUE"""),"Peru")</f>
        <v>Peru</v>
      </c>
      <c r="B120" s="54">
        <f>IFERROR(__xludf.DUMMYFUNCTION("""COMPUTED_VALUE"""),43563.0)</f>
        <v>43563</v>
      </c>
      <c r="C120" s="19">
        <f>IFERROR(__xludf.DUMMYFUNCTION("""COMPUTED_VALUE"""),43569.0)</f>
        <v>43569</v>
      </c>
      <c r="D120" s="17">
        <f>IFERROR(__xludf.DUMMYFUNCTION("""COMPUTED_VALUE"""),15.0)</f>
        <v>15</v>
      </c>
      <c r="E120" s="17">
        <f>IFERROR(__xludf.DUMMYFUNCTION("""COMPUTED_VALUE"""),2096.0)</f>
        <v>2096</v>
      </c>
      <c r="F120" s="17">
        <f>IFERROR(__xludf.DUMMYFUNCTION("""COMPUTED_VALUE"""),0.0)</f>
        <v>0</v>
      </c>
      <c r="G120" s="17"/>
      <c r="H120" s="21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tr">
        <f>IFERROR(__xludf.DUMMYFUNCTION("""COMPUTED_VALUE"""),"Peru")</f>
        <v>Peru</v>
      </c>
      <c r="B121" s="54">
        <f>IFERROR(__xludf.DUMMYFUNCTION("""COMPUTED_VALUE"""),43570.0)</f>
        <v>43570</v>
      </c>
      <c r="C121" s="19">
        <f>IFERROR(__xludf.DUMMYFUNCTION("""COMPUTED_VALUE"""),43576.0)</f>
        <v>43576</v>
      </c>
      <c r="D121" s="17">
        <f>IFERROR(__xludf.DUMMYFUNCTION("""COMPUTED_VALUE"""),16.0)</f>
        <v>16</v>
      </c>
      <c r="E121" s="17">
        <f>IFERROR(__xludf.DUMMYFUNCTION("""COMPUTED_VALUE"""),2139.0)</f>
        <v>2139</v>
      </c>
      <c r="F121" s="17">
        <f>IFERROR(__xludf.DUMMYFUNCTION("""COMPUTED_VALUE"""),0.0)</f>
        <v>0</v>
      </c>
      <c r="G121" s="17"/>
      <c r="H121" s="21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tr">
        <f>IFERROR(__xludf.DUMMYFUNCTION("""COMPUTED_VALUE"""),"Peru")</f>
        <v>Peru</v>
      </c>
      <c r="B122" s="54">
        <f>IFERROR(__xludf.DUMMYFUNCTION("""COMPUTED_VALUE"""),43577.0)</f>
        <v>43577</v>
      </c>
      <c r="C122" s="19">
        <f>IFERROR(__xludf.DUMMYFUNCTION("""COMPUTED_VALUE"""),43583.0)</f>
        <v>43583</v>
      </c>
      <c r="D122" s="17">
        <f>IFERROR(__xludf.DUMMYFUNCTION("""COMPUTED_VALUE"""),17.0)</f>
        <v>17</v>
      </c>
      <c r="E122" s="17">
        <f>IFERROR(__xludf.DUMMYFUNCTION("""COMPUTED_VALUE"""),2023.0)</f>
        <v>2023</v>
      </c>
      <c r="F122" s="17">
        <f>IFERROR(__xludf.DUMMYFUNCTION("""COMPUTED_VALUE"""),0.0)</f>
        <v>0</v>
      </c>
      <c r="G122" s="17"/>
      <c r="H122" s="21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tr">
        <f>IFERROR(__xludf.DUMMYFUNCTION("""COMPUTED_VALUE"""),"Peru")</f>
        <v>Peru</v>
      </c>
      <c r="B123" s="54">
        <f>IFERROR(__xludf.DUMMYFUNCTION("""COMPUTED_VALUE"""),43584.0)</f>
        <v>43584</v>
      </c>
      <c r="C123" s="19">
        <f>IFERROR(__xludf.DUMMYFUNCTION("""COMPUTED_VALUE"""),43590.0)</f>
        <v>43590</v>
      </c>
      <c r="D123" s="17">
        <f>IFERROR(__xludf.DUMMYFUNCTION("""COMPUTED_VALUE"""),18.0)</f>
        <v>18</v>
      </c>
      <c r="E123" s="17">
        <f>IFERROR(__xludf.DUMMYFUNCTION("""COMPUTED_VALUE"""),2042.0)</f>
        <v>2042</v>
      </c>
      <c r="F123" s="17">
        <f>IFERROR(__xludf.DUMMYFUNCTION("""COMPUTED_VALUE"""),0.0)</f>
        <v>0</v>
      </c>
      <c r="G123" s="17"/>
      <c r="H123" s="21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tr">
        <f>IFERROR(__xludf.DUMMYFUNCTION("""COMPUTED_VALUE"""),"Peru")</f>
        <v>Peru</v>
      </c>
      <c r="B124" s="54">
        <f>IFERROR(__xludf.DUMMYFUNCTION("""COMPUTED_VALUE"""),43591.0)</f>
        <v>43591</v>
      </c>
      <c r="C124" s="19">
        <f>IFERROR(__xludf.DUMMYFUNCTION("""COMPUTED_VALUE"""),43597.0)</f>
        <v>43597</v>
      </c>
      <c r="D124" s="17">
        <f>IFERROR(__xludf.DUMMYFUNCTION("""COMPUTED_VALUE"""),19.0)</f>
        <v>19</v>
      </c>
      <c r="E124" s="17">
        <f>IFERROR(__xludf.DUMMYFUNCTION("""COMPUTED_VALUE"""),1981.0)</f>
        <v>1981</v>
      </c>
      <c r="F124" s="17">
        <f>IFERROR(__xludf.DUMMYFUNCTION("""COMPUTED_VALUE"""),0.0)</f>
        <v>0</v>
      </c>
      <c r="G124" s="17"/>
      <c r="H124" s="21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tr">
        <f>IFERROR(__xludf.DUMMYFUNCTION("""COMPUTED_VALUE"""),"Peru")</f>
        <v>Peru</v>
      </c>
      <c r="B125" s="54">
        <f>IFERROR(__xludf.DUMMYFUNCTION("""COMPUTED_VALUE"""),43598.0)</f>
        <v>43598</v>
      </c>
      <c r="C125" s="19">
        <f>IFERROR(__xludf.DUMMYFUNCTION("""COMPUTED_VALUE"""),43604.0)</f>
        <v>43604</v>
      </c>
      <c r="D125" s="17">
        <f>IFERROR(__xludf.DUMMYFUNCTION("""COMPUTED_VALUE"""),20.0)</f>
        <v>20</v>
      </c>
      <c r="E125" s="17">
        <f>IFERROR(__xludf.DUMMYFUNCTION("""COMPUTED_VALUE"""),2021.0)</f>
        <v>2021</v>
      </c>
      <c r="F125" s="17">
        <f>IFERROR(__xludf.DUMMYFUNCTION("""COMPUTED_VALUE"""),0.0)</f>
        <v>0</v>
      </c>
      <c r="G125" s="17"/>
      <c r="H125" s="21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tr">
        <f>IFERROR(__xludf.DUMMYFUNCTION("""COMPUTED_VALUE"""),"Peru")</f>
        <v>Peru</v>
      </c>
      <c r="B126" s="54">
        <f>IFERROR(__xludf.DUMMYFUNCTION("""COMPUTED_VALUE"""),43605.0)</f>
        <v>43605</v>
      </c>
      <c r="C126" s="19">
        <f>IFERROR(__xludf.DUMMYFUNCTION("""COMPUTED_VALUE"""),43611.0)</f>
        <v>43611</v>
      </c>
      <c r="D126" s="17">
        <f>IFERROR(__xludf.DUMMYFUNCTION("""COMPUTED_VALUE"""),21.0)</f>
        <v>21</v>
      </c>
      <c r="E126" s="17">
        <f>IFERROR(__xludf.DUMMYFUNCTION("""COMPUTED_VALUE"""),1995.0)</f>
        <v>1995</v>
      </c>
      <c r="F126" s="17">
        <f>IFERROR(__xludf.DUMMYFUNCTION("""COMPUTED_VALUE"""),0.0)</f>
        <v>0</v>
      </c>
      <c r="G126" s="17"/>
      <c r="H126" s="21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tr">
        <f>IFERROR(__xludf.DUMMYFUNCTION("""COMPUTED_VALUE"""),"Peru")</f>
        <v>Peru</v>
      </c>
      <c r="B127" s="54">
        <f>IFERROR(__xludf.DUMMYFUNCTION("""COMPUTED_VALUE"""),43612.0)</f>
        <v>43612</v>
      </c>
      <c r="C127" s="19">
        <f>IFERROR(__xludf.DUMMYFUNCTION("""COMPUTED_VALUE"""),43618.0)</f>
        <v>43618</v>
      </c>
      <c r="D127" s="17">
        <f>IFERROR(__xludf.DUMMYFUNCTION("""COMPUTED_VALUE"""),22.0)</f>
        <v>22</v>
      </c>
      <c r="E127" s="17">
        <f>IFERROR(__xludf.DUMMYFUNCTION("""COMPUTED_VALUE"""),2080.0)</f>
        <v>2080</v>
      </c>
      <c r="F127" s="17">
        <f>IFERROR(__xludf.DUMMYFUNCTION("""COMPUTED_VALUE"""),0.0)</f>
        <v>0</v>
      </c>
      <c r="G127" s="17"/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tr">
        <f>IFERROR(__xludf.DUMMYFUNCTION("""COMPUTED_VALUE"""),"Peru")</f>
        <v>Peru</v>
      </c>
      <c r="B128" s="54">
        <f>IFERROR(__xludf.DUMMYFUNCTION("""COMPUTED_VALUE"""),43619.0)</f>
        <v>43619</v>
      </c>
      <c r="C128" s="19">
        <f>IFERROR(__xludf.DUMMYFUNCTION("""COMPUTED_VALUE"""),43625.0)</f>
        <v>43625</v>
      </c>
      <c r="D128" s="17">
        <f>IFERROR(__xludf.DUMMYFUNCTION("""COMPUTED_VALUE"""),23.0)</f>
        <v>23</v>
      </c>
      <c r="E128" s="17">
        <f>IFERROR(__xludf.DUMMYFUNCTION("""COMPUTED_VALUE"""),2124.0)</f>
        <v>2124</v>
      </c>
      <c r="F128" s="17">
        <f>IFERROR(__xludf.DUMMYFUNCTION("""COMPUTED_VALUE"""),0.0)</f>
        <v>0</v>
      </c>
      <c r="G128" s="17"/>
      <c r="H128" s="21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tr">
        <f>IFERROR(__xludf.DUMMYFUNCTION("""COMPUTED_VALUE"""),"Peru")</f>
        <v>Peru</v>
      </c>
      <c r="B129" s="54">
        <f>IFERROR(__xludf.DUMMYFUNCTION("""COMPUTED_VALUE"""),43626.0)</f>
        <v>43626</v>
      </c>
      <c r="C129" s="19">
        <f>IFERROR(__xludf.DUMMYFUNCTION("""COMPUTED_VALUE"""),43632.0)</f>
        <v>43632</v>
      </c>
      <c r="D129" s="17">
        <f>IFERROR(__xludf.DUMMYFUNCTION("""COMPUTED_VALUE"""),24.0)</f>
        <v>24</v>
      </c>
      <c r="E129" s="17">
        <f>IFERROR(__xludf.DUMMYFUNCTION("""COMPUTED_VALUE"""),2169.0)</f>
        <v>2169</v>
      </c>
      <c r="F129" s="17">
        <f>IFERROR(__xludf.DUMMYFUNCTION("""COMPUTED_VALUE"""),0.0)</f>
        <v>0</v>
      </c>
      <c r="G129" s="17"/>
      <c r="H129" s="21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tr">
        <f>IFERROR(__xludf.DUMMYFUNCTION("""COMPUTED_VALUE"""),"Peru")</f>
        <v>Peru</v>
      </c>
      <c r="B130" s="54">
        <f>IFERROR(__xludf.DUMMYFUNCTION("""COMPUTED_VALUE"""),43633.0)</f>
        <v>43633</v>
      </c>
      <c r="C130" s="19">
        <f>IFERROR(__xludf.DUMMYFUNCTION("""COMPUTED_VALUE"""),43639.0)</f>
        <v>43639</v>
      </c>
      <c r="D130" s="17">
        <f>IFERROR(__xludf.DUMMYFUNCTION("""COMPUTED_VALUE"""),25.0)</f>
        <v>25</v>
      </c>
      <c r="E130" s="17">
        <f>IFERROR(__xludf.DUMMYFUNCTION("""COMPUTED_VALUE"""),2257.0)</f>
        <v>2257</v>
      </c>
      <c r="F130" s="17">
        <f>IFERROR(__xludf.DUMMYFUNCTION("""COMPUTED_VALUE"""),0.0)</f>
        <v>0</v>
      </c>
      <c r="G130" s="17"/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tr">
        <f>IFERROR(__xludf.DUMMYFUNCTION("""COMPUTED_VALUE"""),"Peru")</f>
        <v>Peru</v>
      </c>
      <c r="B131" s="54">
        <f>IFERROR(__xludf.DUMMYFUNCTION("""COMPUTED_VALUE"""),43640.0)</f>
        <v>43640</v>
      </c>
      <c r="C131" s="19">
        <f>IFERROR(__xludf.DUMMYFUNCTION("""COMPUTED_VALUE"""),43646.0)</f>
        <v>43646</v>
      </c>
      <c r="D131" s="17">
        <f>IFERROR(__xludf.DUMMYFUNCTION("""COMPUTED_VALUE"""),26.0)</f>
        <v>26</v>
      </c>
      <c r="E131" s="17">
        <f>IFERROR(__xludf.DUMMYFUNCTION("""COMPUTED_VALUE"""),2182.0)</f>
        <v>2182</v>
      </c>
      <c r="F131" s="17">
        <f>IFERROR(__xludf.DUMMYFUNCTION("""COMPUTED_VALUE"""),0.0)</f>
        <v>0</v>
      </c>
      <c r="G131" s="17"/>
      <c r="H131" s="21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tr">
        <f>IFERROR(__xludf.DUMMYFUNCTION("""COMPUTED_VALUE"""),"Peru")</f>
        <v>Peru</v>
      </c>
      <c r="B132" s="54">
        <f>IFERROR(__xludf.DUMMYFUNCTION("""COMPUTED_VALUE"""),43647.0)</f>
        <v>43647</v>
      </c>
      <c r="C132" s="19">
        <f>IFERROR(__xludf.DUMMYFUNCTION("""COMPUTED_VALUE"""),43653.0)</f>
        <v>43653</v>
      </c>
      <c r="D132" s="17">
        <f>IFERROR(__xludf.DUMMYFUNCTION("""COMPUTED_VALUE"""),27.0)</f>
        <v>27</v>
      </c>
      <c r="E132" s="17">
        <f>IFERROR(__xludf.DUMMYFUNCTION("""COMPUTED_VALUE"""),2234.0)</f>
        <v>2234</v>
      </c>
      <c r="F132" s="17">
        <f>IFERROR(__xludf.DUMMYFUNCTION("""COMPUTED_VALUE"""),0.0)</f>
        <v>0</v>
      </c>
      <c r="G132" s="17"/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tr">
        <f>IFERROR(__xludf.DUMMYFUNCTION("""COMPUTED_VALUE"""),"Peru")</f>
        <v>Peru</v>
      </c>
      <c r="B133" s="54">
        <f>IFERROR(__xludf.DUMMYFUNCTION("""COMPUTED_VALUE"""),43654.0)</f>
        <v>43654</v>
      </c>
      <c r="C133" s="19">
        <f>IFERROR(__xludf.DUMMYFUNCTION("""COMPUTED_VALUE"""),43660.0)</f>
        <v>43660</v>
      </c>
      <c r="D133" s="17">
        <f>IFERROR(__xludf.DUMMYFUNCTION("""COMPUTED_VALUE"""),28.0)</f>
        <v>28</v>
      </c>
      <c r="E133" s="17">
        <f>IFERROR(__xludf.DUMMYFUNCTION("""COMPUTED_VALUE"""),2182.0)</f>
        <v>2182</v>
      </c>
      <c r="F133" s="17">
        <f>IFERROR(__xludf.DUMMYFUNCTION("""COMPUTED_VALUE"""),0.0)</f>
        <v>0</v>
      </c>
      <c r="G133" s="17"/>
      <c r="H133" s="21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tr">
        <f>IFERROR(__xludf.DUMMYFUNCTION("""COMPUTED_VALUE"""),"Peru")</f>
        <v>Peru</v>
      </c>
      <c r="B134" s="54">
        <f>IFERROR(__xludf.DUMMYFUNCTION("""COMPUTED_VALUE"""),43661.0)</f>
        <v>43661</v>
      </c>
      <c r="C134" s="19">
        <f>IFERROR(__xludf.DUMMYFUNCTION("""COMPUTED_VALUE"""),43667.0)</f>
        <v>43667</v>
      </c>
      <c r="D134" s="17">
        <f>IFERROR(__xludf.DUMMYFUNCTION("""COMPUTED_VALUE"""),29.0)</f>
        <v>29</v>
      </c>
      <c r="E134" s="17">
        <f>IFERROR(__xludf.DUMMYFUNCTION("""COMPUTED_VALUE"""),2255.0)</f>
        <v>2255</v>
      </c>
      <c r="F134" s="17">
        <f>IFERROR(__xludf.DUMMYFUNCTION("""COMPUTED_VALUE"""),0.0)</f>
        <v>0</v>
      </c>
      <c r="G134" s="17"/>
      <c r="H134" s="21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tr">
        <f>IFERROR(__xludf.DUMMYFUNCTION("""COMPUTED_VALUE"""),"Peru")</f>
        <v>Peru</v>
      </c>
      <c r="B135" s="54">
        <f>IFERROR(__xludf.DUMMYFUNCTION("""COMPUTED_VALUE"""),43668.0)</f>
        <v>43668</v>
      </c>
      <c r="C135" s="19">
        <f>IFERROR(__xludf.DUMMYFUNCTION("""COMPUTED_VALUE"""),43674.0)</f>
        <v>43674</v>
      </c>
      <c r="D135" s="17">
        <f>IFERROR(__xludf.DUMMYFUNCTION("""COMPUTED_VALUE"""),30.0)</f>
        <v>30</v>
      </c>
      <c r="E135" s="17">
        <f>IFERROR(__xludf.DUMMYFUNCTION("""COMPUTED_VALUE"""),2265.0)</f>
        <v>2265</v>
      </c>
      <c r="F135" s="17">
        <f>IFERROR(__xludf.DUMMYFUNCTION("""COMPUTED_VALUE"""),0.0)</f>
        <v>0</v>
      </c>
      <c r="G135" s="17"/>
      <c r="H135" s="21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tr">
        <f>IFERROR(__xludf.DUMMYFUNCTION("""COMPUTED_VALUE"""),"Peru")</f>
        <v>Peru</v>
      </c>
      <c r="B136" s="54">
        <f>IFERROR(__xludf.DUMMYFUNCTION("""COMPUTED_VALUE"""),43675.0)</f>
        <v>43675</v>
      </c>
      <c r="C136" s="19">
        <f>IFERROR(__xludf.DUMMYFUNCTION("""COMPUTED_VALUE"""),43681.0)</f>
        <v>43681</v>
      </c>
      <c r="D136" s="17">
        <f>IFERROR(__xludf.DUMMYFUNCTION("""COMPUTED_VALUE"""),31.0)</f>
        <v>31</v>
      </c>
      <c r="E136" s="17">
        <f>IFERROR(__xludf.DUMMYFUNCTION("""COMPUTED_VALUE"""),2231.0)</f>
        <v>2231</v>
      </c>
      <c r="F136" s="17">
        <f>IFERROR(__xludf.DUMMYFUNCTION("""COMPUTED_VALUE"""),0.0)</f>
        <v>0</v>
      </c>
      <c r="G136" s="17"/>
      <c r="H136" s="21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tr">
        <f>IFERROR(__xludf.DUMMYFUNCTION("""COMPUTED_VALUE"""),"Peru")</f>
        <v>Peru</v>
      </c>
      <c r="B137" s="54">
        <f>IFERROR(__xludf.DUMMYFUNCTION("""COMPUTED_VALUE"""),43682.0)</f>
        <v>43682</v>
      </c>
      <c r="C137" s="19">
        <f>IFERROR(__xludf.DUMMYFUNCTION("""COMPUTED_VALUE"""),43688.0)</f>
        <v>43688</v>
      </c>
      <c r="D137" s="17">
        <f>IFERROR(__xludf.DUMMYFUNCTION("""COMPUTED_VALUE"""),32.0)</f>
        <v>32</v>
      </c>
      <c r="E137" s="17">
        <f>IFERROR(__xludf.DUMMYFUNCTION("""COMPUTED_VALUE"""),2356.0)</f>
        <v>2356</v>
      </c>
      <c r="F137" s="17">
        <f>IFERROR(__xludf.DUMMYFUNCTION("""COMPUTED_VALUE"""),0.0)</f>
        <v>0</v>
      </c>
      <c r="G137" s="17"/>
      <c r="H137" s="21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tr">
        <f>IFERROR(__xludf.DUMMYFUNCTION("""COMPUTED_VALUE"""),"Peru")</f>
        <v>Peru</v>
      </c>
      <c r="B138" s="54">
        <f>IFERROR(__xludf.DUMMYFUNCTION("""COMPUTED_VALUE"""),43689.0)</f>
        <v>43689</v>
      </c>
      <c r="C138" s="19">
        <f>IFERROR(__xludf.DUMMYFUNCTION("""COMPUTED_VALUE"""),43695.0)</f>
        <v>43695</v>
      </c>
      <c r="D138" s="17">
        <f>IFERROR(__xludf.DUMMYFUNCTION("""COMPUTED_VALUE"""),33.0)</f>
        <v>33</v>
      </c>
      <c r="E138" s="17">
        <f>IFERROR(__xludf.DUMMYFUNCTION("""COMPUTED_VALUE"""),2206.0)</f>
        <v>2206</v>
      </c>
      <c r="F138" s="17">
        <f>IFERROR(__xludf.DUMMYFUNCTION("""COMPUTED_VALUE"""),0.0)</f>
        <v>0</v>
      </c>
      <c r="G138" s="17"/>
      <c r="H138" s="21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tr">
        <f>IFERROR(__xludf.DUMMYFUNCTION("""COMPUTED_VALUE"""),"Peru")</f>
        <v>Peru</v>
      </c>
      <c r="B139" s="54">
        <f>IFERROR(__xludf.DUMMYFUNCTION("""COMPUTED_VALUE"""),43696.0)</f>
        <v>43696</v>
      </c>
      <c r="C139" s="19">
        <f>IFERROR(__xludf.DUMMYFUNCTION("""COMPUTED_VALUE"""),43702.0)</f>
        <v>43702</v>
      </c>
      <c r="D139" s="17">
        <f>IFERROR(__xludf.DUMMYFUNCTION("""COMPUTED_VALUE"""),34.0)</f>
        <v>34</v>
      </c>
      <c r="E139" s="17">
        <f>IFERROR(__xludf.DUMMYFUNCTION("""COMPUTED_VALUE"""),2183.0)</f>
        <v>2183</v>
      </c>
      <c r="F139" s="17">
        <f>IFERROR(__xludf.DUMMYFUNCTION("""COMPUTED_VALUE"""),0.0)</f>
        <v>0</v>
      </c>
      <c r="G139" s="17"/>
      <c r="H139" s="21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tr">
        <f>IFERROR(__xludf.DUMMYFUNCTION("""COMPUTED_VALUE"""),"Peru")</f>
        <v>Peru</v>
      </c>
      <c r="B140" s="54">
        <f>IFERROR(__xludf.DUMMYFUNCTION("""COMPUTED_VALUE"""),43703.0)</f>
        <v>43703</v>
      </c>
      <c r="C140" s="19">
        <f>IFERROR(__xludf.DUMMYFUNCTION("""COMPUTED_VALUE"""),43709.0)</f>
        <v>43709</v>
      </c>
      <c r="D140" s="17">
        <f>IFERROR(__xludf.DUMMYFUNCTION("""COMPUTED_VALUE"""),35.0)</f>
        <v>35</v>
      </c>
      <c r="E140" s="17">
        <f>IFERROR(__xludf.DUMMYFUNCTION("""COMPUTED_VALUE"""),2296.0)</f>
        <v>2296</v>
      </c>
      <c r="F140" s="17">
        <f>IFERROR(__xludf.DUMMYFUNCTION("""COMPUTED_VALUE"""),0.0)</f>
        <v>0</v>
      </c>
      <c r="G140" s="17"/>
      <c r="H140" s="21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tr">
        <f>IFERROR(__xludf.DUMMYFUNCTION("""COMPUTED_VALUE"""),"Peru")</f>
        <v>Peru</v>
      </c>
      <c r="B141" s="54">
        <f>IFERROR(__xludf.DUMMYFUNCTION("""COMPUTED_VALUE"""),43710.0)</f>
        <v>43710</v>
      </c>
      <c r="C141" s="19">
        <f>IFERROR(__xludf.DUMMYFUNCTION("""COMPUTED_VALUE"""),43716.0)</f>
        <v>43716</v>
      </c>
      <c r="D141" s="17">
        <f>IFERROR(__xludf.DUMMYFUNCTION("""COMPUTED_VALUE"""),36.0)</f>
        <v>36</v>
      </c>
      <c r="E141" s="17">
        <f>IFERROR(__xludf.DUMMYFUNCTION("""COMPUTED_VALUE"""),2189.0)</f>
        <v>2189</v>
      </c>
      <c r="F141" s="17">
        <f>IFERROR(__xludf.DUMMYFUNCTION("""COMPUTED_VALUE"""),0.0)</f>
        <v>0</v>
      </c>
      <c r="G141" s="17"/>
      <c r="H141" s="21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tr">
        <f>IFERROR(__xludf.DUMMYFUNCTION("""COMPUTED_VALUE"""),"Peru")</f>
        <v>Peru</v>
      </c>
      <c r="B142" s="54">
        <f>IFERROR(__xludf.DUMMYFUNCTION("""COMPUTED_VALUE"""),43717.0)</f>
        <v>43717</v>
      </c>
      <c r="C142" s="19">
        <f>IFERROR(__xludf.DUMMYFUNCTION("""COMPUTED_VALUE"""),43723.0)</f>
        <v>43723</v>
      </c>
      <c r="D142" s="17">
        <f>IFERROR(__xludf.DUMMYFUNCTION("""COMPUTED_VALUE"""),37.0)</f>
        <v>37</v>
      </c>
      <c r="E142" s="17">
        <f>IFERROR(__xludf.DUMMYFUNCTION("""COMPUTED_VALUE"""),2243.0)</f>
        <v>2243</v>
      </c>
      <c r="F142" s="17">
        <f>IFERROR(__xludf.DUMMYFUNCTION("""COMPUTED_VALUE"""),0.0)</f>
        <v>0</v>
      </c>
      <c r="G142" s="17"/>
      <c r="H142" s="21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tr">
        <f>IFERROR(__xludf.DUMMYFUNCTION("""COMPUTED_VALUE"""),"Peru")</f>
        <v>Peru</v>
      </c>
      <c r="B143" s="54">
        <f>IFERROR(__xludf.DUMMYFUNCTION("""COMPUTED_VALUE"""),43724.0)</f>
        <v>43724</v>
      </c>
      <c r="C143" s="19">
        <f>IFERROR(__xludf.DUMMYFUNCTION("""COMPUTED_VALUE"""),43730.0)</f>
        <v>43730</v>
      </c>
      <c r="D143" s="17">
        <f>IFERROR(__xludf.DUMMYFUNCTION("""COMPUTED_VALUE"""),38.0)</f>
        <v>38</v>
      </c>
      <c r="E143" s="17">
        <f>IFERROR(__xludf.DUMMYFUNCTION("""COMPUTED_VALUE"""),2367.0)</f>
        <v>2367</v>
      </c>
      <c r="F143" s="17">
        <f>IFERROR(__xludf.DUMMYFUNCTION("""COMPUTED_VALUE"""),0.0)</f>
        <v>0</v>
      </c>
      <c r="G143" s="17"/>
      <c r="H143" s="21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tr">
        <f>IFERROR(__xludf.DUMMYFUNCTION("""COMPUTED_VALUE"""),"Peru")</f>
        <v>Peru</v>
      </c>
      <c r="B144" s="54">
        <f>IFERROR(__xludf.DUMMYFUNCTION("""COMPUTED_VALUE"""),43731.0)</f>
        <v>43731</v>
      </c>
      <c r="C144" s="19">
        <f>IFERROR(__xludf.DUMMYFUNCTION("""COMPUTED_VALUE"""),43737.0)</f>
        <v>43737</v>
      </c>
      <c r="D144" s="17">
        <f>IFERROR(__xludf.DUMMYFUNCTION("""COMPUTED_VALUE"""),39.0)</f>
        <v>39</v>
      </c>
      <c r="E144" s="17">
        <f>IFERROR(__xludf.DUMMYFUNCTION("""COMPUTED_VALUE"""),2243.0)</f>
        <v>2243</v>
      </c>
      <c r="F144" s="17">
        <f>IFERROR(__xludf.DUMMYFUNCTION("""COMPUTED_VALUE"""),0.0)</f>
        <v>0</v>
      </c>
      <c r="G144" s="17"/>
      <c r="H144" s="21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tr">
        <f>IFERROR(__xludf.DUMMYFUNCTION("""COMPUTED_VALUE"""),"Peru")</f>
        <v>Peru</v>
      </c>
      <c r="B145" s="54">
        <f>IFERROR(__xludf.DUMMYFUNCTION("""COMPUTED_VALUE"""),43738.0)</f>
        <v>43738</v>
      </c>
      <c r="C145" s="19">
        <f>IFERROR(__xludf.DUMMYFUNCTION("""COMPUTED_VALUE"""),43744.0)</f>
        <v>43744</v>
      </c>
      <c r="D145" s="17">
        <f>IFERROR(__xludf.DUMMYFUNCTION("""COMPUTED_VALUE"""),40.0)</f>
        <v>40</v>
      </c>
      <c r="E145" s="17">
        <f>IFERROR(__xludf.DUMMYFUNCTION("""COMPUTED_VALUE"""),2242.0)</f>
        <v>2242</v>
      </c>
      <c r="F145" s="17">
        <f>IFERROR(__xludf.DUMMYFUNCTION("""COMPUTED_VALUE"""),0.0)</f>
        <v>0</v>
      </c>
      <c r="G145" s="17"/>
      <c r="H145" s="21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tr">
        <f>IFERROR(__xludf.DUMMYFUNCTION("""COMPUTED_VALUE"""),"Peru")</f>
        <v>Peru</v>
      </c>
      <c r="B146" s="54">
        <f>IFERROR(__xludf.DUMMYFUNCTION("""COMPUTED_VALUE"""),43745.0)</f>
        <v>43745</v>
      </c>
      <c r="C146" s="19">
        <f>IFERROR(__xludf.DUMMYFUNCTION("""COMPUTED_VALUE"""),43751.0)</f>
        <v>43751</v>
      </c>
      <c r="D146" s="17">
        <f>IFERROR(__xludf.DUMMYFUNCTION("""COMPUTED_VALUE"""),41.0)</f>
        <v>41</v>
      </c>
      <c r="E146" s="17">
        <f>IFERROR(__xludf.DUMMYFUNCTION("""COMPUTED_VALUE"""),2212.0)</f>
        <v>2212</v>
      </c>
      <c r="F146" s="17">
        <f>IFERROR(__xludf.DUMMYFUNCTION("""COMPUTED_VALUE"""),0.0)</f>
        <v>0</v>
      </c>
      <c r="G146" s="17"/>
      <c r="H146" s="21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tr">
        <f>IFERROR(__xludf.DUMMYFUNCTION("""COMPUTED_VALUE"""),"Peru")</f>
        <v>Peru</v>
      </c>
      <c r="B147" s="54">
        <f>IFERROR(__xludf.DUMMYFUNCTION("""COMPUTED_VALUE"""),43752.0)</f>
        <v>43752</v>
      </c>
      <c r="C147" s="19">
        <f>IFERROR(__xludf.DUMMYFUNCTION("""COMPUTED_VALUE"""),43758.0)</f>
        <v>43758</v>
      </c>
      <c r="D147" s="17">
        <f>IFERROR(__xludf.DUMMYFUNCTION("""COMPUTED_VALUE"""),42.0)</f>
        <v>42</v>
      </c>
      <c r="E147" s="17">
        <f>IFERROR(__xludf.DUMMYFUNCTION("""COMPUTED_VALUE"""),2333.0)</f>
        <v>2333</v>
      </c>
      <c r="F147" s="17">
        <f>IFERROR(__xludf.DUMMYFUNCTION("""COMPUTED_VALUE"""),0.0)</f>
        <v>0</v>
      </c>
      <c r="G147" s="17"/>
      <c r="H147" s="21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tr">
        <f>IFERROR(__xludf.DUMMYFUNCTION("""COMPUTED_VALUE"""),"Peru")</f>
        <v>Peru</v>
      </c>
      <c r="B148" s="54">
        <f>IFERROR(__xludf.DUMMYFUNCTION("""COMPUTED_VALUE"""),43759.0)</f>
        <v>43759</v>
      </c>
      <c r="C148" s="19">
        <f>IFERROR(__xludf.DUMMYFUNCTION("""COMPUTED_VALUE"""),43765.0)</f>
        <v>43765</v>
      </c>
      <c r="D148" s="17">
        <f>IFERROR(__xludf.DUMMYFUNCTION("""COMPUTED_VALUE"""),43.0)</f>
        <v>43</v>
      </c>
      <c r="E148" s="17">
        <f>IFERROR(__xludf.DUMMYFUNCTION("""COMPUTED_VALUE"""),2220.0)</f>
        <v>2220</v>
      </c>
      <c r="F148" s="17">
        <f>IFERROR(__xludf.DUMMYFUNCTION("""COMPUTED_VALUE"""),0.0)</f>
        <v>0</v>
      </c>
      <c r="G148" s="17"/>
      <c r="H148" s="21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tr">
        <f>IFERROR(__xludf.DUMMYFUNCTION("""COMPUTED_VALUE"""),"Peru")</f>
        <v>Peru</v>
      </c>
      <c r="B149" s="54">
        <f>IFERROR(__xludf.DUMMYFUNCTION("""COMPUTED_VALUE"""),43766.0)</f>
        <v>43766</v>
      </c>
      <c r="C149" s="19">
        <f>IFERROR(__xludf.DUMMYFUNCTION("""COMPUTED_VALUE"""),43772.0)</f>
        <v>43772</v>
      </c>
      <c r="D149" s="17">
        <f>IFERROR(__xludf.DUMMYFUNCTION("""COMPUTED_VALUE"""),44.0)</f>
        <v>44</v>
      </c>
      <c r="E149" s="17">
        <f>IFERROR(__xludf.DUMMYFUNCTION("""COMPUTED_VALUE"""),2343.0)</f>
        <v>2343</v>
      </c>
      <c r="F149" s="17">
        <f>IFERROR(__xludf.DUMMYFUNCTION("""COMPUTED_VALUE"""),0.0)</f>
        <v>0</v>
      </c>
      <c r="G149" s="17"/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tr">
        <f>IFERROR(__xludf.DUMMYFUNCTION("""COMPUTED_VALUE"""),"Peru")</f>
        <v>Peru</v>
      </c>
      <c r="B150" s="54">
        <f>IFERROR(__xludf.DUMMYFUNCTION("""COMPUTED_VALUE"""),43773.0)</f>
        <v>43773</v>
      </c>
      <c r="C150" s="19">
        <f>IFERROR(__xludf.DUMMYFUNCTION("""COMPUTED_VALUE"""),43779.0)</f>
        <v>43779</v>
      </c>
      <c r="D150" s="17">
        <f>IFERROR(__xludf.DUMMYFUNCTION("""COMPUTED_VALUE"""),45.0)</f>
        <v>45</v>
      </c>
      <c r="E150" s="17">
        <f>IFERROR(__xludf.DUMMYFUNCTION("""COMPUTED_VALUE"""),2263.0)</f>
        <v>2263</v>
      </c>
      <c r="F150" s="17">
        <f>IFERROR(__xludf.DUMMYFUNCTION("""COMPUTED_VALUE"""),0.0)</f>
        <v>0</v>
      </c>
      <c r="G150" s="17"/>
      <c r="H150" s="21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tr">
        <f>IFERROR(__xludf.DUMMYFUNCTION("""COMPUTED_VALUE"""),"Peru")</f>
        <v>Peru</v>
      </c>
      <c r="B151" s="54">
        <f>IFERROR(__xludf.DUMMYFUNCTION("""COMPUTED_VALUE"""),43780.0)</f>
        <v>43780</v>
      </c>
      <c r="C151" s="19">
        <f>IFERROR(__xludf.DUMMYFUNCTION("""COMPUTED_VALUE"""),43786.0)</f>
        <v>43786</v>
      </c>
      <c r="D151" s="17">
        <f>IFERROR(__xludf.DUMMYFUNCTION("""COMPUTED_VALUE"""),46.0)</f>
        <v>46</v>
      </c>
      <c r="E151" s="17">
        <f>IFERROR(__xludf.DUMMYFUNCTION("""COMPUTED_VALUE"""),2222.0)</f>
        <v>2222</v>
      </c>
      <c r="F151" s="17">
        <f>IFERROR(__xludf.DUMMYFUNCTION("""COMPUTED_VALUE"""),0.0)</f>
        <v>0</v>
      </c>
      <c r="G151" s="17"/>
      <c r="H151" s="21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tr">
        <f>IFERROR(__xludf.DUMMYFUNCTION("""COMPUTED_VALUE"""),"Peru")</f>
        <v>Peru</v>
      </c>
      <c r="B152" s="54">
        <f>IFERROR(__xludf.DUMMYFUNCTION("""COMPUTED_VALUE"""),43787.0)</f>
        <v>43787</v>
      </c>
      <c r="C152" s="19">
        <f>IFERROR(__xludf.DUMMYFUNCTION("""COMPUTED_VALUE"""),43793.0)</f>
        <v>43793</v>
      </c>
      <c r="D152" s="17">
        <f>IFERROR(__xludf.DUMMYFUNCTION("""COMPUTED_VALUE"""),47.0)</f>
        <v>47</v>
      </c>
      <c r="E152" s="17">
        <f>IFERROR(__xludf.DUMMYFUNCTION("""COMPUTED_VALUE"""),2198.0)</f>
        <v>2198</v>
      </c>
      <c r="F152" s="17">
        <f>IFERROR(__xludf.DUMMYFUNCTION("""COMPUTED_VALUE"""),0.0)</f>
        <v>0</v>
      </c>
      <c r="G152" s="17"/>
      <c r="H152" s="21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tr">
        <f>IFERROR(__xludf.DUMMYFUNCTION("""COMPUTED_VALUE"""),"Peru")</f>
        <v>Peru</v>
      </c>
      <c r="B153" s="54">
        <f>IFERROR(__xludf.DUMMYFUNCTION("""COMPUTED_VALUE"""),43794.0)</f>
        <v>43794</v>
      </c>
      <c r="C153" s="19">
        <f>IFERROR(__xludf.DUMMYFUNCTION("""COMPUTED_VALUE"""),43800.0)</f>
        <v>43800</v>
      </c>
      <c r="D153" s="17">
        <f>IFERROR(__xludf.DUMMYFUNCTION("""COMPUTED_VALUE"""),48.0)</f>
        <v>48</v>
      </c>
      <c r="E153" s="17">
        <f>IFERROR(__xludf.DUMMYFUNCTION("""COMPUTED_VALUE"""),2197.0)</f>
        <v>2197</v>
      </c>
      <c r="F153" s="17">
        <f>IFERROR(__xludf.DUMMYFUNCTION("""COMPUTED_VALUE"""),0.0)</f>
        <v>0</v>
      </c>
      <c r="G153" s="17"/>
      <c r="H153" s="21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tr">
        <f>IFERROR(__xludf.DUMMYFUNCTION("""COMPUTED_VALUE"""),"Peru")</f>
        <v>Peru</v>
      </c>
      <c r="B154" s="54">
        <f>IFERROR(__xludf.DUMMYFUNCTION("""COMPUTED_VALUE"""),43801.0)</f>
        <v>43801</v>
      </c>
      <c r="C154" s="19">
        <f>IFERROR(__xludf.DUMMYFUNCTION("""COMPUTED_VALUE"""),43807.0)</f>
        <v>43807</v>
      </c>
      <c r="D154" s="17">
        <f>IFERROR(__xludf.DUMMYFUNCTION("""COMPUTED_VALUE"""),49.0)</f>
        <v>49</v>
      </c>
      <c r="E154" s="17">
        <f>IFERROR(__xludf.DUMMYFUNCTION("""COMPUTED_VALUE"""),2251.0)</f>
        <v>2251</v>
      </c>
      <c r="F154" s="17">
        <f>IFERROR(__xludf.DUMMYFUNCTION("""COMPUTED_VALUE"""),0.0)</f>
        <v>0</v>
      </c>
      <c r="G154" s="17"/>
      <c r="H154" s="21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tr">
        <f>IFERROR(__xludf.DUMMYFUNCTION("""COMPUTED_VALUE"""),"Peru")</f>
        <v>Peru</v>
      </c>
      <c r="B155" s="54">
        <f>IFERROR(__xludf.DUMMYFUNCTION("""COMPUTED_VALUE"""),43808.0)</f>
        <v>43808</v>
      </c>
      <c r="C155" s="19">
        <f>IFERROR(__xludf.DUMMYFUNCTION("""COMPUTED_VALUE"""),43814.0)</f>
        <v>43814</v>
      </c>
      <c r="D155" s="17">
        <f>IFERROR(__xludf.DUMMYFUNCTION("""COMPUTED_VALUE"""),50.0)</f>
        <v>50</v>
      </c>
      <c r="E155" s="17">
        <f>IFERROR(__xludf.DUMMYFUNCTION("""COMPUTED_VALUE"""),2207.0)</f>
        <v>2207</v>
      </c>
      <c r="F155" s="17">
        <f>IFERROR(__xludf.DUMMYFUNCTION("""COMPUTED_VALUE"""),0.0)</f>
        <v>0</v>
      </c>
      <c r="G155" s="17"/>
      <c r="H155" s="21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tr">
        <f>IFERROR(__xludf.DUMMYFUNCTION("""COMPUTED_VALUE"""),"Peru")</f>
        <v>Peru</v>
      </c>
      <c r="B156" s="54">
        <f>IFERROR(__xludf.DUMMYFUNCTION("""COMPUTED_VALUE"""),43815.0)</f>
        <v>43815</v>
      </c>
      <c r="C156" s="19">
        <f>IFERROR(__xludf.DUMMYFUNCTION("""COMPUTED_VALUE"""),43821.0)</f>
        <v>43821</v>
      </c>
      <c r="D156" s="17">
        <f>IFERROR(__xludf.DUMMYFUNCTION("""COMPUTED_VALUE"""),51.0)</f>
        <v>51</v>
      </c>
      <c r="E156" s="17">
        <f>IFERROR(__xludf.DUMMYFUNCTION("""COMPUTED_VALUE"""),2172.0)</f>
        <v>2172</v>
      </c>
      <c r="F156" s="17">
        <f>IFERROR(__xludf.DUMMYFUNCTION("""COMPUTED_VALUE"""),0.0)</f>
        <v>0</v>
      </c>
      <c r="G156" s="17"/>
      <c r="H156" s="21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tr">
        <f>IFERROR(__xludf.DUMMYFUNCTION("""COMPUTED_VALUE"""),"Peru")</f>
        <v>Peru</v>
      </c>
      <c r="B157" s="54">
        <f>IFERROR(__xludf.DUMMYFUNCTION("""COMPUTED_VALUE"""),43822.0)</f>
        <v>43822</v>
      </c>
      <c r="C157" s="19">
        <f>IFERROR(__xludf.DUMMYFUNCTION("""COMPUTED_VALUE"""),43828.0)</f>
        <v>43828</v>
      </c>
      <c r="D157" s="17">
        <f>IFERROR(__xludf.DUMMYFUNCTION("""COMPUTED_VALUE"""),52.0)</f>
        <v>52</v>
      </c>
      <c r="E157" s="17">
        <f>IFERROR(__xludf.DUMMYFUNCTION("""COMPUTED_VALUE"""),2325.0)</f>
        <v>2325</v>
      </c>
      <c r="F157" s="17">
        <f>IFERROR(__xludf.DUMMYFUNCTION("""COMPUTED_VALUE"""),0.0)</f>
        <v>0</v>
      </c>
      <c r="G157" s="17"/>
      <c r="H157" s="21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tr">
        <f>IFERROR(__xludf.DUMMYFUNCTION("""COMPUTED_VALUE"""),"Peru")</f>
        <v>Peru</v>
      </c>
      <c r="B158" s="54">
        <f>IFERROR(__xludf.DUMMYFUNCTION("""COMPUTED_VALUE"""),43829.0)</f>
        <v>43829</v>
      </c>
      <c r="C158" s="19">
        <f>IFERROR(__xludf.DUMMYFUNCTION("""COMPUTED_VALUE"""),43835.0)</f>
        <v>43835</v>
      </c>
      <c r="D158" s="17">
        <f>IFERROR(__xludf.DUMMYFUNCTION("""COMPUTED_VALUE"""),1.0)</f>
        <v>1</v>
      </c>
      <c r="E158" s="17">
        <f>IFERROR(__xludf.DUMMYFUNCTION("""COMPUTED_VALUE"""),2407.0)</f>
        <v>2407</v>
      </c>
      <c r="F158" s="17">
        <f>IFERROR(__xludf.DUMMYFUNCTION("""COMPUTED_VALUE"""),0.0)</f>
        <v>0</v>
      </c>
      <c r="G158" s="17"/>
      <c r="H158" s="21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tr">
        <f>IFERROR(__xludf.DUMMYFUNCTION("""COMPUTED_VALUE"""),"Peru")</f>
        <v>Peru</v>
      </c>
      <c r="B159" s="54">
        <f>IFERROR(__xludf.DUMMYFUNCTION("""COMPUTED_VALUE"""),43836.0)</f>
        <v>43836</v>
      </c>
      <c r="C159" s="19">
        <f>IFERROR(__xludf.DUMMYFUNCTION("""COMPUTED_VALUE"""),43842.0)</f>
        <v>43842</v>
      </c>
      <c r="D159" s="17">
        <f>IFERROR(__xludf.DUMMYFUNCTION("""COMPUTED_VALUE"""),2.0)</f>
        <v>2</v>
      </c>
      <c r="E159" s="17">
        <f>IFERROR(__xludf.DUMMYFUNCTION("""COMPUTED_VALUE"""),2428.0)</f>
        <v>2428</v>
      </c>
      <c r="F159" s="17">
        <f>IFERROR(__xludf.DUMMYFUNCTION("""COMPUTED_VALUE"""),0.0)</f>
        <v>0</v>
      </c>
      <c r="G159" s="17"/>
      <c r="H159" s="21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tr">
        <f>IFERROR(__xludf.DUMMYFUNCTION("""COMPUTED_VALUE"""),"Peru")</f>
        <v>Peru</v>
      </c>
      <c r="B160" s="54">
        <f>IFERROR(__xludf.DUMMYFUNCTION("""COMPUTED_VALUE"""),43843.0)</f>
        <v>43843</v>
      </c>
      <c r="C160" s="19">
        <f>IFERROR(__xludf.DUMMYFUNCTION("""COMPUTED_VALUE"""),43849.0)</f>
        <v>43849</v>
      </c>
      <c r="D160" s="17">
        <f>IFERROR(__xludf.DUMMYFUNCTION("""COMPUTED_VALUE"""),3.0)</f>
        <v>3</v>
      </c>
      <c r="E160" s="17">
        <f>IFERROR(__xludf.DUMMYFUNCTION("""COMPUTED_VALUE"""),2329.0)</f>
        <v>2329</v>
      </c>
      <c r="F160" s="17">
        <f>IFERROR(__xludf.DUMMYFUNCTION("""COMPUTED_VALUE"""),0.0)</f>
        <v>0</v>
      </c>
      <c r="G160" s="17"/>
      <c r="H160" s="21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tr">
        <f>IFERROR(__xludf.DUMMYFUNCTION("""COMPUTED_VALUE"""),"Peru")</f>
        <v>Peru</v>
      </c>
      <c r="B161" s="54">
        <f>IFERROR(__xludf.DUMMYFUNCTION("""COMPUTED_VALUE"""),43850.0)</f>
        <v>43850</v>
      </c>
      <c r="C161" s="19">
        <f>IFERROR(__xludf.DUMMYFUNCTION("""COMPUTED_VALUE"""),43856.0)</f>
        <v>43856</v>
      </c>
      <c r="D161" s="17">
        <f>IFERROR(__xludf.DUMMYFUNCTION("""COMPUTED_VALUE"""),4.0)</f>
        <v>4</v>
      </c>
      <c r="E161" s="17">
        <f>IFERROR(__xludf.DUMMYFUNCTION("""COMPUTED_VALUE"""),2358.0)</f>
        <v>2358</v>
      </c>
      <c r="F161" s="17">
        <f>IFERROR(__xludf.DUMMYFUNCTION("""COMPUTED_VALUE"""),0.0)</f>
        <v>0</v>
      </c>
      <c r="G161" s="17"/>
      <c r="H161" s="21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tr">
        <f>IFERROR(__xludf.DUMMYFUNCTION("""COMPUTED_VALUE"""),"Peru")</f>
        <v>Peru</v>
      </c>
      <c r="B162" s="54">
        <f>IFERROR(__xludf.DUMMYFUNCTION("""COMPUTED_VALUE"""),43857.0)</f>
        <v>43857</v>
      </c>
      <c r="C162" s="19">
        <f>IFERROR(__xludf.DUMMYFUNCTION("""COMPUTED_VALUE"""),43863.0)</f>
        <v>43863</v>
      </c>
      <c r="D162" s="17">
        <f>IFERROR(__xludf.DUMMYFUNCTION("""COMPUTED_VALUE"""),5.0)</f>
        <v>5</v>
      </c>
      <c r="E162" s="17">
        <f>IFERROR(__xludf.DUMMYFUNCTION("""COMPUTED_VALUE"""),2255.0)</f>
        <v>2255</v>
      </c>
      <c r="F162" s="17">
        <f>IFERROR(__xludf.DUMMYFUNCTION("""COMPUTED_VALUE"""),0.0)</f>
        <v>0</v>
      </c>
      <c r="G162" s="17"/>
      <c r="H162" s="21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tr">
        <f>IFERROR(__xludf.DUMMYFUNCTION("""COMPUTED_VALUE"""),"Peru")</f>
        <v>Peru</v>
      </c>
      <c r="B163" s="54">
        <f>IFERROR(__xludf.DUMMYFUNCTION("""COMPUTED_VALUE"""),43864.0)</f>
        <v>43864</v>
      </c>
      <c r="C163" s="19">
        <f>IFERROR(__xludf.DUMMYFUNCTION("""COMPUTED_VALUE"""),43870.0)</f>
        <v>43870</v>
      </c>
      <c r="D163" s="17">
        <f>IFERROR(__xludf.DUMMYFUNCTION("""COMPUTED_VALUE"""),6.0)</f>
        <v>6</v>
      </c>
      <c r="E163" s="17">
        <f>IFERROR(__xludf.DUMMYFUNCTION("""COMPUTED_VALUE"""),2330.0)</f>
        <v>2330</v>
      </c>
      <c r="F163" s="17">
        <f>IFERROR(__xludf.DUMMYFUNCTION("""COMPUTED_VALUE"""),0.0)</f>
        <v>0</v>
      </c>
      <c r="G163" s="17"/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tr">
        <f>IFERROR(__xludf.DUMMYFUNCTION("""COMPUTED_VALUE"""),"Peru")</f>
        <v>Peru</v>
      </c>
      <c r="B164" s="54">
        <f>IFERROR(__xludf.DUMMYFUNCTION("""COMPUTED_VALUE"""),43871.0)</f>
        <v>43871</v>
      </c>
      <c r="C164" s="19">
        <f>IFERROR(__xludf.DUMMYFUNCTION("""COMPUTED_VALUE"""),43877.0)</f>
        <v>43877</v>
      </c>
      <c r="D164" s="17">
        <f>IFERROR(__xludf.DUMMYFUNCTION("""COMPUTED_VALUE"""),7.0)</f>
        <v>7</v>
      </c>
      <c r="E164" s="17">
        <f>IFERROR(__xludf.DUMMYFUNCTION("""COMPUTED_VALUE"""),2354.0)</f>
        <v>2354</v>
      </c>
      <c r="F164" s="17">
        <f>IFERROR(__xludf.DUMMYFUNCTION("""COMPUTED_VALUE"""),0.0)</f>
        <v>0</v>
      </c>
      <c r="G164" s="17"/>
      <c r="H164" s="21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tr">
        <f>IFERROR(__xludf.DUMMYFUNCTION("""COMPUTED_VALUE"""),"Peru")</f>
        <v>Peru</v>
      </c>
      <c r="B165" s="54">
        <f>IFERROR(__xludf.DUMMYFUNCTION("""COMPUTED_VALUE"""),43878.0)</f>
        <v>43878</v>
      </c>
      <c r="C165" s="19">
        <f>IFERROR(__xludf.DUMMYFUNCTION("""COMPUTED_VALUE"""),43884.0)</f>
        <v>43884</v>
      </c>
      <c r="D165" s="17">
        <f>IFERROR(__xludf.DUMMYFUNCTION("""COMPUTED_VALUE"""),8.0)</f>
        <v>8</v>
      </c>
      <c r="E165" s="17">
        <f>IFERROR(__xludf.DUMMYFUNCTION("""COMPUTED_VALUE"""),2346.0)</f>
        <v>2346</v>
      </c>
      <c r="F165" s="17">
        <f>IFERROR(__xludf.DUMMYFUNCTION("""COMPUTED_VALUE"""),0.0)</f>
        <v>0</v>
      </c>
      <c r="G165" s="17"/>
      <c r="H165" s="21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tr">
        <f>IFERROR(__xludf.DUMMYFUNCTION("""COMPUTED_VALUE"""),"Peru")</f>
        <v>Peru</v>
      </c>
      <c r="B166" s="54">
        <f>IFERROR(__xludf.DUMMYFUNCTION("""COMPUTED_VALUE"""),43885.0)</f>
        <v>43885</v>
      </c>
      <c r="C166" s="19">
        <f>IFERROR(__xludf.DUMMYFUNCTION("""COMPUTED_VALUE"""),43891.0)</f>
        <v>43891</v>
      </c>
      <c r="D166" s="17">
        <f>IFERROR(__xludf.DUMMYFUNCTION("""COMPUTED_VALUE"""),9.0)</f>
        <v>9</v>
      </c>
      <c r="E166" s="17">
        <f>IFERROR(__xludf.DUMMYFUNCTION("""COMPUTED_VALUE"""),2417.0)</f>
        <v>2417</v>
      </c>
      <c r="F166" s="17">
        <f>IFERROR(__xludf.DUMMYFUNCTION("""COMPUTED_VALUE"""),0.0)</f>
        <v>0</v>
      </c>
      <c r="G166" s="17"/>
      <c r="H166" s="21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/>
      <c r="B167" s="17"/>
      <c r="C167" s="17"/>
      <c r="D167" s="17"/>
      <c r="E167" s="17"/>
      <c r="F167" s="17"/>
      <c r="G167" s="17"/>
      <c r="H167" s="21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/>
      <c r="B168" s="17"/>
      <c r="C168" s="17"/>
      <c r="D168" s="17"/>
      <c r="E168" s="17"/>
      <c r="F168" s="17"/>
      <c r="G168" s="17"/>
      <c r="H168" s="21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/>
      <c r="B169" s="17"/>
      <c r="C169" s="17"/>
      <c r="D169" s="17"/>
      <c r="E169" s="17"/>
      <c r="F169" s="17"/>
      <c r="G169" s="17"/>
      <c r="H169" s="21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/>
      <c r="B170" s="17"/>
      <c r="C170" s="17"/>
      <c r="D170" s="17"/>
      <c r="E170" s="17"/>
      <c r="F170" s="17"/>
      <c r="G170" s="17"/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/>
      <c r="B171" s="17"/>
      <c r="C171" s="17"/>
      <c r="D171" s="17"/>
      <c r="E171" s="17"/>
      <c r="F171" s="17"/>
      <c r="G171" s="17"/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sheetData>
    <row r="1">
      <c r="A1" s="69" t="str">
        <f>IFERROR(__xludf.DUMMYFUNCTION("QUERY(Dataset!A:F, ""SELECT A,B,C,D,E,F WHERE A='Peru' AND F&gt;0"",1)"),"País")</f>
        <v>País</v>
      </c>
      <c r="B1" s="69" t="str">
        <f>IFERROR(__xludf.DUMMYFUNCTION("""COMPUTED_VALUE"""),"Fecha inicio")</f>
        <v>Fecha inicio</v>
      </c>
      <c r="C1" s="69" t="str">
        <f>IFERROR(__xludf.DUMMYFUNCTION("""COMPUTED_VALUE"""),"Fecha fin")</f>
        <v>Fecha fin</v>
      </c>
      <c r="D1" s="69" t="str">
        <f>IFERROR(__xludf.DUMMYFUNCTION("""COMPUTED_VALUE"""),"Semana")</f>
        <v>Semana</v>
      </c>
      <c r="E1" s="69" t="str">
        <f>IFERROR(__xludf.DUMMYFUNCTION("""COMPUTED_VALUE"""),"Total muertes reportadas")</f>
        <v>Total muertes reportadas</v>
      </c>
      <c r="F1" s="69" t="str">
        <f>IFERROR(__xludf.DUMMYFUNCTION("""COMPUTED_VALUE"""),"Total muertes reportadas por covid")</f>
        <v>Total muertes reportadas por covid</v>
      </c>
      <c r="G1" s="70" t="s">
        <v>8</v>
      </c>
      <c r="H1" s="70" t="s">
        <v>20</v>
      </c>
      <c r="I1" s="70" t="s">
        <v>19</v>
      </c>
      <c r="J1" s="72" t="s">
        <v>21</v>
      </c>
      <c r="K1" s="73" t="s">
        <v>22</v>
      </c>
      <c r="L1" s="73" t="s">
        <v>23</v>
      </c>
      <c r="M1" s="73" t="s">
        <v>24</v>
      </c>
      <c r="N1" s="73" t="s">
        <v>25</v>
      </c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17" t="str">
        <f>IFERROR(__xludf.DUMMYFUNCTION("""COMPUTED_VALUE"""),"Peru")</f>
        <v>Peru</v>
      </c>
      <c r="B2" s="74">
        <f>IFERROR(__xludf.DUMMYFUNCTION("""COMPUTED_VALUE"""),43892.0)</f>
        <v>43892</v>
      </c>
      <c r="C2" s="19">
        <f>IFERROR(__xludf.DUMMYFUNCTION("""COMPUTED_VALUE"""),43898.0)</f>
        <v>43898</v>
      </c>
      <c r="D2" s="17">
        <f>IFERROR(__xludf.DUMMYFUNCTION("""COMPUTED_VALUE"""),10.0)</f>
        <v>10</v>
      </c>
      <c r="E2" s="17">
        <f>IFERROR(__xludf.DUMMYFUNCTION("""COMPUTED_VALUE"""),2409.0)</f>
        <v>2409</v>
      </c>
      <c r="F2" s="17">
        <f>IFERROR(__xludf.DUMMYFUNCTION("""COMPUTED_VALUE"""),2.0)</f>
        <v>2</v>
      </c>
      <c r="G2" s="62">
        <v>1.0</v>
      </c>
      <c r="H2" s="63">
        <f t="shared" ref="H2:H54" si="2">AVERAGEIFS($E$2:$E$83,$D$2:$D$83,G2)</f>
        <v>3985</v>
      </c>
      <c r="I2" s="63">
        <v>2054.5</v>
      </c>
      <c r="J2" s="21">
        <f t="shared" ref="J2:J89" si="3">IFERROR(E2-INDEX($I$2:$I$54, MATCH(D2, $G$2:$G$54, 0)), "")</f>
        <v>400.6666667</v>
      </c>
      <c r="K2" s="22">
        <f>(F2/(VLOOKUP("Peru",Poblacion!$A$2:$B$5,2,0)))*100000</f>
        <v>0.00599530897</v>
      </c>
      <c r="L2" s="22">
        <f>(J2/(VLOOKUP("Peru",Poblacion!$A$2:$B$5,2,0)))*100000</f>
        <v>1.20106023</v>
      </c>
      <c r="M2" s="65">
        <f t="shared" ref="M2:N2" si="1">K2</f>
        <v>0.00599530897</v>
      </c>
      <c r="N2" s="22">
        <f t="shared" si="1"/>
        <v>1.20106023</v>
      </c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tr">
        <f>IFERROR(__xludf.DUMMYFUNCTION("""COMPUTED_VALUE"""),"Peru")</f>
        <v>Peru</v>
      </c>
      <c r="B3" s="74">
        <f>IFERROR(__xludf.DUMMYFUNCTION("""COMPUTED_VALUE"""),43899.0)</f>
        <v>43899</v>
      </c>
      <c r="C3" s="19">
        <f>IFERROR(__xludf.DUMMYFUNCTION("""COMPUTED_VALUE"""),43905.0)</f>
        <v>43905</v>
      </c>
      <c r="D3" s="17">
        <f>IFERROR(__xludf.DUMMYFUNCTION("""COMPUTED_VALUE"""),11.0)</f>
        <v>11</v>
      </c>
      <c r="E3" s="17">
        <f>IFERROR(__xludf.DUMMYFUNCTION("""COMPUTED_VALUE"""),2469.0)</f>
        <v>2469</v>
      </c>
      <c r="F3" s="17">
        <f>IFERROR(__xludf.DUMMYFUNCTION("""COMPUTED_VALUE"""),3.0)</f>
        <v>3</v>
      </c>
      <c r="G3" s="62">
        <v>2.0</v>
      </c>
      <c r="H3" s="63">
        <f t="shared" si="2"/>
        <v>4638</v>
      </c>
      <c r="I3" s="63">
        <v>2051.5</v>
      </c>
      <c r="J3" s="21">
        <f t="shared" si="3"/>
        <v>417.3333333</v>
      </c>
      <c r="K3" s="22">
        <f>(F3/(VLOOKUP("Peru",Poblacion!$A$2:$B$5,2,0)))*100000</f>
        <v>0.008992963456</v>
      </c>
      <c r="L3" s="22">
        <f>(J3/(VLOOKUP("Peru",Poblacion!$A$2:$B$5,2,0)))*100000</f>
        <v>1.251021139</v>
      </c>
      <c r="M3" s="65">
        <f t="shared" ref="M3:N3" si="4">K3+M2</f>
        <v>0.01498827243</v>
      </c>
      <c r="N3" s="22">
        <f t="shared" si="4"/>
        <v>2.452081369</v>
      </c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tr">
        <f>IFERROR(__xludf.DUMMYFUNCTION("""COMPUTED_VALUE"""),"Peru")</f>
        <v>Peru</v>
      </c>
      <c r="B4" s="74">
        <f>IFERROR(__xludf.DUMMYFUNCTION("""COMPUTED_VALUE"""),43906.0)</f>
        <v>43906</v>
      </c>
      <c r="C4" s="19">
        <f>IFERROR(__xludf.DUMMYFUNCTION("""COMPUTED_VALUE"""),43912.0)</f>
        <v>43912</v>
      </c>
      <c r="D4" s="17">
        <f>IFERROR(__xludf.DUMMYFUNCTION("""COMPUTED_VALUE"""),12.0)</f>
        <v>12</v>
      </c>
      <c r="E4" s="17">
        <f>IFERROR(__xludf.DUMMYFUNCTION("""COMPUTED_VALUE"""),2185.0)</f>
        <v>2185</v>
      </c>
      <c r="F4" s="17">
        <f>IFERROR(__xludf.DUMMYFUNCTION("""COMPUTED_VALUE"""),29.0)</f>
        <v>29</v>
      </c>
      <c r="G4" s="62">
        <v>3.0</v>
      </c>
      <c r="H4" s="63">
        <f t="shared" si="2"/>
        <v>5704</v>
      </c>
      <c r="I4" s="63">
        <v>2030.75</v>
      </c>
      <c r="J4" s="21">
        <f t="shared" si="3"/>
        <v>189</v>
      </c>
      <c r="K4" s="22">
        <f>(F4/(VLOOKUP("Peru",Poblacion!$A$2:$B$5,2,0)))*100000</f>
        <v>0.08693198007</v>
      </c>
      <c r="L4" s="22">
        <f>(J4/(VLOOKUP("Peru",Poblacion!$A$2:$B$5,2,0)))*100000</f>
        <v>0.5665566977</v>
      </c>
      <c r="M4" s="65">
        <f t="shared" ref="M4:N4" si="5">K4+M3</f>
        <v>0.1019202525</v>
      </c>
      <c r="N4" s="22">
        <f t="shared" si="5"/>
        <v>3.018638067</v>
      </c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tr">
        <f>IFERROR(__xludf.DUMMYFUNCTION("""COMPUTED_VALUE"""),"Peru")</f>
        <v>Peru</v>
      </c>
      <c r="B5" s="74">
        <f>IFERROR(__xludf.DUMMYFUNCTION("""COMPUTED_VALUE"""),43913.0)</f>
        <v>43913</v>
      </c>
      <c r="C5" s="19">
        <f>IFERROR(__xludf.DUMMYFUNCTION("""COMPUTED_VALUE"""),43919.0)</f>
        <v>43919</v>
      </c>
      <c r="D5" s="17">
        <f>IFERROR(__xludf.DUMMYFUNCTION("""COMPUTED_VALUE"""),13.0)</f>
        <v>13</v>
      </c>
      <c r="E5" s="17">
        <f>IFERROR(__xludf.DUMMYFUNCTION("""COMPUTED_VALUE"""),2150.0)</f>
        <v>2150</v>
      </c>
      <c r="F5" s="17">
        <f>IFERROR(__xludf.DUMMYFUNCTION("""COMPUTED_VALUE"""),61.0)</f>
        <v>61</v>
      </c>
      <c r="G5" s="62">
        <v>4.0</v>
      </c>
      <c r="H5" s="63">
        <f t="shared" si="2"/>
        <v>6707</v>
      </c>
      <c r="I5" s="63">
        <v>2049.25</v>
      </c>
      <c r="J5" s="21">
        <f t="shared" si="3"/>
        <v>190</v>
      </c>
      <c r="K5" s="22">
        <f>(F5/(VLOOKUP("Peru",Poblacion!$A$2:$B$5,2,0)))*100000</f>
        <v>0.1828569236</v>
      </c>
      <c r="L5" s="22">
        <f>(J5/(VLOOKUP("Peru",Poblacion!$A$2:$B$5,2,0)))*100000</f>
        <v>0.5695543522</v>
      </c>
      <c r="M5" s="65">
        <f t="shared" ref="M5:N5" si="6">K5+M4</f>
        <v>0.2847771761</v>
      </c>
      <c r="N5" s="22">
        <f t="shared" si="6"/>
        <v>3.588192419</v>
      </c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tr">
        <f>IFERROR(__xludf.DUMMYFUNCTION("""COMPUTED_VALUE"""),"Peru")</f>
        <v>Peru</v>
      </c>
      <c r="B6" s="74">
        <f>IFERROR(__xludf.DUMMYFUNCTION("""COMPUTED_VALUE"""),43920.0)</f>
        <v>43920</v>
      </c>
      <c r="C6" s="19">
        <f>IFERROR(__xludf.DUMMYFUNCTION("""COMPUTED_VALUE"""),43926.0)</f>
        <v>43926</v>
      </c>
      <c r="D6" s="17">
        <f>IFERROR(__xludf.DUMMYFUNCTION("""COMPUTED_VALUE"""),14.0)</f>
        <v>14</v>
      </c>
      <c r="E6" s="17">
        <f>IFERROR(__xludf.DUMMYFUNCTION("""COMPUTED_VALUE"""),2390.0)</f>
        <v>2390</v>
      </c>
      <c r="F6" s="17">
        <f>IFERROR(__xludf.DUMMYFUNCTION("""COMPUTED_VALUE"""),222.0)</f>
        <v>222</v>
      </c>
      <c r="G6" s="62">
        <v>5.0</v>
      </c>
      <c r="H6" s="63">
        <f t="shared" si="2"/>
        <v>7021</v>
      </c>
      <c r="I6" s="63">
        <v>2092.25</v>
      </c>
      <c r="J6" s="21">
        <f t="shared" si="3"/>
        <v>422</v>
      </c>
      <c r="K6" s="22">
        <f>(F6/(VLOOKUP("Peru",Poblacion!$A$2:$B$5,2,0)))*100000</f>
        <v>0.6654792957</v>
      </c>
      <c r="L6" s="22">
        <f>(J6/(VLOOKUP("Peru",Poblacion!$A$2:$B$5,2,0)))*100000</f>
        <v>1.265010193</v>
      </c>
      <c r="M6" s="65">
        <f t="shared" ref="M6:N6" si="7">K6+M5</f>
        <v>0.9502564718</v>
      </c>
      <c r="N6" s="22">
        <f t="shared" si="7"/>
        <v>4.853202612</v>
      </c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tr">
        <f>IFERROR(__xludf.DUMMYFUNCTION("""COMPUTED_VALUE"""),"Peru")</f>
        <v>Peru</v>
      </c>
      <c r="B7" s="74">
        <f>IFERROR(__xludf.DUMMYFUNCTION("""COMPUTED_VALUE"""),43927.0)</f>
        <v>43927</v>
      </c>
      <c r="C7" s="19">
        <f>IFERROR(__xludf.DUMMYFUNCTION("""COMPUTED_VALUE"""),43933.0)</f>
        <v>43933</v>
      </c>
      <c r="D7" s="17">
        <f>IFERROR(__xludf.DUMMYFUNCTION("""COMPUTED_VALUE"""),15.0)</f>
        <v>15</v>
      </c>
      <c r="E7" s="17">
        <f>IFERROR(__xludf.DUMMYFUNCTION("""COMPUTED_VALUE"""),2514.0)</f>
        <v>2514</v>
      </c>
      <c r="F7" s="17">
        <f>IFERROR(__xludf.DUMMYFUNCTION("""COMPUTED_VALUE"""),529.0)</f>
        <v>529</v>
      </c>
      <c r="G7" s="62">
        <v>6.0</v>
      </c>
      <c r="H7" s="63">
        <f t="shared" si="2"/>
        <v>7687</v>
      </c>
      <c r="I7" s="63">
        <v>2058.25</v>
      </c>
      <c r="J7" s="21">
        <f t="shared" si="3"/>
        <v>617.6666667</v>
      </c>
      <c r="K7" s="22">
        <f>(F7/(VLOOKUP("Peru",Poblacion!$A$2:$B$5,2,0)))*100000</f>
        <v>1.585759223</v>
      </c>
      <c r="L7" s="22">
        <f>(J7/(VLOOKUP("Peru",Poblacion!$A$2:$B$5,2,0)))*100000</f>
        <v>1.851551254</v>
      </c>
      <c r="M7" s="65">
        <f t="shared" ref="M7:N7" si="8">K7+M6</f>
        <v>2.536015695</v>
      </c>
      <c r="N7" s="22">
        <f t="shared" si="8"/>
        <v>6.704753865</v>
      </c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tr">
        <f>IFERROR(__xludf.DUMMYFUNCTION("""COMPUTED_VALUE"""),"Peru")</f>
        <v>Peru</v>
      </c>
      <c r="B8" s="74">
        <f>IFERROR(__xludf.DUMMYFUNCTION("""COMPUTED_VALUE"""),43934.0)</f>
        <v>43934</v>
      </c>
      <c r="C8" s="19">
        <f>IFERROR(__xludf.DUMMYFUNCTION("""COMPUTED_VALUE"""),43940.0)</f>
        <v>43940</v>
      </c>
      <c r="D8" s="17">
        <f>IFERROR(__xludf.DUMMYFUNCTION("""COMPUTED_VALUE"""),16.0)</f>
        <v>16</v>
      </c>
      <c r="E8" s="17">
        <f>IFERROR(__xludf.DUMMYFUNCTION("""COMPUTED_VALUE"""),3096.0)</f>
        <v>3096</v>
      </c>
      <c r="F8" s="17">
        <f>IFERROR(__xludf.DUMMYFUNCTION("""COMPUTED_VALUE"""),940.0)</f>
        <v>940</v>
      </c>
      <c r="G8" s="62">
        <v>7.0</v>
      </c>
      <c r="H8" s="63">
        <f t="shared" si="2"/>
        <v>7711</v>
      </c>
      <c r="I8" s="63">
        <v>2086.0</v>
      </c>
      <c r="J8" s="21">
        <f t="shared" si="3"/>
        <v>1120</v>
      </c>
      <c r="K8" s="22">
        <f>(F8/(VLOOKUP("Peru",Poblacion!$A$2:$B$5,2,0)))*100000</f>
        <v>2.817795216</v>
      </c>
      <c r="L8" s="22">
        <f>(J8/(VLOOKUP("Peru",Poblacion!$A$2:$B$5,2,0)))*100000</f>
        <v>3.357373023</v>
      </c>
      <c r="M8" s="65">
        <f t="shared" ref="M8:N8" si="9">K8+M7</f>
        <v>5.353810911</v>
      </c>
      <c r="N8" s="22">
        <f t="shared" si="9"/>
        <v>10.06212689</v>
      </c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tr">
        <f>IFERROR(__xludf.DUMMYFUNCTION("""COMPUTED_VALUE"""),"Peru")</f>
        <v>Peru</v>
      </c>
      <c r="B9" s="74">
        <f>IFERROR(__xludf.DUMMYFUNCTION("""COMPUTED_VALUE"""),43941.0)</f>
        <v>43941</v>
      </c>
      <c r="C9" s="19">
        <f>IFERROR(__xludf.DUMMYFUNCTION("""COMPUTED_VALUE"""),43947.0)</f>
        <v>43947</v>
      </c>
      <c r="D9" s="17">
        <f>IFERROR(__xludf.DUMMYFUNCTION("""COMPUTED_VALUE"""),17.0)</f>
        <v>17</v>
      </c>
      <c r="E9" s="17">
        <f>IFERROR(__xludf.DUMMYFUNCTION("""COMPUTED_VALUE"""),3881.0)</f>
        <v>3881</v>
      </c>
      <c r="F9" s="17">
        <f>IFERROR(__xludf.DUMMYFUNCTION("""COMPUTED_VALUE"""),1702.0)</f>
        <v>1702</v>
      </c>
      <c r="G9" s="62">
        <v>8.0</v>
      </c>
      <c r="H9" s="63">
        <f t="shared" si="2"/>
        <v>7393</v>
      </c>
      <c r="I9" s="63">
        <v>2136.0</v>
      </c>
      <c r="J9" s="21">
        <f t="shared" si="3"/>
        <v>1981.333333</v>
      </c>
      <c r="K9" s="22">
        <f>(F9/(VLOOKUP("Peru",Poblacion!$A$2:$B$5,2,0)))*100000</f>
        <v>5.102007934</v>
      </c>
      <c r="L9" s="22">
        <f>(J9/(VLOOKUP("Peru",Poblacion!$A$2:$B$5,2,0)))*100000</f>
        <v>5.939352753</v>
      </c>
      <c r="M9" s="65">
        <f t="shared" ref="M9:N9" si="10">K9+M8</f>
        <v>10.45581884</v>
      </c>
      <c r="N9" s="22">
        <f t="shared" si="10"/>
        <v>16.00147964</v>
      </c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tr">
        <f>IFERROR(__xludf.DUMMYFUNCTION("""COMPUTED_VALUE"""),"Peru")</f>
        <v>Peru</v>
      </c>
      <c r="B10" s="74">
        <f>IFERROR(__xludf.DUMMYFUNCTION("""COMPUTED_VALUE"""),43948.0)</f>
        <v>43948</v>
      </c>
      <c r="C10" s="19">
        <f>IFERROR(__xludf.DUMMYFUNCTION("""COMPUTED_VALUE"""),43954.0)</f>
        <v>43954</v>
      </c>
      <c r="D10" s="17">
        <f>IFERROR(__xludf.DUMMYFUNCTION("""COMPUTED_VALUE"""),18.0)</f>
        <v>18</v>
      </c>
      <c r="E10" s="17">
        <f>IFERROR(__xludf.DUMMYFUNCTION("""COMPUTED_VALUE"""),4752.0)</f>
        <v>4752</v>
      </c>
      <c r="F10" s="17">
        <f>IFERROR(__xludf.DUMMYFUNCTION("""COMPUTED_VALUE"""),2516.0)</f>
        <v>2516</v>
      </c>
      <c r="G10" s="62">
        <v>9.0</v>
      </c>
      <c r="H10" s="63">
        <f t="shared" si="2"/>
        <v>7500</v>
      </c>
      <c r="I10" s="63">
        <v>2197.0</v>
      </c>
      <c r="J10" s="21">
        <f t="shared" si="3"/>
        <v>2768.333333</v>
      </c>
      <c r="K10" s="22">
        <f>(F10/(VLOOKUP("Peru",Poblacion!$A$2:$B$5,2,0)))*100000</f>
        <v>7.542098685</v>
      </c>
      <c r="L10" s="22">
        <f>(J10/(VLOOKUP("Peru",Poblacion!$A$2:$B$5,2,0)))*100000</f>
        <v>8.298506833</v>
      </c>
      <c r="M10" s="65">
        <f t="shared" ref="M10:N10" si="11">K10+M9</f>
        <v>17.99791753</v>
      </c>
      <c r="N10" s="22">
        <f t="shared" si="11"/>
        <v>24.29998648</v>
      </c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tr">
        <f>IFERROR(__xludf.DUMMYFUNCTION("""COMPUTED_VALUE"""),"Peru")</f>
        <v>Peru</v>
      </c>
      <c r="B11" s="74">
        <f>IFERROR(__xludf.DUMMYFUNCTION("""COMPUTED_VALUE"""),43955.0)</f>
        <v>43955</v>
      </c>
      <c r="C11" s="19">
        <f>IFERROR(__xludf.DUMMYFUNCTION("""COMPUTED_VALUE"""),43961.0)</f>
        <v>43961</v>
      </c>
      <c r="D11" s="17">
        <f>IFERROR(__xludf.DUMMYFUNCTION("""COMPUTED_VALUE"""),19.0)</f>
        <v>19</v>
      </c>
      <c r="E11" s="17">
        <f>IFERROR(__xludf.DUMMYFUNCTION("""COMPUTED_VALUE"""),5451.0)</f>
        <v>5451</v>
      </c>
      <c r="F11" s="17">
        <f>IFERROR(__xludf.DUMMYFUNCTION("""COMPUTED_VALUE"""),3254.0)</f>
        <v>3254</v>
      </c>
      <c r="G11" s="62">
        <v>10.0</v>
      </c>
      <c r="H11" s="63">
        <f t="shared" si="2"/>
        <v>4894</v>
      </c>
      <c r="I11" s="63">
        <v>2008.3333333333333</v>
      </c>
      <c r="J11" s="21">
        <f t="shared" si="3"/>
        <v>3540</v>
      </c>
      <c r="K11" s="22">
        <f>(F11/(VLOOKUP("Peru",Poblacion!$A$2:$B$5,2,0)))*100000</f>
        <v>9.754367695</v>
      </c>
      <c r="L11" s="22">
        <f>(J11/(VLOOKUP("Peru",Poblacion!$A$2:$B$5,2,0)))*100000</f>
        <v>10.61169688</v>
      </c>
      <c r="M11" s="65">
        <f t="shared" ref="M11:N11" si="12">K11+M10</f>
        <v>27.75228522</v>
      </c>
      <c r="N11" s="22">
        <f t="shared" si="12"/>
        <v>34.91168335</v>
      </c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tr">
        <f>IFERROR(__xludf.DUMMYFUNCTION("""COMPUTED_VALUE"""),"Peru")</f>
        <v>Peru</v>
      </c>
      <c r="B12" s="74">
        <f>IFERROR(__xludf.DUMMYFUNCTION("""COMPUTED_VALUE"""),43962.0)</f>
        <v>43962</v>
      </c>
      <c r="C12" s="19">
        <f>IFERROR(__xludf.DUMMYFUNCTION("""COMPUTED_VALUE"""),43968.0)</f>
        <v>43968</v>
      </c>
      <c r="D12" s="17">
        <f>IFERROR(__xludf.DUMMYFUNCTION("""COMPUTED_VALUE"""),20.0)</f>
        <v>20</v>
      </c>
      <c r="E12" s="17">
        <f>IFERROR(__xludf.DUMMYFUNCTION("""COMPUTED_VALUE"""),5967.0)</f>
        <v>5967</v>
      </c>
      <c r="F12" s="17">
        <f>IFERROR(__xludf.DUMMYFUNCTION("""COMPUTED_VALUE"""),3577.0)</f>
        <v>3577</v>
      </c>
      <c r="G12" s="62">
        <v>11.0</v>
      </c>
      <c r="H12" s="63">
        <f t="shared" si="2"/>
        <v>4948</v>
      </c>
      <c r="I12" s="63">
        <v>2051.6666666666665</v>
      </c>
      <c r="J12" s="21">
        <f t="shared" si="3"/>
        <v>3983</v>
      </c>
      <c r="K12" s="22">
        <f>(F12/(VLOOKUP("Peru",Poblacion!$A$2:$B$5,2,0)))*100000</f>
        <v>10.72261009</v>
      </c>
      <c r="L12" s="22">
        <f>(J12/(VLOOKUP("Peru",Poblacion!$A$2:$B$5,2,0)))*100000</f>
        <v>11.93965781</v>
      </c>
      <c r="M12" s="65">
        <f t="shared" ref="M12:N12" si="13">K12+M11</f>
        <v>38.47489532</v>
      </c>
      <c r="N12" s="22">
        <f t="shared" si="13"/>
        <v>46.85134117</v>
      </c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tr">
        <f>IFERROR(__xludf.DUMMYFUNCTION("""COMPUTED_VALUE"""),"Peru")</f>
        <v>Peru</v>
      </c>
      <c r="B13" s="74">
        <f>IFERROR(__xludf.DUMMYFUNCTION("""COMPUTED_VALUE"""),43969.0)</f>
        <v>43969</v>
      </c>
      <c r="C13" s="19">
        <f>IFERROR(__xludf.DUMMYFUNCTION("""COMPUTED_VALUE"""),43975.0)</f>
        <v>43975</v>
      </c>
      <c r="D13" s="17">
        <f>IFERROR(__xludf.DUMMYFUNCTION("""COMPUTED_VALUE"""),21.0)</f>
        <v>21</v>
      </c>
      <c r="E13" s="17">
        <f>IFERROR(__xludf.DUMMYFUNCTION("""COMPUTED_VALUE"""),6347.0)</f>
        <v>6347</v>
      </c>
      <c r="F13" s="17">
        <f>IFERROR(__xludf.DUMMYFUNCTION("""COMPUTED_VALUE"""),3809.0)</f>
        <v>3809</v>
      </c>
      <c r="G13" s="62">
        <v>12.0</v>
      </c>
      <c r="H13" s="63">
        <f t="shared" si="2"/>
        <v>4877.5</v>
      </c>
      <c r="I13" s="63">
        <v>1996.0</v>
      </c>
      <c r="J13" s="21">
        <f t="shared" si="3"/>
        <v>4313</v>
      </c>
      <c r="K13" s="22">
        <f>(F13/(VLOOKUP("Peru",Poblacion!$A$2:$B$5,2,0)))*100000</f>
        <v>11.41806593</v>
      </c>
      <c r="L13" s="22">
        <f>(J13/(VLOOKUP("Peru",Poblacion!$A$2:$B$5,2,0)))*100000</f>
        <v>12.92888379</v>
      </c>
      <c r="M13" s="65">
        <f t="shared" ref="M13:N13" si="14">K13+M12</f>
        <v>49.89296125</v>
      </c>
      <c r="N13" s="22">
        <f t="shared" si="14"/>
        <v>59.78022496</v>
      </c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tr">
        <f>IFERROR(__xludf.DUMMYFUNCTION("""COMPUTED_VALUE"""),"Peru")</f>
        <v>Peru</v>
      </c>
      <c r="B14" s="74">
        <f>IFERROR(__xludf.DUMMYFUNCTION("""COMPUTED_VALUE"""),43976.0)</f>
        <v>43976</v>
      </c>
      <c r="C14" s="19">
        <f>IFERROR(__xludf.DUMMYFUNCTION("""COMPUTED_VALUE"""),43982.0)</f>
        <v>43982</v>
      </c>
      <c r="D14" s="17">
        <f>IFERROR(__xludf.DUMMYFUNCTION("""COMPUTED_VALUE"""),22.0)</f>
        <v>22</v>
      </c>
      <c r="E14" s="17">
        <f>IFERROR(__xludf.DUMMYFUNCTION("""COMPUTED_VALUE"""),6554.0)</f>
        <v>6554</v>
      </c>
      <c r="F14" s="17">
        <f>IFERROR(__xludf.DUMMYFUNCTION("""COMPUTED_VALUE"""),4066.0)</f>
        <v>4066</v>
      </c>
      <c r="G14" s="62">
        <v>13.0</v>
      </c>
      <c r="H14" s="63">
        <f t="shared" si="2"/>
        <v>5025</v>
      </c>
      <c r="I14" s="63">
        <v>1960.0</v>
      </c>
      <c r="J14" s="21">
        <f t="shared" si="3"/>
        <v>4504</v>
      </c>
      <c r="K14" s="22">
        <f>(F14/(VLOOKUP("Peru",Poblacion!$A$2:$B$5,2,0)))*100000</f>
        <v>12.18846314</v>
      </c>
      <c r="L14" s="22">
        <f>(J14/(VLOOKUP("Peru",Poblacion!$A$2:$B$5,2,0)))*100000</f>
        <v>13.5014358</v>
      </c>
      <c r="M14" s="65">
        <f t="shared" ref="M14:N14" si="15">K14+M13</f>
        <v>62.08142439</v>
      </c>
      <c r="N14" s="22">
        <f t="shared" si="15"/>
        <v>73.28166076</v>
      </c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tr">
        <f>IFERROR(__xludf.DUMMYFUNCTION("""COMPUTED_VALUE"""),"Peru")</f>
        <v>Peru</v>
      </c>
      <c r="B15" s="74">
        <f>IFERROR(__xludf.DUMMYFUNCTION("""COMPUTED_VALUE"""),43983.0)</f>
        <v>43983</v>
      </c>
      <c r="C15" s="19">
        <f>IFERROR(__xludf.DUMMYFUNCTION("""COMPUTED_VALUE"""),43989.0)</f>
        <v>43989</v>
      </c>
      <c r="D15" s="17">
        <f>IFERROR(__xludf.DUMMYFUNCTION("""COMPUTED_VALUE"""),23.0)</f>
        <v>23</v>
      </c>
      <c r="E15" s="17">
        <f>IFERROR(__xludf.DUMMYFUNCTION("""COMPUTED_VALUE"""),6647.0)</f>
        <v>6647</v>
      </c>
      <c r="F15" s="17">
        <f>IFERROR(__xludf.DUMMYFUNCTION("""COMPUTED_VALUE"""),4124.0)</f>
        <v>4124</v>
      </c>
      <c r="G15" s="62">
        <v>14.0</v>
      </c>
      <c r="H15" s="63">
        <f t="shared" si="2"/>
        <v>5429</v>
      </c>
      <c r="I15" s="63">
        <v>1968.0</v>
      </c>
      <c r="J15" s="21">
        <f t="shared" si="3"/>
        <v>4512</v>
      </c>
      <c r="K15" s="22">
        <f>(F15/(VLOOKUP("Peru",Poblacion!$A$2:$B$5,2,0)))*100000</f>
        <v>12.3623271</v>
      </c>
      <c r="L15" s="22">
        <f>(J15/(VLOOKUP("Peru",Poblacion!$A$2:$B$5,2,0)))*100000</f>
        <v>13.52541704</v>
      </c>
      <c r="M15" s="65">
        <f t="shared" ref="M15:N15" si="16">K15+M14</f>
        <v>74.44375149</v>
      </c>
      <c r="N15" s="22">
        <f t="shared" si="16"/>
        <v>86.8070778</v>
      </c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tr">
        <f>IFERROR(__xludf.DUMMYFUNCTION("""COMPUTED_VALUE"""),"Peru")</f>
        <v>Peru</v>
      </c>
      <c r="B16" s="74">
        <f>IFERROR(__xludf.DUMMYFUNCTION("""COMPUTED_VALUE"""),43990.0)</f>
        <v>43990</v>
      </c>
      <c r="C16" s="19">
        <f>IFERROR(__xludf.DUMMYFUNCTION("""COMPUTED_VALUE"""),43996.0)</f>
        <v>43996</v>
      </c>
      <c r="D16" s="17">
        <f>IFERROR(__xludf.DUMMYFUNCTION("""COMPUTED_VALUE"""),24.0)</f>
        <v>24</v>
      </c>
      <c r="E16" s="17">
        <f>IFERROR(__xludf.DUMMYFUNCTION("""COMPUTED_VALUE"""),6725.0)</f>
        <v>6725</v>
      </c>
      <c r="F16" s="17">
        <f>IFERROR(__xludf.DUMMYFUNCTION("""COMPUTED_VALUE"""),4176.0)</f>
        <v>4176</v>
      </c>
      <c r="G16" s="62">
        <v>15.0</v>
      </c>
      <c r="H16" s="63">
        <f t="shared" si="2"/>
        <v>5470</v>
      </c>
      <c r="I16" s="63">
        <v>1896.3333333333333</v>
      </c>
      <c r="J16" s="21">
        <f t="shared" si="3"/>
        <v>4575</v>
      </c>
      <c r="K16" s="22">
        <f>(F16/(VLOOKUP("Peru",Poblacion!$A$2:$B$5,2,0)))*100000</f>
        <v>12.51820513</v>
      </c>
      <c r="L16" s="22">
        <f>(J16/(VLOOKUP("Peru",Poblacion!$A$2:$B$5,2,0)))*100000</f>
        <v>13.71426927</v>
      </c>
      <c r="M16" s="65">
        <f t="shared" ref="M16:N16" si="17">K16+M15</f>
        <v>86.96195662</v>
      </c>
      <c r="N16" s="22">
        <f t="shared" si="17"/>
        <v>100.5213471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tr">
        <f>IFERROR(__xludf.DUMMYFUNCTION("""COMPUTED_VALUE"""),"Peru")</f>
        <v>Peru</v>
      </c>
      <c r="B17" s="74">
        <f>IFERROR(__xludf.DUMMYFUNCTION("""COMPUTED_VALUE"""),43997.0)</f>
        <v>43997</v>
      </c>
      <c r="C17" s="19">
        <f>IFERROR(__xludf.DUMMYFUNCTION("""COMPUTED_VALUE"""),44003.0)</f>
        <v>44003</v>
      </c>
      <c r="D17" s="17">
        <f>IFERROR(__xludf.DUMMYFUNCTION("""COMPUTED_VALUE"""),25.0)</f>
        <v>25</v>
      </c>
      <c r="E17" s="17">
        <f>IFERROR(__xludf.DUMMYFUNCTION("""COMPUTED_VALUE"""),6593.0)</f>
        <v>6593</v>
      </c>
      <c r="F17" s="17">
        <f>IFERROR(__xludf.DUMMYFUNCTION("""COMPUTED_VALUE"""),4330.0)</f>
        <v>4330</v>
      </c>
      <c r="G17" s="62">
        <v>16.0</v>
      </c>
      <c r="H17" s="63">
        <f t="shared" si="2"/>
        <v>5671</v>
      </c>
      <c r="I17" s="63">
        <v>1976.0</v>
      </c>
      <c r="J17" s="21">
        <f t="shared" si="3"/>
        <v>4369.666667</v>
      </c>
      <c r="K17" s="22">
        <f>(F17/(VLOOKUP("Peru",Poblacion!$A$2:$B$5,2,0)))*100000</f>
        <v>12.97984392</v>
      </c>
      <c r="L17" s="22">
        <f>(J17/(VLOOKUP("Peru",Poblacion!$A$2:$B$5,2,0)))*100000</f>
        <v>13.09875088</v>
      </c>
      <c r="M17" s="65">
        <f t="shared" ref="M17:N17" si="18">K17+M16</f>
        <v>99.94180054</v>
      </c>
      <c r="N17" s="22">
        <f t="shared" si="18"/>
        <v>113.620098</v>
      </c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tr">
        <f>IFERROR(__xludf.DUMMYFUNCTION("""COMPUTED_VALUE"""),"Peru")</f>
        <v>Peru</v>
      </c>
      <c r="B18" s="74">
        <f>IFERROR(__xludf.DUMMYFUNCTION("""COMPUTED_VALUE"""),44004.0)</f>
        <v>44004</v>
      </c>
      <c r="C18" s="19">
        <f>IFERROR(__xludf.DUMMYFUNCTION("""COMPUTED_VALUE"""),44010.0)</f>
        <v>44010</v>
      </c>
      <c r="D18" s="17">
        <f>IFERROR(__xludf.DUMMYFUNCTION("""COMPUTED_VALUE"""),26.0)</f>
        <v>26</v>
      </c>
      <c r="E18" s="17">
        <f>IFERROR(__xludf.DUMMYFUNCTION("""COMPUTED_VALUE"""),6159.0)</f>
        <v>6159</v>
      </c>
      <c r="F18" s="17">
        <f>IFERROR(__xludf.DUMMYFUNCTION("""COMPUTED_VALUE"""),3530.0)</f>
        <v>3530</v>
      </c>
      <c r="G18" s="62">
        <v>17.0</v>
      </c>
      <c r="H18" s="63">
        <f t="shared" si="2"/>
        <v>5788</v>
      </c>
      <c r="I18" s="63">
        <v>1899.6666666666667</v>
      </c>
      <c r="J18" s="21">
        <f t="shared" si="3"/>
        <v>3958.666667</v>
      </c>
      <c r="K18" s="22">
        <f>(F18/(VLOOKUP("Peru",Poblacion!$A$2:$B$5,2,0)))*100000</f>
        <v>10.58172033</v>
      </c>
      <c r="L18" s="22">
        <f>(J18/(VLOOKUP("Peru",Poblacion!$A$2:$B$5,2,0)))*100000</f>
        <v>11.86671489</v>
      </c>
      <c r="M18" s="65">
        <f t="shared" ref="M18:N18" si="19">K18+M17</f>
        <v>110.5235209</v>
      </c>
      <c r="N18" s="22">
        <f t="shared" si="19"/>
        <v>125.4868128</v>
      </c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tr">
        <f>IFERROR(__xludf.DUMMYFUNCTION("""COMPUTED_VALUE"""),"Peru")</f>
        <v>Peru</v>
      </c>
      <c r="B19" s="74">
        <f>IFERROR(__xludf.DUMMYFUNCTION("""COMPUTED_VALUE"""),44011.0)</f>
        <v>44011</v>
      </c>
      <c r="C19" s="19">
        <f>IFERROR(__xludf.DUMMYFUNCTION("""COMPUTED_VALUE"""),44017.0)</f>
        <v>44017</v>
      </c>
      <c r="D19" s="17">
        <f>IFERROR(__xludf.DUMMYFUNCTION("""COMPUTED_VALUE"""),27.0)</f>
        <v>27</v>
      </c>
      <c r="E19" s="17">
        <f>IFERROR(__xludf.DUMMYFUNCTION("""COMPUTED_VALUE"""),6237.0)</f>
        <v>6237</v>
      </c>
      <c r="F19" s="17">
        <f>IFERROR(__xludf.DUMMYFUNCTION("""COMPUTED_VALUE"""),3755.0)</f>
        <v>3755</v>
      </c>
      <c r="G19" s="62">
        <v>18.0</v>
      </c>
      <c r="H19" s="63">
        <f t="shared" si="2"/>
        <v>5961.5</v>
      </c>
      <c r="I19" s="63">
        <v>1983.6666666666667</v>
      </c>
      <c r="J19" s="21">
        <f t="shared" si="3"/>
        <v>3997</v>
      </c>
      <c r="K19" s="22">
        <f>(F19/(VLOOKUP("Peru",Poblacion!$A$2:$B$5,2,0)))*100000</f>
        <v>11.25619259</v>
      </c>
      <c r="L19" s="22">
        <f>(J19/(VLOOKUP("Peru",Poblacion!$A$2:$B$5,2,0)))*100000</f>
        <v>11.98162498</v>
      </c>
      <c r="M19" s="65">
        <f t="shared" ref="M19:N19" si="20">K19+M18</f>
        <v>121.7797135</v>
      </c>
      <c r="N19" s="22">
        <f t="shared" si="20"/>
        <v>137.4684378</v>
      </c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tr">
        <f>IFERROR(__xludf.DUMMYFUNCTION("""COMPUTED_VALUE"""),"Peru")</f>
        <v>Peru</v>
      </c>
      <c r="B20" s="74">
        <f>IFERROR(__xludf.DUMMYFUNCTION("""COMPUTED_VALUE"""),44018.0)</f>
        <v>44018</v>
      </c>
      <c r="C20" s="19">
        <f>IFERROR(__xludf.DUMMYFUNCTION("""COMPUTED_VALUE"""),44024.0)</f>
        <v>44024</v>
      </c>
      <c r="D20" s="17">
        <f>IFERROR(__xludf.DUMMYFUNCTION("""COMPUTED_VALUE"""),28.0)</f>
        <v>28</v>
      </c>
      <c r="E20" s="17">
        <f>IFERROR(__xludf.DUMMYFUNCTION("""COMPUTED_VALUE"""),6493.0)</f>
        <v>6493</v>
      </c>
      <c r="F20" s="17">
        <f>IFERROR(__xludf.DUMMYFUNCTION("""COMPUTED_VALUE"""),3903.0)</f>
        <v>3903</v>
      </c>
      <c r="G20" s="62">
        <v>19.0</v>
      </c>
      <c r="H20" s="63">
        <f t="shared" si="2"/>
        <v>5992</v>
      </c>
      <c r="I20" s="63">
        <v>1911.0</v>
      </c>
      <c r="J20" s="21">
        <f t="shared" si="3"/>
        <v>4351.333333</v>
      </c>
      <c r="K20" s="22">
        <f>(F20/(VLOOKUP("Peru",Poblacion!$A$2:$B$5,2,0)))*100000</f>
        <v>11.69984546</v>
      </c>
      <c r="L20" s="22">
        <f>(J20/(VLOOKUP("Peru",Poblacion!$A$2:$B$5,2,0)))*100000</f>
        <v>13.04379388</v>
      </c>
      <c r="M20" s="65">
        <f t="shared" ref="M20:N20" si="21">K20+M19</f>
        <v>133.4795589</v>
      </c>
      <c r="N20" s="22">
        <f t="shared" si="21"/>
        <v>150.5122317</v>
      </c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tr">
        <f>IFERROR(__xludf.DUMMYFUNCTION("""COMPUTED_VALUE"""),"Peru")</f>
        <v>Peru</v>
      </c>
      <c r="B21" s="74">
        <f>IFERROR(__xludf.DUMMYFUNCTION("""COMPUTED_VALUE"""),44025.0)</f>
        <v>44025</v>
      </c>
      <c r="C21" s="19">
        <f>IFERROR(__xludf.DUMMYFUNCTION("""COMPUTED_VALUE"""),44031.0)</f>
        <v>44031</v>
      </c>
      <c r="D21" s="17">
        <f>IFERROR(__xludf.DUMMYFUNCTION("""COMPUTED_VALUE"""),29.0)</f>
        <v>29</v>
      </c>
      <c r="E21" s="17">
        <f>IFERROR(__xludf.DUMMYFUNCTION("""COMPUTED_VALUE"""),6763.0)</f>
        <v>6763</v>
      </c>
      <c r="F21" s="17">
        <f>IFERROR(__xludf.DUMMYFUNCTION("""COMPUTED_VALUE"""),4901.0)</f>
        <v>4901</v>
      </c>
      <c r="G21" s="62">
        <v>20.0</v>
      </c>
      <c r="H21" s="63">
        <f t="shared" si="2"/>
        <v>6010</v>
      </c>
      <c r="I21" s="63">
        <v>1984.0</v>
      </c>
      <c r="J21" s="21">
        <f t="shared" si="3"/>
        <v>4563.333333</v>
      </c>
      <c r="K21" s="22">
        <f>(F21/(VLOOKUP("Peru",Poblacion!$A$2:$B$5,2,0)))*100000</f>
        <v>14.69150463</v>
      </c>
      <c r="L21" s="22">
        <f>(J21/(VLOOKUP("Peru",Poblacion!$A$2:$B$5,2,0)))*100000</f>
        <v>13.67929663</v>
      </c>
      <c r="M21" s="65">
        <f t="shared" ref="M21:N21" si="22">K21+M20</f>
        <v>148.1710636</v>
      </c>
      <c r="N21" s="22">
        <f t="shared" si="22"/>
        <v>164.1915283</v>
      </c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tr">
        <f>IFERROR(__xludf.DUMMYFUNCTION("""COMPUTED_VALUE"""),"Peru")</f>
        <v>Peru</v>
      </c>
      <c r="B22" s="74">
        <f>IFERROR(__xludf.DUMMYFUNCTION("""COMPUTED_VALUE"""),44032.0)</f>
        <v>44032</v>
      </c>
      <c r="C22" s="19">
        <f>IFERROR(__xludf.DUMMYFUNCTION("""COMPUTED_VALUE"""),44038.0)</f>
        <v>44038</v>
      </c>
      <c r="D22" s="17">
        <f>IFERROR(__xludf.DUMMYFUNCTION("""COMPUTED_VALUE"""),30.0)</f>
        <v>30</v>
      </c>
      <c r="E22" s="17">
        <f>IFERROR(__xludf.DUMMYFUNCTION("""COMPUTED_VALUE"""),6778.0)</f>
        <v>6778</v>
      </c>
      <c r="F22" s="17">
        <f>IFERROR(__xludf.DUMMYFUNCTION("""COMPUTED_VALUE"""),3480.0)</f>
        <v>3480</v>
      </c>
      <c r="G22" s="62">
        <v>21.0</v>
      </c>
      <c r="H22" s="63">
        <f t="shared" si="2"/>
        <v>5988</v>
      </c>
      <c r="I22" s="63">
        <v>2034.0</v>
      </c>
      <c r="J22" s="21">
        <f t="shared" si="3"/>
        <v>4562.666667</v>
      </c>
      <c r="K22" s="22">
        <f>(F22/(VLOOKUP("Peru",Poblacion!$A$2:$B$5,2,0)))*100000</f>
        <v>10.43183761</v>
      </c>
      <c r="L22" s="22">
        <f>(J22/(VLOOKUP("Peru",Poblacion!$A$2:$B$5,2,0)))*100000</f>
        <v>13.6772982</v>
      </c>
      <c r="M22" s="65">
        <f t="shared" ref="M22:N22" si="23">K22+M21</f>
        <v>158.6029012</v>
      </c>
      <c r="N22" s="22">
        <f t="shared" si="23"/>
        <v>177.8688265</v>
      </c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tr">
        <f>IFERROR(__xludf.DUMMYFUNCTION("""COMPUTED_VALUE"""),"Peru")</f>
        <v>Peru</v>
      </c>
      <c r="B23" s="74">
        <f>IFERROR(__xludf.DUMMYFUNCTION("""COMPUTED_VALUE"""),44039.0)</f>
        <v>44039</v>
      </c>
      <c r="C23" s="19">
        <f>IFERROR(__xludf.DUMMYFUNCTION("""COMPUTED_VALUE"""),44045.0)</f>
        <v>44045</v>
      </c>
      <c r="D23" s="17">
        <f>IFERROR(__xludf.DUMMYFUNCTION("""COMPUTED_VALUE"""),31.0)</f>
        <v>31</v>
      </c>
      <c r="E23" s="17">
        <f>IFERROR(__xludf.DUMMYFUNCTION("""COMPUTED_VALUE"""),6918.0)</f>
        <v>6918</v>
      </c>
      <c r="F23" s="17">
        <f>IFERROR(__xludf.DUMMYFUNCTION("""COMPUTED_VALUE"""),4376.0)</f>
        <v>4376</v>
      </c>
      <c r="G23" s="62">
        <v>22.0</v>
      </c>
      <c r="H23" s="63">
        <f t="shared" si="2"/>
        <v>5922.5</v>
      </c>
      <c r="I23" s="63">
        <v>2050.0</v>
      </c>
      <c r="J23" s="21">
        <f t="shared" si="3"/>
        <v>4735.333333</v>
      </c>
      <c r="K23" s="22">
        <f>(F23/(VLOOKUP("Peru",Poblacion!$A$2:$B$5,2,0)))*100000</f>
        <v>13.11773603</v>
      </c>
      <c r="L23" s="22">
        <f>(J23/(VLOOKUP("Peru",Poblacion!$A$2:$B$5,2,0)))*100000</f>
        <v>14.19489321</v>
      </c>
      <c r="M23" s="65">
        <f t="shared" ref="M23:N23" si="24">K23+M22</f>
        <v>171.7206372</v>
      </c>
      <c r="N23" s="22">
        <f t="shared" si="24"/>
        <v>192.0637197</v>
      </c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tr">
        <f>IFERROR(__xludf.DUMMYFUNCTION("""COMPUTED_VALUE"""),"Peru")</f>
        <v>Peru</v>
      </c>
      <c r="B24" s="74">
        <f>IFERROR(__xludf.DUMMYFUNCTION("""COMPUTED_VALUE"""),44046.0)</f>
        <v>44046</v>
      </c>
      <c r="C24" s="19">
        <f>IFERROR(__xludf.DUMMYFUNCTION("""COMPUTED_VALUE"""),44052.0)</f>
        <v>44052</v>
      </c>
      <c r="D24" s="17">
        <f>IFERROR(__xludf.DUMMYFUNCTION("""COMPUTED_VALUE"""),32.0)</f>
        <v>32</v>
      </c>
      <c r="E24" s="17">
        <f>IFERROR(__xludf.DUMMYFUNCTION("""COMPUTED_VALUE"""),7120.0)</f>
        <v>7120</v>
      </c>
      <c r="F24" s="17">
        <f>IFERROR(__xludf.DUMMYFUNCTION("""COMPUTED_VALUE"""),4433.0)</f>
        <v>4433</v>
      </c>
      <c r="G24" s="62">
        <v>23.0</v>
      </c>
      <c r="H24" s="63">
        <f t="shared" si="2"/>
        <v>5686.5</v>
      </c>
      <c r="I24" s="63">
        <v>2135.0</v>
      </c>
      <c r="J24" s="21">
        <f t="shared" si="3"/>
        <v>4889.666667</v>
      </c>
      <c r="K24" s="22">
        <f>(F24/(VLOOKUP("Peru",Poblacion!$A$2:$B$5,2,0)))*100000</f>
        <v>13.28860233</v>
      </c>
      <c r="L24" s="22">
        <f>(J24/(VLOOKUP("Peru",Poblacion!$A$2:$B$5,2,0)))*100000</f>
        <v>14.65753121</v>
      </c>
      <c r="M24" s="65">
        <f t="shared" ref="M24:N24" si="25">K24+M23</f>
        <v>185.0092395</v>
      </c>
      <c r="N24" s="22">
        <f t="shared" si="25"/>
        <v>206.721251</v>
      </c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tr">
        <f>IFERROR(__xludf.DUMMYFUNCTION("""COMPUTED_VALUE"""),"Peru")</f>
        <v>Peru</v>
      </c>
      <c r="B25" s="74">
        <f>IFERROR(__xludf.DUMMYFUNCTION("""COMPUTED_VALUE"""),44053.0)</f>
        <v>44053</v>
      </c>
      <c r="C25" s="19">
        <f>IFERROR(__xludf.DUMMYFUNCTION("""COMPUTED_VALUE"""),44059.0)</f>
        <v>44059</v>
      </c>
      <c r="D25" s="17">
        <f>IFERROR(__xludf.DUMMYFUNCTION("""COMPUTED_VALUE"""),33.0)</f>
        <v>33</v>
      </c>
      <c r="E25" s="17">
        <f>IFERROR(__xludf.DUMMYFUNCTION("""COMPUTED_VALUE"""),6717.0)</f>
        <v>6717</v>
      </c>
      <c r="F25" s="17">
        <f>IFERROR(__xludf.DUMMYFUNCTION("""COMPUTED_VALUE"""),4322.0)</f>
        <v>4322</v>
      </c>
      <c r="G25" s="62">
        <v>24.0</v>
      </c>
      <c r="H25" s="63">
        <f t="shared" si="2"/>
        <v>5529</v>
      </c>
      <c r="I25" s="63">
        <v>2150.0</v>
      </c>
      <c r="J25" s="21">
        <f t="shared" si="3"/>
        <v>4582</v>
      </c>
      <c r="K25" s="22">
        <f>(F25/(VLOOKUP("Peru",Poblacion!$A$2:$B$5,2,0)))*100000</f>
        <v>12.95586269</v>
      </c>
      <c r="L25" s="22">
        <f>(J25/(VLOOKUP("Peru",Poblacion!$A$2:$B$5,2,0)))*100000</f>
        <v>13.73525285</v>
      </c>
      <c r="M25" s="65">
        <f t="shared" ref="M25:N25" si="26">K25+M24</f>
        <v>197.9651022</v>
      </c>
      <c r="N25" s="22">
        <f t="shared" si="26"/>
        <v>220.4565038</v>
      </c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tr">
        <f>IFERROR(__xludf.DUMMYFUNCTION("""COMPUTED_VALUE"""),"Peru")</f>
        <v>Peru</v>
      </c>
      <c r="B26" s="74">
        <f>IFERROR(__xludf.DUMMYFUNCTION("""COMPUTED_VALUE"""),44060.0)</f>
        <v>44060</v>
      </c>
      <c r="C26" s="19">
        <f>IFERROR(__xludf.DUMMYFUNCTION("""COMPUTED_VALUE"""),44066.0)</f>
        <v>44066</v>
      </c>
      <c r="D26" s="17">
        <f>IFERROR(__xludf.DUMMYFUNCTION("""COMPUTED_VALUE"""),34.0)</f>
        <v>34</v>
      </c>
      <c r="E26" s="17">
        <f>IFERROR(__xludf.DUMMYFUNCTION("""COMPUTED_VALUE"""),6128.0)</f>
        <v>6128</v>
      </c>
      <c r="F26" s="17">
        <f>IFERROR(__xludf.DUMMYFUNCTION("""COMPUTED_VALUE"""),3786.0)</f>
        <v>3786</v>
      </c>
      <c r="G26" s="62">
        <v>25.0</v>
      </c>
      <c r="H26" s="63">
        <f t="shared" si="2"/>
        <v>5308.5</v>
      </c>
      <c r="I26" s="63">
        <v>2223.3333333333335</v>
      </c>
      <c r="J26" s="21">
        <f t="shared" si="3"/>
        <v>4005</v>
      </c>
      <c r="K26" s="22">
        <f>(F26/(VLOOKUP("Peru",Poblacion!$A$2:$B$5,2,0)))*100000</f>
        <v>11.34911988</v>
      </c>
      <c r="L26" s="22">
        <f>(J26/(VLOOKUP("Peru",Poblacion!$A$2:$B$5,2,0)))*100000</f>
        <v>12.00560621</v>
      </c>
      <c r="M26" s="65">
        <f t="shared" ref="M26:N26" si="27">K26+M25</f>
        <v>209.3142221</v>
      </c>
      <c r="N26" s="22">
        <f t="shared" si="27"/>
        <v>232.46211</v>
      </c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tr">
        <f>IFERROR(__xludf.DUMMYFUNCTION("""COMPUTED_VALUE"""),"Peru")</f>
        <v>Peru</v>
      </c>
      <c r="B27" s="74">
        <f>IFERROR(__xludf.DUMMYFUNCTION("""COMPUTED_VALUE"""),44067.0)</f>
        <v>44067</v>
      </c>
      <c r="C27" s="19">
        <f>IFERROR(__xludf.DUMMYFUNCTION("""COMPUTED_VALUE"""),44073.0)</f>
        <v>44073</v>
      </c>
      <c r="D27" s="17">
        <f>IFERROR(__xludf.DUMMYFUNCTION("""COMPUTED_VALUE"""),35.0)</f>
        <v>35</v>
      </c>
      <c r="E27" s="17">
        <f>IFERROR(__xludf.DUMMYFUNCTION("""COMPUTED_VALUE"""),5578.0)</f>
        <v>5578</v>
      </c>
      <c r="F27" s="17">
        <f>IFERROR(__xludf.DUMMYFUNCTION("""COMPUTED_VALUE"""),3401.0)</f>
        <v>3401</v>
      </c>
      <c r="G27" s="62">
        <v>26.0</v>
      </c>
      <c r="H27" s="63">
        <f t="shared" si="2"/>
        <v>4987.5</v>
      </c>
      <c r="I27" s="63">
        <v>2200.3333333333335</v>
      </c>
      <c r="J27" s="21">
        <f t="shared" si="3"/>
        <v>3384.666667</v>
      </c>
      <c r="K27" s="22">
        <f>(F27/(VLOOKUP("Peru",Poblacion!$A$2:$B$5,2,0)))*100000</f>
        <v>10.1950229</v>
      </c>
      <c r="L27" s="22">
        <f>(J27/(VLOOKUP("Peru",Poblacion!$A$2:$B$5,2,0)))*100000</f>
        <v>10.14606121</v>
      </c>
      <c r="M27" s="65">
        <f t="shared" ref="M27:N27" si="28">K27+M26</f>
        <v>219.509245</v>
      </c>
      <c r="N27" s="22">
        <f t="shared" si="28"/>
        <v>242.6081712</v>
      </c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tr">
        <f>IFERROR(__xludf.DUMMYFUNCTION("""COMPUTED_VALUE"""),"Peru")</f>
        <v>Peru</v>
      </c>
      <c r="B28" s="74">
        <f>IFERROR(__xludf.DUMMYFUNCTION("""COMPUTED_VALUE"""),44074.0)</f>
        <v>44074</v>
      </c>
      <c r="C28" s="19">
        <f>IFERROR(__xludf.DUMMYFUNCTION("""COMPUTED_VALUE"""),44080.0)</f>
        <v>44080</v>
      </c>
      <c r="D28" s="17">
        <f>IFERROR(__xludf.DUMMYFUNCTION("""COMPUTED_VALUE"""),36.0)</f>
        <v>36</v>
      </c>
      <c r="E28" s="17">
        <f>IFERROR(__xludf.DUMMYFUNCTION("""COMPUTED_VALUE"""),4730.0)</f>
        <v>4730</v>
      </c>
      <c r="F28" s="17">
        <f>IFERROR(__xludf.DUMMYFUNCTION("""COMPUTED_VALUE"""),2674.0)</f>
        <v>2674</v>
      </c>
      <c r="G28" s="62">
        <v>27.0</v>
      </c>
      <c r="H28" s="63">
        <f t="shared" si="2"/>
        <v>4918</v>
      </c>
      <c r="I28" s="63">
        <v>2240.0</v>
      </c>
      <c r="J28" s="21">
        <f t="shared" si="3"/>
        <v>2562</v>
      </c>
      <c r="K28" s="22">
        <f>(F28/(VLOOKUP("Peru",Poblacion!$A$2:$B$5,2,0)))*100000</f>
        <v>8.015728094</v>
      </c>
      <c r="L28" s="22">
        <f>(J28/(VLOOKUP("Peru",Poblacion!$A$2:$B$5,2,0)))*100000</f>
        <v>7.679990791</v>
      </c>
      <c r="M28" s="65">
        <f t="shared" ref="M28:N28" si="29">K28+M27</f>
        <v>227.5249731</v>
      </c>
      <c r="N28" s="22">
        <f t="shared" si="29"/>
        <v>250.288162</v>
      </c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tr">
        <f>IFERROR(__xludf.DUMMYFUNCTION("""COMPUTED_VALUE"""),"Peru")</f>
        <v>Peru</v>
      </c>
      <c r="B29" s="74">
        <f>IFERROR(__xludf.DUMMYFUNCTION("""COMPUTED_VALUE"""),44081.0)</f>
        <v>44081</v>
      </c>
      <c r="C29" s="19">
        <f>IFERROR(__xludf.DUMMYFUNCTION("""COMPUTED_VALUE"""),44087.0)</f>
        <v>44087</v>
      </c>
      <c r="D29" s="17">
        <f>IFERROR(__xludf.DUMMYFUNCTION("""COMPUTED_VALUE"""),37.0)</f>
        <v>37</v>
      </c>
      <c r="E29" s="17">
        <f>IFERROR(__xludf.DUMMYFUNCTION("""COMPUTED_VALUE"""),4275.0)</f>
        <v>4275</v>
      </c>
      <c r="F29" s="17">
        <f>IFERROR(__xludf.DUMMYFUNCTION("""COMPUTED_VALUE"""),2214.0)</f>
        <v>2214</v>
      </c>
      <c r="G29" s="62">
        <v>28.0</v>
      </c>
      <c r="H29" s="63">
        <f t="shared" si="2"/>
        <v>4913</v>
      </c>
      <c r="I29" s="63">
        <v>2141.6666666666665</v>
      </c>
      <c r="J29" s="21">
        <f t="shared" si="3"/>
        <v>2100</v>
      </c>
      <c r="K29" s="22">
        <f>(F29/(VLOOKUP("Peru",Poblacion!$A$2:$B$5,2,0)))*100000</f>
        <v>6.63680703</v>
      </c>
      <c r="L29" s="22">
        <f>(J29/(VLOOKUP("Peru",Poblacion!$A$2:$B$5,2,0)))*100000</f>
        <v>6.295074419</v>
      </c>
      <c r="M29" s="65">
        <f t="shared" ref="M29:N29" si="30">K29+M28</f>
        <v>234.1617801</v>
      </c>
      <c r="N29" s="22">
        <f t="shared" si="30"/>
        <v>256.5832364</v>
      </c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tr">
        <f>IFERROR(__xludf.DUMMYFUNCTION("""COMPUTED_VALUE"""),"Peru")</f>
        <v>Peru</v>
      </c>
      <c r="B30" s="74">
        <f>IFERROR(__xludf.DUMMYFUNCTION("""COMPUTED_VALUE"""),44088.0)</f>
        <v>44088</v>
      </c>
      <c r="C30" s="19">
        <f>IFERROR(__xludf.DUMMYFUNCTION("""COMPUTED_VALUE"""),44094.0)</f>
        <v>44094</v>
      </c>
      <c r="D30" s="17">
        <f>IFERROR(__xludf.DUMMYFUNCTION("""COMPUTED_VALUE"""),38.0)</f>
        <v>38</v>
      </c>
      <c r="E30" s="17">
        <f>IFERROR(__xludf.DUMMYFUNCTION("""COMPUTED_VALUE"""),3885.0)</f>
        <v>3885</v>
      </c>
      <c r="F30" s="17">
        <f>IFERROR(__xludf.DUMMYFUNCTION("""COMPUTED_VALUE"""),1889.0)</f>
        <v>1889</v>
      </c>
      <c r="G30" s="62">
        <v>29.0</v>
      </c>
      <c r="H30" s="63">
        <f t="shared" si="2"/>
        <v>5006.5</v>
      </c>
      <c r="I30" s="63">
        <v>2199.6666666666665</v>
      </c>
      <c r="J30" s="21">
        <f t="shared" si="3"/>
        <v>1671.666667</v>
      </c>
      <c r="K30" s="22">
        <f>(F30/(VLOOKUP("Peru",Poblacion!$A$2:$B$5,2,0)))*100000</f>
        <v>5.662569323</v>
      </c>
      <c r="L30" s="22">
        <f>(J30/(VLOOKUP("Peru",Poblacion!$A$2:$B$5,2,0)))*100000</f>
        <v>5.011079081</v>
      </c>
      <c r="M30" s="65">
        <f t="shared" ref="M30:N30" si="31">K30+M29</f>
        <v>239.8243494</v>
      </c>
      <c r="N30" s="22">
        <f t="shared" si="31"/>
        <v>261.5943155</v>
      </c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tr">
        <f>IFERROR(__xludf.DUMMYFUNCTION("""COMPUTED_VALUE"""),"Peru")</f>
        <v>Peru</v>
      </c>
      <c r="B31" s="74">
        <f>IFERROR(__xludf.DUMMYFUNCTION("""COMPUTED_VALUE"""),44095.0)</f>
        <v>44095</v>
      </c>
      <c r="C31" s="19">
        <f>IFERROR(__xludf.DUMMYFUNCTION("""COMPUTED_VALUE"""),44101.0)</f>
        <v>44101</v>
      </c>
      <c r="D31" s="17">
        <f>IFERROR(__xludf.DUMMYFUNCTION("""COMPUTED_VALUE"""),39.0)</f>
        <v>39</v>
      </c>
      <c r="E31" s="17">
        <f>IFERROR(__xludf.DUMMYFUNCTION("""COMPUTED_VALUE"""),3483.0)</f>
        <v>3483</v>
      </c>
      <c r="F31" s="17">
        <f>IFERROR(__xludf.DUMMYFUNCTION("""COMPUTED_VALUE"""),1591.0)</f>
        <v>1591</v>
      </c>
      <c r="G31" s="62">
        <v>30.0</v>
      </c>
      <c r="H31" s="63">
        <f t="shared" si="2"/>
        <v>4971</v>
      </c>
      <c r="I31" s="63">
        <v>2215.3333333333335</v>
      </c>
      <c r="J31" s="21">
        <f t="shared" si="3"/>
        <v>1265.666667</v>
      </c>
      <c r="K31" s="22">
        <f>(F31/(VLOOKUP("Peru",Poblacion!$A$2:$B$5,2,0)))*100000</f>
        <v>4.769268286</v>
      </c>
      <c r="L31" s="22">
        <f>(J31/(VLOOKUP("Peru",Poblacion!$A$2:$B$5,2,0)))*100000</f>
        <v>3.79403136</v>
      </c>
      <c r="M31" s="65">
        <f t="shared" ref="M31:N31" si="32">K31+M30</f>
        <v>244.5936177</v>
      </c>
      <c r="N31" s="22">
        <f t="shared" si="32"/>
        <v>265.3883469</v>
      </c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tr">
        <f>IFERROR(__xludf.DUMMYFUNCTION("""COMPUTED_VALUE"""),"Peru")</f>
        <v>Peru</v>
      </c>
      <c r="B32" s="74">
        <f>IFERROR(__xludf.DUMMYFUNCTION("""COMPUTED_VALUE"""),44102.0)</f>
        <v>44102</v>
      </c>
      <c r="C32" s="19">
        <f>IFERROR(__xludf.DUMMYFUNCTION("""COMPUTED_VALUE"""),44108.0)</f>
        <v>44108</v>
      </c>
      <c r="D32" s="17">
        <f>IFERROR(__xludf.DUMMYFUNCTION("""COMPUTED_VALUE"""),40.0)</f>
        <v>40</v>
      </c>
      <c r="E32" s="17">
        <f>IFERROR(__xludf.DUMMYFUNCTION("""COMPUTED_VALUE"""),3235.0)</f>
        <v>3235</v>
      </c>
      <c r="F32" s="17">
        <f>IFERROR(__xludf.DUMMYFUNCTION("""COMPUTED_VALUE"""),1213.0)</f>
        <v>1213</v>
      </c>
      <c r="G32" s="62">
        <v>31.0</v>
      </c>
      <c r="H32" s="63">
        <f t="shared" si="2"/>
        <v>4990</v>
      </c>
      <c r="I32" s="63">
        <v>2182.6666666666665</v>
      </c>
      <c r="J32" s="21">
        <f t="shared" si="3"/>
        <v>1083.333333</v>
      </c>
      <c r="K32" s="22">
        <f>(F32/(VLOOKUP("Peru",Poblacion!$A$2:$B$5,2,0)))*100000</f>
        <v>3.636154891</v>
      </c>
      <c r="L32" s="22">
        <f>(J32/(VLOOKUP("Peru",Poblacion!$A$2:$B$5,2,0)))*100000</f>
        <v>3.247459026</v>
      </c>
      <c r="M32" s="65">
        <f t="shared" ref="M32:N32" si="33">K32+M31</f>
        <v>248.2297726</v>
      </c>
      <c r="N32" s="22">
        <f t="shared" si="33"/>
        <v>268.6358059</v>
      </c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tr">
        <f>IFERROR(__xludf.DUMMYFUNCTION("""COMPUTED_VALUE"""),"Peru")</f>
        <v>Peru</v>
      </c>
      <c r="B33" s="74">
        <f>IFERROR(__xludf.DUMMYFUNCTION("""COMPUTED_VALUE"""),44109.0)</f>
        <v>44109</v>
      </c>
      <c r="C33" s="19">
        <f>IFERROR(__xludf.DUMMYFUNCTION("""COMPUTED_VALUE"""),44115.0)</f>
        <v>44115</v>
      </c>
      <c r="D33" s="17">
        <f>IFERROR(__xludf.DUMMYFUNCTION("""COMPUTED_VALUE"""),41.0)</f>
        <v>41</v>
      </c>
      <c r="E33" s="17">
        <f>IFERROR(__xludf.DUMMYFUNCTION("""COMPUTED_VALUE"""),3147.0)</f>
        <v>3147</v>
      </c>
      <c r="F33" s="17">
        <f>IFERROR(__xludf.DUMMYFUNCTION("""COMPUTED_VALUE"""),1170.0)</f>
        <v>1170</v>
      </c>
      <c r="G33" s="62">
        <v>32.0</v>
      </c>
      <c r="H33" s="63">
        <f t="shared" si="2"/>
        <v>5116</v>
      </c>
      <c r="I33" s="63">
        <v>2230.3333333333335</v>
      </c>
      <c r="J33" s="21">
        <f t="shared" si="3"/>
        <v>955.3333333</v>
      </c>
      <c r="K33" s="22">
        <f>(F33/(VLOOKUP("Peru",Poblacion!$A$2:$B$5,2,0)))*100000</f>
        <v>3.507255748</v>
      </c>
      <c r="L33" s="22">
        <f>(J33/(VLOOKUP("Peru",Poblacion!$A$2:$B$5,2,0)))*100000</f>
        <v>2.863759252</v>
      </c>
      <c r="M33" s="65">
        <f t="shared" ref="M33:N33" si="34">K33+M32</f>
        <v>251.7370284</v>
      </c>
      <c r="N33" s="22">
        <f t="shared" si="34"/>
        <v>271.4995652</v>
      </c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tr">
        <f>IFERROR(__xludf.DUMMYFUNCTION("""COMPUTED_VALUE"""),"Peru")</f>
        <v>Peru</v>
      </c>
      <c r="B34" s="74">
        <f>IFERROR(__xludf.DUMMYFUNCTION("""COMPUTED_VALUE"""),44116.0)</f>
        <v>44116</v>
      </c>
      <c r="C34" s="19">
        <f>IFERROR(__xludf.DUMMYFUNCTION("""COMPUTED_VALUE"""),44122.0)</f>
        <v>44122</v>
      </c>
      <c r="D34" s="17">
        <f>IFERROR(__xludf.DUMMYFUNCTION("""COMPUTED_VALUE"""),42.0)</f>
        <v>42</v>
      </c>
      <c r="E34" s="17">
        <f>IFERROR(__xludf.DUMMYFUNCTION("""COMPUTED_VALUE"""),3001.0)</f>
        <v>3001</v>
      </c>
      <c r="F34" s="17">
        <f>IFERROR(__xludf.DUMMYFUNCTION("""COMPUTED_VALUE"""),978.0)</f>
        <v>978</v>
      </c>
      <c r="G34" s="62">
        <v>33.0</v>
      </c>
      <c r="H34" s="63">
        <f t="shared" si="2"/>
        <v>4826.5</v>
      </c>
      <c r="I34" s="63">
        <v>2135.0</v>
      </c>
      <c r="J34" s="21">
        <f t="shared" si="3"/>
        <v>768</v>
      </c>
      <c r="K34" s="22">
        <f>(F34/(VLOOKUP("Peru",Poblacion!$A$2:$B$5,2,0)))*100000</f>
        <v>2.931706087</v>
      </c>
      <c r="L34" s="22">
        <f>(J34/(VLOOKUP("Peru",Poblacion!$A$2:$B$5,2,0)))*100000</f>
        <v>2.302198645</v>
      </c>
      <c r="M34" s="65">
        <f t="shared" ref="M34:N34" si="35">K34+M33</f>
        <v>254.6687344</v>
      </c>
      <c r="N34" s="22">
        <f t="shared" si="35"/>
        <v>273.8017638</v>
      </c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tr">
        <f>IFERROR(__xludf.DUMMYFUNCTION("""COMPUTED_VALUE"""),"Peru")</f>
        <v>Peru</v>
      </c>
      <c r="B35" s="74">
        <f>IFERROR(__xludf.DUMMYFUNCTION("""COMPUTED_VALUE"""),44123.0)</f>
        <v>44123</v>
      </c>
      <c r="C35" s="19">
        <f>IFERROR(__xludf.DUMMYFUNCTION("""COMPUTED_VALUE"""),44129.0)</f>
        <v>44129</v>
      </c>
      <c r="D35" s="17">
        <f>IFERROR(__xludf.DUMMYFUNCTION("""COMPUTED_VALUE"""),43.0)</f>
        <v>43</v>
      </c>
      <c r="E35" s="17">
        <f>IFERROR(__xludf.DUMMYFUNCTION("""COMPUTED_VALUE"""),2961.0)</f>
        <v>2961</v>
      </c>
      <c r="F35" s="17">
        <f>IFERROR(__xludf.DUMMYFUNCTION("""COMPUTED_VALUE"""),860.0)</f>
        <v>860</v>
      </c>
      <c r="G35" s="62">
        <v>34.0</v>
      </c>
      <c r="H35" s="63">
        <f t="shared" si="2"/>
        <v>4617.5</v>
      </c>
      <c r="I35" s="63">
        <v>2123.0</v>
      </c>
      <c r="J35" s="21">
        <f t="shared" si="3"/>
        <v>775.3333333</v>
      </c>
      <c r="K35" s="22">
        <f>(F35/(VLOOKUP("Peru",Poblacion!$A$2:$B$5,2,0)))*100000</f>
        <v>2.577982857</v>
      </c>
      <c r="L35" s="22">
        <f>(J35/(VLOOKUP("Peru",Poblacion!$A$2:$B$5,2,0)))*100000</f>
        <v>2.324181444</v>
      </c>
      <c r="M35" s="65">
        <f t="shared" ref="M35:N35" si="36">K35+M34</f>
        <v>257.2467173</v>
      </c>
      <c r="N35" s="22">
        <f t="shared" si="36"/>
        <v>276.1259453</v>
      </c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tr">
        <f>IFERROR(__xludf.DUMMYFUNCTION("""COMPUTED_VALUE"""),"Peru")</f>
        <v>Peru</v>
      </c>
      <c r="B36" s="74">
        <f>IFERROR(__xludf.DUMMYFUNCTION("""COMPUTED_VALUE"""),44130.0)</f>
        <v>44130</v>
      </c>
      <c r="C36" s="19">
        <f>IFERROR(__xludf.DUMMYFUNCTION("""COMPUTED_VALUE"""),44136.0)</f>
        <v>44136</v>
      </c>
      <c r="D36" s="17">
        <f>IFERROR(__xludf.DUMMYFUNCTION("""COMPUTED_VALUE"""),44.0)</f>
        <v>44</v>
      </c>
      <c r="E36" s="17">
        <f>IFERROR(__xludf.DUMMYFUNCTION("""COMPUTED_VALUE"""),2794.0)</f>
        <v>2794</v>
      </c>
      <c r="F36" s="17">
        <f>IFERROR(__xludf.DUMMYFUNCTION("""COMPUTED_VALUE"""),772.0)</f>
        <v>772</v>
      </c>
      <c r="G36" s="62">
        <v>35.0</v>
      </c>
      <c r="H36" s="63">
        <f t="shared" si="2"/>
        <v>4280.5</v>
      </c>
      <c r="I36" s="63">
        <v>2193.3333333333335</v>
      </c>
      <c r="J36" s="21">
        <f t="shared" si="3"/>
        <v>589</v>
      </c>
      <c r="K36" s="22">
        <f>(F36/(VLOOKUP("Peru",Poblacion!$A$2:$B$5,2,0)))*100000</f>
        <v>2.314189263</v>
      </c>
      <c r="L36" s="22">
        <f>(J36/(VLOOKUP("Peru",Poblacion!$A$2:$B$5,2,0)))*100000</f>
        <v>1.765618492</v>
      </c>
      <c r="M36" s="65">
        <f t="shared" ref="M36:N36" si="37">K36+M35</f>
        <v>259.5609066</v>
      </c>
      <c r="N36" s="22">
        <f t="shared" si="37"/>
        <v>277.8915637</v>
      </c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tr">
        <f>IFERROR(__xludf.DUMMYFUNCTION("""COMPUTED_VALUE"""),"Peru")</f>
        <v>Peru</v>
      </c>
      <c r="B37" s="74">
        <f>IFERROR(__xludf.DUMMYFUNCTION("""COMPUTED_VALUE"""),44137.0)</f>
        <v>44137</v>
      </c>
      <c r="C37" s="19">
        <f>IFERROR(__xludf.DUMMYFUNCTION("""COMPUTED_VALUE"""),44143.0)</f>
        <v>44143</v>
      </c>
      <c r="D37" s="17">
        <f>IFERROR(__xludf.DUMMYFUNCTION("""COMPUTED_VALUE"""),45.0)</f>
        <v>45</v>
      </c>
      <c r="E37" s="17">
        <f>IFERROR(__xludf.DUMMYFUNCTION("""COMPUTED_VALUE"""),2861.0)</f>
        <v>2861</v>
      </c>
      <c r="F37" s="17">
        <f>IFERROR(__xludf.DUMMYFUNCTION("""COMPUTED_VALUE"""),739.0)</f>
        <v>739</v>
      </c>
      <c r="G37" s="62">
        <v>36.0</v>
      </c>
      <c r="H37" s="63">
        <f t="shared" si="2"/>
        <v>3808.5</v>
      </c>
      <c r="I37" s="63">
        <v>2168.0</v>
      </c>
      <c r="J37" s="21">
        <f t="shared" si="3"/>
        <v>693</v>
      </c>
      <c r="K37" s="22">
        <f>(F37/(VLOOKUP("Peru",Poblacion!$A$2:$B$5,2,0)))*100000</f>
        <v>2.215266665</v>
      </c>
      <c r="L37" s="22">
        <f>(J37/(VLOOKUP("Peru",Poblacion!$A$2:$B$5,2,0)))*100000</f>
        <v>2.077374558</v>
      </c>
      <c r="M37" s="65">
        <f t="shared" ref="M37:N37" si="38">K37+M36</f>
        <v>261.7761732</v>
      </c>
      <c r="N37" s="22">
        <f t="shared" si="38"/>
        <v>279.9689383</v>
      </c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tr">
        <f>IFERROR(__xludf.DUMMYFUNCTION("""COMPUTED_VALUE"""),"Peru")</f>
        <v>Peru</v>
      </c>
      <c r="B38" s="74">
        <f>IFERROR(__xludf.DUMMYFUNCTION("""COMPUTED_VALUE"""),44144.0)</f>
        <v>44144</v>
      </c>
      <c r="C38" s="19">
        <f>IFERROR(__xludf.DUMMYFUNCTION("""COMPUTED_VALUE"""),44150.0)</f>
        <v>44150</v>
      </c>
      <c r="D38" s="17">
        <f>IFERROR(__xludf.DUMMYFUNCTION("""COMPUTED_VALUE"""),46.0)</f>
        <v>46</v>
      </c>
      <c r="E38" s="17">
        <f>IFERROR(__xludf.DUMMYFUNCTION("""COMPUTED_VALUE"""),2850.0)</f>
        <v>2850</v>
      </c>
      <c r="F38" s="17">
        <f>IFERROR(__xludf.DUMMYFUNCTION("""COMPUTED_VALUE"""),730.0)</f>
        <v>730</v>
      </c>
      <c r="G38" s="62">
        <v>37.0</v>
      </c>
      <c r="H38" s="63">
        <f t="shared" si="2"/>
        <v>3582.5</v>
      </c>
      <c r="I38" s="63">
        <v>2175.0</v>
      </c>
      <c r="J38" s="21">
        <f t="shared" si="3"/>
        <v>792.3333333</v>
      </c>
      <c r="K38" s="22">
        <f>(F38/(VLOOKUP("Peru",Poblacion!$A$2:$B$5,2,0)))*100000</f>
        <v>2.188287774</v>
      </c>
      <c r="L38" s="22">
        <f>(J38/(VLOOKUP("Peru",Poblacion!$A$2:$B$5,2,0)))*100000</f>
        <v>2.37514157</v>
      </c>
      <c r="M38" s="65">
        <f t="shared" ref="M38:N38" si="39">K38+M37</f>
        <v>263.964461</v>
      </c>
      <c r="N38" s="22">
        <f t="shared" si="39"/>
        <v>282.3440799</v>
      </c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tr">
        <f>IFERROR(__xludf.DUMMYFUNCTION("""COMPUTED_VALUE"""),"Peru")</f>
        <v>Peru</v>
      </c>
      <c r="B39" s="74">
        <f>IFERROR(__xludf.DUMMYFUNCTION("""COMPUTED_VALUE"""),44151.0)</f>
        <v>44151</v>
      </c>
      <c r="C39" s="19">
        <f>IFERROR(__xludf.DUMMYFUNCTION("""COMPUTED_VALUE"""),44157.0)</f>
        <v>44157</v>
      </c>
      <c r="D39" s="17">
        <f>IFERROR(__xludf.DUMMYFUNCTION("""COMPUTED_VALUE"""),47.0)</f>
        <v>47</v>
      </c>
      <c r="E39" s="17">
        <f>IFERROR(__xludf.DUMMYFUNCTION("""COMPUTED_VALUE"""),2755.0)</f>
        <v>2755</v>
      </c>
      <c r="F39" s="17">
        <f>IFERROR(__xludf.DUMMYFUNCTION("""COMPUTED_VALUE"""),646.0)</f>
        <v>646</v>
      </c>
      <c r="G39" s="62">
        <v>38.0</v>
      </c>
      <c r="H39" s="63">
        <f t="shared" si="2"/>
        <v>3415</v>
      </c>
      <c r="I39" s="63">
        <v>2213.3333333333335</v>
      </c>
      <c r="J39" s="21">
        <f t="shared" si="3"/>
        <v>672.3333333</v>
      </c>
      <c r="K39" s="22">
        <f>(F39/(VLOOKUP("Peru",Poblacion!$A$2:$B$5,2,0)))*100000</f>
        <v>1.936484797</v>
      </c>
      <c r="L39" s="22">
        <f>(J39/(VLOOKUP("Peru",Poblacion!$A$2:$B$5,2,0)))*100000</f>
        <v>2.015423032</v>
      </c>
      <c r="M39" s="65">
        <f t="shared" ref="M39:N39" si="40">K39+M38</f>
        <v>265.9009458</v>
      </c>
      <c r="N39" s="22">
        <f t="shared" si="40"/>
        <v>284.3595029</v>
      </c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tr">
        <f>IFERROR(__xludf.DUMMYFUNCTION("""COMPUTED_VALUE"""),"Peru")</f>
        <v>Peru</v>
      </c>
      <c r="B40" s="74">
        <f>IFERROR(__xludf.DUMMYFUNCTION("""COMPUTED_VALUE"""),44158.0)</f>
        <v>44158</v>
      </c>
      <c r="C40" s="19">
        <f>IFERROR(__xludf.DUMMYFUNCTION("""COMPUTED_VALUE"""),44164.0)</f>
        <v>44164</v>
      </c>
      <c r="D40" s="17">
        <f>IFERROR(__xludf.DUMMYFUNCTION("""COMPUTED_VALUE"""),48.0)</f>
        <v>48</v>
      </c>
      <c r="E40" s="17">
        <f>IFERROR(__xludf.DUMMYFUNCTION("""COMPUTED_VALUE"""),2635.0)</f>
        <v>2635</v>
      </c>
      <c r="F40" s="17">
        <f>IFERROR(__xludf.DUMMYFUNCTION("""COMPUTED_VALUE"""),661.0)</f>
        <v>661</v>
      </c>
      <c r="G40" s="62">
        <v>39.0</v>
      </c>
      <c r="H40" s="63">
        <f t="shared" si="2"/>
        <v>3483</v>
      </c>
      <c r="I40" s="63">
        <v>2217.3333333333335</v>
      </c>
      <c r="J40" s="21">
        <f t="shared" si="3"/>
        <v>576</v>
      </c>
      <c r="K40" s="22">
        <f>(F40/(VLOOKUP("Peru",Poblacion!$A$2:$B$5,2,0)))*100000</f>
        <v>1.981449615</v>
      </c>
      <c r="L40" s="22">
        <f>(J40/(VLOOKUP("Peru",Poblacion!$A$2:$B$5,2,0)))*100000</f>
        <v>1.726648984</v>
      </c>
      <c r="M40" s="65">
        <f t="shared" ref="M40:N40" si="41">K40+M39</f>
        <v>267.8823954</v>
      </c>
      <c r="N40" s="22">
        <f t="shared" si="41"/>
        <v>286.0861519</v>
      </c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tr">
        <f>IFERROR(__xludf.DUMMYFUNCTION("""COMPUTED_VALUE"""),"Peru")</f>
        <v>Peru</v>
      </c>
      <c r="B41" s="74">
        <f>IFERROR(__xludf.DUMMYFUNCTION("""COMPUTED_VALUE"""),44165.0)</f>
        <v>44165</v>
      </c>
      <c r="C41" s="19">
        <f>IFERROR(__xludf.DUMMYFUNCTION("""COMPUTED_VALUE"""),44171.0)</f>
        <v>44171</v>
      </c>
      <c r="D41" s="17">
        <f>IFERROR(__xludf.DUMMYFUNCTION("""COMPUTED_VALUE"""),49.0)</f>
        <v>49</v>
      </c>
      <c r="E41" s="17">
        <f>IFERROR(__xludf.DUMMYFUNCTION("""COMPUTED_VALUE"""),2800.0)</f>
        <v>2800</v>
      </c>
      <c r="F41" s="17">
        <f>IFERROR(__xludf.DUMMYFUNCTION("""COMPUTED_VALUE"""),686.0)</f>
        <v>686</v>
      </c>
      <c r="G41" s="62">
        <v>40.0</v>
      </c>
      <c r="H41" s="63">
        <f t="shared" si="2"/>
        <v>3235</v>
      </c>
      <c r="I41" s="63">
        <v>2151.6666666666665</v>
      </c>
      <c r="J41" s="21">
        <f t="shared" si="3"/>
        <v>711.3333333</v>
      </c>
      <c r="K41" s="22">
        <f>(F41/(VLOOKUP("Peru",Poblacion!$A$2:$B$5,2,0)))*100000</f>
        <v>2.056390977</v>
      </c>
      <c r="L41" s="22">
        <f>(J41/(VLOOKUP("Peru",Poblacion!$A$2:$B$5,2,0)))*100000</f>
        <v>2.132331557</v>
      </c>
      <c r="M41" s="65">
        <f t="shared" ref="M41:N41" si="42">K41+M40</f>
        <v>269.9387864</v>
      </c>
      <c r="N41" s="22">
        <f t="shared" si="42"/>
        <v>288.2184834</v>
      </c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tr">
        <f>IFERROR(__xludf.DUMMYFUNCTION("""COMPUTED_VALUE"""),"Peru")</f>
        <v>Peru</v>
      </c>
      <c r="B42" s="74">
        <f>IFERROR(__xludf.DUMMYFUNCTION("""COMPUTED_VALUE"""),44172.0)</f>
        <v>44172</v>
      </c>
      <c r="C42" s="19">
        <f>IFERROR(__xludf.DUMMYFUNCTION("""COMPUTED_VALUE"""),44178.0)</f>
        <v>44178</v>
      </c>
      <c r="D42" s="17">
        <f>IFERROR(__xludf.DUMMYFUNCTION("""COMPUTED_VALUE"""),50.0)</f>
        <v>50</v>
      </c>
      <c r="E42" s="17">
        <f>IFERROR(__xludf.DUMMYFUNCTION("""COMPUTED_VALUE"""),2964.0)</f>
        <v>2964</v>
      </c>
      <c r="F42" s="17">
        <f>IFERROR(__xludf.DUMMYFUNCTION("""COMPUTED_VALUE"""),747.0)</f>
        <v>747</v>
      </c>
      <c r="G42" s="62">
        <v>41.0</v>
      </c>
      <c r="H42" s="63">
        <f t="shared" si="2"/>
        <v>3147</v>
      </c>
      <c r="I42" s="63">
        <v>2191.6666666666665</v>
      </c>
      <c r="J42" s="21">
        <f t="shared" si="3"/>
        <v>849.3333333</v>
      </c>
      <c r="K42" s="22">
        <f>(F42/(VLOOKUP("Peru",Poblacion!$A$2:$B$5,2,0)))*100000</f>
        <v>2.2392479</v>
      </c>
      <c r="L42" s="22">
        <f>(J42/(VLOOKUP("Peru",Poblacion!$A$2:$B$5,2,0)))*100000</f>
        <v>2.546007876</v>
      </c>
      <c r="M42" s="65">
        <f t="shared" ref="M42:N42" si="43">K42+M41</f>
        <v>272.1780343</v>
      </c>
      <c r="N42" s="22">
        <f t="shared" si="43"/>
        <v>290.7644913</v>
      </c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tr">
        <f>IFERROR(__xludf.DUMMYFUNCTION("""COMPUTED_VALUE"""),"Peru")</f>
        <v>Peru</v>
      </c>
      <c r="B43" s="74">
        <f>IFERROR(__xludf.DUMMYFUNCTION("""COMPUTED_VALUE"""),44179.0)</f>
        <v>44179</v>
      </c>
      <c r="C43" s="19">
        <f>IFERROR(__xludf.DUMMYFUNCTION("""COMPUTED_VALUE"""),44185.0)</f>
        <v>44185</v>
      </c>
      <c r="D43" s="17">
        <f>IFERROR(__xludf.DUMMYFUNCTION("""COMPUTED_VALUE"""),51.0)</f>
        <v>51</v>
      </c>
      <c r="E43" s="17">
        <f>IFERROR(__xludf.DUMMYFUNCTION("""COMPUTED_VALUE"""),3151.0)</f>
        <v>3151</v>
      </c>
      <c r="F43" s="17">
        <f>IFERROR(__xludf.DUMMYFUNCTION("""COMPUTED_VALUE"""),816.0)</f>
        <v>816</v>
      </c>
      <c r="G43" s="62">
        <v>42.0</v>
      </c>
      <c r="H43" s="63">
        <f t="shared" si="2"/>
        <v>3001</v>
      </c>
      <c r="I43" s="63">
        <v>2233.0</v>
      </c>
      <c r="J43" s="21">
        <f t="shared" si="3"/>
        <v>1050.333333</v>
      </c>
      <c r="K43" s="22">
        <f>(F43/(VLOOKUP("Peru",Poblacion!$A$2:$B$5,2,0)))*100000</f>
        <v>2.44608606</v>
      </c>
      <c r="L43" s="22">
        <f>(J43/(VLOOKUP("Peru",Poblacion!$A$2:$B$5,2,0)))*100000</f>
        <v>3.148536428</v>
      </c>
      <c r="M43" s="65">
        <f t="shared" ref="M43:N43" si="44">K43+M42</f>
        <v>274.6241204</v>
      </c>
      <c r="N43" s="22">
        <f t="shared" si="44"/>
        <v>293.9130278</v>
      </c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tr">
        <f>IFERROR(__xludf.DUMMYFUNCTION("""COMPUTED_VALUE"""),"Peru")</f>
        <v>Peru</v>
      </c>
      <c r="B44" s="74">
        <f>IFERROR(__xludf.DUMMYFUNCTION("""COMPUTED_VALUE"""),44186.0)</f>
        <v>44186</v>
      </c>
      <c r="C44" s="19">
        <f>IFERROR(__xludf.DUMMYFUNCTION("""COMPUTED_VALUE"""),44192.0)</f>
        <v>44192</v>
      </c>
      <c r="D44" s="17">
        <f>IFERROR(__xludf.DUMMYFUNCTION("""COMPUTED_VALUE"""),52.0)</f>
        <v>52</v>
      </c>
      <c r="E44" s="17">
        <f>IFERROR(__xludf.DUMMYFUNCTION("""COMPUTED_VALUE"""),3253.0)</f>
        <v>3253</v>
      </c>
      <c r="F44" s="17">
        <f>IFERROR(__xludf.DUMMYFUNCTION("""COMPUTED_VALUE"""),880.0)</f>
        <v>880</v>
      </c>
      <c r="G44" s="62">
        <v>43.0</v>
      </c>
      <c r="H44" s="63">
        <f t="shared" si="2"/>
        <v>2961</v>
      </c>
      <c r="I44" s="63">
        <v>2185.6666666666665</v>
      </c>
      <c r="J44" s="21">
        <f t="shared" si="3"/>
        <v>1094</v>
      </c>
      <c r="K44" s="22">
        <f>(F44/(VLOOKUP("Peru",Poblacion!$A$2:$B$5,2,0)))*100000</f>
        <v>2.637935947</v>
      </c>
      <c r="L44" s="22">
        <f>(J44/(VLOOKUP("Peru",Poblacion!$A$2:$B$5,2,0)))*100000</f>
        <v>3.279434007</v>
      </c>
      <c r="M44" s="65">
        <f t="shared" ref="M44:N44" si="45">K44+M43</f>
        <v>277.2620563</v>
      </c>
      <c r="N44" s="22">
        <f t="shared" si="45"/>
        <v>297.1924618</v>
      </c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tr">
        <f>IFERROR(__xludf.DUMMYFUNCTION("""COMPUTED_VALUE"""),"Peru")</f>
        <v>Peru</v>
      </c>
      <c r="B45" s="74">
        <f>IFERROR(__xludf.DUMMYFUNCTION("""COMPUTED_VALUE"""),44193.0)</f>
        <v>44193</v>
      </c>
      <c r="C45" s="19">
        <f>IFERROR(__xludf.DUMMYFUNCTION("""COMPUTED_VALUE"""),44199.0)</f>
        <v>44199</v>
      </c>
      <c r="D45" s="17">
        <f>IFERROR(__xludf.DUMMYFUNCTION("""COMPUTED_VALUE"""),53.0)</f>
        <v>53</v>
      </c>
      <c r="E45" s="17">
        <f>IFERROR(__xludf.DUMMYFUNCTION("""COMPUTED_VALUE"""),3502.0)</f>
        <v>3502</v>
      </c>
      <c r="F45" s="17">
        <f>IFERROR(__xludf.DUMMYFUNCTION("""COMPUTED_VALUE"""),1082.0)</f>
        <v>1082</v>
      </c>
      <c r="G45" s="62">
        <v>44.0</v>
      </c>
      <c r="H45" s="63">
        <f t="shared" si="2"/>
        <v>2794</v>
      </c>
      <c r="I45" s="63">
        <v>2205.0</v>
      </c>
      <c r="J45" s="21">
        <f t="shared" si="3"/>
        <v>3502</v>
      </c>
      <c r="K45" s="22">
        <f>(F45/(VLOOKUP("Peru",Poblacion!$A$2:$B$5,2,0)))*100000</f>
        <v>3.243462153</v>
      </c>
      <c r="L45" s="22">
        <f>(J45/(VLOOKUP("Peru",Poblacion!$A$2:$B$5,2,0)))*100000</f>
        <v>10.49778601</v>
      </c>
      <c r="M45" s="65">
        <f t="shared" ref="M45:N45" si="46">K45+M44</f>
        <v>280.5055185</v>
      </c>
      <c r="N45" s="22">
        <f t="shared" si="46"/>
        <v>307.6902478</v>
      </c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tr">
        <f>IFERROR(__xludf.DUMMYFUNCTION("""COMPUTED_VALUE"""),"Peru")</f>
        <v>Peru</v>
      </c>
      <c r="B46" s="74">
        <f>IFERROR(__xludf.DUMMYFUNCTION("""COMPUTED_VALUE"""),44200.0)</f>
        <v>44200</v>
      </c>
      <c r="C46" s="19">
        <f>IFERROR(__xludf.DUMMYFUNCTION("""COMPUTED_VALUE"""),44206.0)</f>
        <v>44206</v>
      </c>
      <c r="D46" s="17">
        <f>IFERROR(__xludf.DUMMYFUNCTION("""COMPUTED_VALUE"""),1.0)</f>
        <v>1</v>
      </c>
      <c r="E46" s="17">
        <f>IFERROR(__xludf.DUMMYFUNCTION("""COMPUTED_VALUE"""),3985.0)</f>
        <v>3985</v>
      </c>
      <c r="F46" s="17">
        <f>IFERROR(__xludf.DUMMYFUNCTION("""COMPUTED_VALUE"""),1401.0)</f>
        <v>1401</v>
      </c>
      <c r="G46" s="62">
        <v>45.0</v>
      </c>
      <c r="H46" s="63">
        <f t="shared" si="2"/>
        <v>2861</v>
      </c>
      <c r="I46" s="63">
        <v>2168.0</v>
      </c>
      <c r="J46" s="21">
        <f t="shared" si="3"/>
        <v>1930.5</v>
      </c>
      <c r="K46" s="22">
        <f>(F46/(VLOOKUP("Peru",Poblacion!$A$2:$B$5,2,0)))*100000</f>
        <v>4.199713934</v>
      </c>
      <c r="L46" s="22">
        <f>(J46/(VLOOKUP("Peru",Poblacion!$A$2:$B$5,2,0)))*100000</f>
        <v>5.786971984</v>
      </c>
      <c r="M46" s="65">
        <f t="shared" ref="M46:N46" si="47">K46+M45</f>
        <v>284.7052324</v>
      </c>
      <c r="N46" s="22">
        <f t="shared" si="47"/>
        <v>313.4772197</v>
      </c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tr">
        <f>IFERROR(__xludf.DUMMYFUNCTION("""COMPUTED_VALUE"""),"Peru")</f>
        <v>Peru</v>
      </c>
      <c r="B47" s="74">
        <f>IFERROR(__xludf.DUMMYFUNCTION("""COMPUTED_VALUE"""),44207.0)</f>
        <v>44207</v>
      </c>
      <c r="C47" s="19">
        <f>IFERROR(__xludf.DUMMYFUNCTION("""COMPUTED_VALUE"""),44213.0)</f>
        <v>44213</v>
      </c>
      <c r="D47" s="17">
        <f>IFERROR(__xludf.DUMMYFUNCTION("""COMPUTED_VALUE"""),2.0)</f>
        <v>2</v>
      </c>
      <c r="E47" s="17">
        <f>IFERROR(__xludf.DUMMYFUNCTION("""COMPUTED_VALUE"""),4638.0)</f>
        <v>4638</v>
      </c>
      <c r="F47" s="17">
        <f>IFERROR(__xludf.DUMMYFUNCTION("""COMPUTED_VALUE"""),2027.0)</f>
        <v>2027</v>
      </c>
      <c r="G47" s="62">
        <v>46.0</v>
      </c>
      <c r="H47" s="63">
        <f t="shared" si="2"/>
        <v>2850</v>
      </c>
      <c r="I47" s="63">
        <v>2057.6666666666665</v>
      </c>
      <c r="J47" s="21">
        <f t="shared" si="3"/>
        <v>2586.5</v>
      </c>
      <c r="K47" s="22">
        <f>(F47/(VLOOKUP("Peru",Poblacion!$A$2:$B$5,2,0)))*100000</f>
        <v>6.076245642</v>
      </c>
      <c r="L47" s="22">
        <f>(J47/(VLOOKUP("Peru",Poblacion!$A$2:$B$5,2,0)))*100000</f>
        <v>7.753433326</v>
      </c>
      <c r="M47" s="65">
        <f t="shared" ref="M47:N47" si="48">K47+M46</f>
        <v>290.781478</v>
      </c>
      <c r="N47" s="22">
        <f t="shared" si="48"/>
        <v>321.2306531</v>
      </c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tr">
        <f>IFERROR(__xludf.DUMMYFUNCTION("""COMPUTED_VALUE"""),"Peru")</f>
        <v>Peru</v>
      </c>
      <c r="B48" s="74">
        <f>IFERROR(__xludf.DUMMYFUNCTION("""COMPUTED_VALUE"""),44214.0)</f>
        <v>44214</v>
      </c>
      <c r="C48" s="19">
        <f>IFERROR(__xludf.DUMMYFUNCTION("""COMPUTED_VALUE"""),44220.0)</f>
        <v>44220</v>
      </c>
      <c r="D48" s="17">
        <f>IFERROR(__xludf.DUMMYFUNCTION("""COMPUTED_VALUE"""),3.0)</f>
        <v>3</v>
      </c>
      <c r="E48" s="17">
        <f>IFERROR(__xludf.DUMMYFUNCTION("""COMPUTED_VALUE"""),5704.0)</f>
        <v>5704</v>
      </c>
      <c r="F48" s="17">
        <f>IFERROR(__xludf.DUMMYFUNCTION("""COMPUTED_VALUE"""),2907.0)</f>
        <v>2907</v>
      </c>
      <c r="G48" s="62">
        <v>47.0</v>
      </c>
      <c r="H48" s="63">
        <f t="shared" si="2"/>
        <v>2755</v>
      </c>
      <c r="I48" s="63">
        <v>2082.6666666666665</v>
      </c>
      <c r="J48" s="21">
        <f t="shared" si="3"/>
        <v>3673.25</v>
      </c>
      <c r="K48" s="22">
        <f>(F48/(VLOOKUP("Peru",Poblacion!$A$2:$B$5,2,0)))*100000</f>
        <v>8.714181589</v>
      </c>
      <c r="L48" s="22">
        <f>(J48/(VLOOKUP("Peru",Poblacion!$A$2:$B$5,2,0)))*100000</f>
        <v>11.01113434</v>
      </c>
      <c r="M48" s="65">
        <f t="shared" ref="M48:N48" si="49">K48+M47</f>
        <v>299.4956596</v>
      </c>
      <c r="N48" s="22">
        <f t="shared" si="49"/>
        <v>332.2417874</v>
      </c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tr">
        <f>IFERROR(__xludf.DUMMYFUNCTION("""COMPUTED_VALUE"""),"Peru")</f>
        <v>Peru</v>
      </c>
      <c r="B49" s="74">
        <f>IFERROR(__xludf.DUMMYFUNCTION("""COMPUTED_VALUE"""),44221.0)</f>
        <v>44221</v>
      </c>
      <c r="C49" s="19">
        <f>IFERROR(__xludf.DUMMYFUNCTION("""COMPUTED_VALUE"""),44227.0)</f>
        <v>44227</v>
      </c>
      <c r="D49" s="17">
        <f>IFERROR(__xludf.DUMMYFUNCTION("""COMPUTED_VALUE"""),4.0)</f>
        <v>4</v>
      </c>
      <c r="E49" s="17">
        <f>IFERROR(__xludf.DUMMYFUNCTION("""COMPUTED_VALUE"""),6707.0)</f>
        <v>6707</v>
      </c>
      <c r="F49" s="17">
        <f>IFERROR(__xludf.DUMMYFUNCTION("""COMPUTED_VALUE"""),3900.0)</f>
        <v>3900</v>
      </c>
      <c r="G49" s="62">
        <v>48.0</v>
      </c>
      <c r="H49" s="63">
        <f t="shared" si="2"/>
        <v>2635</v>
      </c>
      <c r="I49" s="63">
        <v>2059.0</v>
      </c>
      <c r="J49" s="21">
        <f t="shared" si="3"/>
        <v>4657.75</v>
      </c>
      <c r="K49" s="22">
        <f>(F49/(VLOOKUP("Peru",Poblacion!$A$2:$B$5,2,0)))*100000</f>
        <v>11.69085249</v>
      </c>
      <c r="L49" s="22">
        <f>(J49/(VLOOKUP("Peru",Poblacion!$A$2:$B$5,2,0)))*100000</f>
        <v>13.96232518</v>
      </c>
      <c r="M49" s="65">
        <f t="shared" ref="M49:N49" si="50">K49+M48</f>
        <v>311.1865121</v>
      </c>
      <c r="N49" s="22">
        <f t="shared" si="50"/>
        <v>346.2041126</v>
      </c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tr">
        <f>IFERROR(__xludf.DUMMYFUNCTION("""COMPUTED_VALUE"""),"Peru")</f>
        <v>Peru</v>
      </c>
      <c r="B50" s="74">
        <f>IFERROR(__xludf.DUMMYFUNCTION("""COMPUTED_VALUE"""),44228.0)</f>
        <v>44228</v>
      </c>
      <c r="C50" s="19">
        <f>IFERROR(__xludf.DUMMYFUNCTION("""COMPUTED_VALUE"""),44234.0)</f>
        <v>44234</v>
      </c>
      <c r="D50" s="17">
        <f>IFERROR(__xludf.DUMMYFUNCTION("""COMPUTED_VALUE"""),5.0)</f>
        <v>5</v>
      </c>
      <c r="E50" s="17">
        <f>IFERROR(__xludf.DUMMYFUNCTION("""COMPUTED_VALUE"""),7021.0)</f>
        <v>7021</v>
      </c>
      <c r="F50" s="17">
        <f>IFERROR(__xludf.DUMMYFUNCTION("""COMPUTED_VALUE"""),4052.0)</f>
        <v>4052</v>
      </c>
      <c r="G50" s="62">
        <v>49.0</v>
      </c>
      <c r="H50" s="63">
        <f t="shared" si="2"/>
        <v>2800</v>
      </c>
      <c r="I50" s="63">
        <v>2088.6666666666665</v>
      </c>
      <c r="J50" s="21">
        <f t="shared" si="3"/>
        <v>4928.75</v>
      </c>
      <c r="K50" s="22">
        <f>(F50/(VLOOKUP("Peru",Poblacion!$A$2:$B$5,2,0)))*100000</f>
        <v>12.14649597</v>
      </c>
      <c r="L50" s="22">
        <f>(J50/(VLOOKUP("Peru",Poblacion!$A$2:$B$5,2,0)))*100000</f>
        <v>14.77468954</v>
      </c>
      <c r="M50" s="65">
        <f t="shared" ref="M50:N50" si="51">K50+M49</f>
        <v>323.3330081</v>
      </c>
      <c r="N50" s="22">
        <f t="shared" si="51"/>
        <v>360.9788021</v>
      </c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tr">
        <f>IFERROR(__xludf.DUMMYFUNCTION("""COMPUTED_VALUE"""),"Peru")</f>
        <v>Peru</v>
      </c>
      <c r="B51" s="74">
        <f>IFERROR(__xludf.DUMMYFUNCTION("""COMPUTED_VALUE"""),44235.0)</f>
        <v>44235</v>
      </c>
      <c r="C51" s="19">
        <f>IFERROR(__xludf.DUMMYFUNCTION("""COMPUTED_VALUE"""),44241.0)</f>
        <v>44241</v>
      </c>
      <c r="D51" s="17">
        <f>IFERROR(__xludf.DUMMYFUNCTION("""COMPUTED_VALUE"""),6.0)</f>
        <v>6</v>
      </c>
      <c r="E51" s="17">
        <f>IFERROR(__xludf.DUMMYFUNCTION("""COMPUTED_VALUE"""),7687.0)</f>
        <v>7687</v>
      </c>
      <c r="F51" s="17">
        <f>IFERROR(__xludf.DUMMYFUNCTION("""COMPUTED_VALUE"""),4761.0)</f>
        <v>4761</v>
      </c>
      <c r="G51" s="62">
        <v>50.0</v>
      </c>
      <c r="H51" s="63">
        <f t="shared" si="2"/>
        <v>2964</v>
      </c>
      <c r="I51" s="63">
        <v>2114.6666666666665</v>
      </c>
      <c r="J51" s="21">
        <f t="shared" si="3"/>
        <v>5628.75</v>
      </c>
      <c r="K51" s="22">
        <f>(F51/(VLOOKUP("Peru",Poblacion!$A$2:$B$5,2,0)))*100000</f>
        <v>14.271833</v>
      </c>
      <c r="L51" s="22">
        <f>(J51/(VLOOKUP("Peru",Poblacion!$A$2:$B$5,2,0)))*100000</f>
        <v>16.87304768</v>
      </c>
      <c r="M51" s="65">
        <f t="shared" ref="M51:N51" si="52">K51+M50</f>
        <v>337.6048411</v>
      </c>
      <c r="N51" s="22">
        <f t="shared" si="52"/>
        <v>377.8518498</v>
      </c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tr">
        <f>IFERROR(__xludf.DUMMYFUNCTION("""COMPUTED_VALUE"""),"Peru")</f>
        <v>Peru</v>
      </c>
      <c r="B52" s="74">
        <f>IFERROR(__xludf.DUMMYFUNCTION("""COMPUTED_VALUE"""),44242.0)</f>
        <v>44242</v>
      </c>
      <c r="C52" s="19">
        <f>IFERROR(__xludf.DUMMYFUNCTION("""COMPUTED_VALUE"""),44248.0)</f>
        <v>44248</v>
      </c>
      <c r="D52" s="17">
        <f>IFERROR(__xludf.DUMMYFUNCTION("""COMPUTED_VALUE"""),7.0)</f>
        <v>7</v>
      </c>
      <c r="E52" s="17">
        <f>IFERROR(__xludf.DUMMYFUNCTION("""COMPUTED_VALUE"""),7711.0)</f>
        <v>7711</v>
      </c>
      <c r="F52" s="17">
        <f>IFERROR(__xludf.DUMMYFUNCTION("""COMPUTED_VALUE"""),5122.0)</f>
        <v>5122</v>
      </c>
      <c r="G52" s="62">
        <v>51.0</v>
      </c>
      <c r="H52" s="63">
        <f t="shared" si="2"/>
        <v>3151</v>
      </c>
      <c r="I52" s="63">
        <v>2100.6666666666665</v>
      </c>
      <c r="J52" s="21">
        <f t="shared" si="3"/>
        <v>5625</v>
      </c>
      <c r="K52" s="22">
        <f>(F52/(VLOOKUP("Peru",Poblacion!$A$2:$B$5,2,0)))*100000</f>
        <v>15.35398627</v>
      </c>
      <c r="L52" s="22">
        <f>(J52/(VLOOKUP("Peru",Poblacion!$A$2:$B$5,2,0)))*100000</f>
        <v>16.86180648</v>
      </c>
      <c r="M52" s="65">
        <f t="shared" ref="M52:N52" si="53">K52+M51</f>
        <v>352.9588274</v>
      </c>
      <c r="N52" s="22">
        <f t="shared" si="53"/>
        <v>394.7136563</v>
      </c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tr">
        <f>IFERROR(__xludf.DUMMYFUNCTION("""COMPUTED_VALUE"""),"Peru")</f>
        <v>Peru</v>
      </c>
      <c r="B53" s="74">
        <f>IFERROR(__xludf.DUMMYFUNCTION("""COMPUTED_VALUE"""),44249.0)</f>
        <v>44249</v>
      </c>
      <c r="C53" s="19">
        <f>IFERROR(__xludf.DUMMYFUNCTION("""COMPUTED_VALUE"""),44255.0)</f>
        <v>44255</v>
      </c>
      <c r="D53" s="17">
        <f>IFERROR(__xludf.DUMMYFUNCTION("""COMPUTED_VALUE"""),8.0)</f>
        <v>8</v>
      </c>
      <c r="E53" s="17">
        <f>IFERROR(__xludf.DUMMYFUNCTION("""COMPUTED_VALUE"""),7393.0)</f>
        <v>7393</v>
      </c>
      <c r="F53" s="17">
        <f>IFERROR(__xludf.DUMMYFUNCTION("""COMPUTED_VALUE"""),4757.0)</f>
        <v>4757</v>
      </c>
      <c r="G53" s="62">
        <v>52.0</v>
      </c>
      <c r="H53" s="63">
        <f t="shared" si="2"/>
        <v>3253</v>
      </c>
      <c r="I53" s="63">
        <v>2159.0</v>
      </c>
      <c r="J53" s="21">
        <f t="shared" si="3"/>
        <v>5257</v>
      </c>
      <c r="K53" s="22">
        <f>(F53/(VLOOKUP("Peru",Poblacion!$A$2:$B$5,2,0)))*100000</f>
        <v>14.25984239</v>
      </c>
      <c r="L53" s="22">
        <f>(J53/(VLOOKUP("Peru",Poblacion!$A$2:$B$5,2,0)))*100000</f>
        <v>15.75866963</v>
      </c>
      <c r="M53" s="65">
        <f t="shared" ref="M53:N53" si="54">K53+M52</f>
        <v>367.2186698</v>
      </c>
      <c r="N53" s="22">
        <f t="shared" si="54"/>
        <v>410.4723259</v>
      </c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tr">
        <f>IFERROR(__xludf.DUMMYFUNCTION("""COMPUTED_VALUE"""),"Peru")</f>
        <v>Peru</v>
      </c>
      <c r="B54" s="74">
        <f>IFERROR(__xludf.DUMMYFUNCTION("""COMPUTED_VALUE"""),44256.0)</f>
        <v>44256</v>
      </c>
      <c r="C54" s="19">
        <f>IFERROR(__xludf.DUMMYFUNCTION("""COMPUTED_VALUE"""),44262.0)</f>
        <v>44262</v>
      </c>
      <c r="D54" s="17">
        <f>IFERROR(__xludf.DUMMYFUNCTION("""COMPUTED_VALUE"""),9.0)</f>
        <v>9</v>
      </c>
      <c r="E54" s="17">
        <f>IFERROR(__xludf.DUMMYFUNCTION("""COMPUTED_VALUE"""),7500.0)</f>
        <v>7500</v>
      </c>
      <c r="F54" s="17">
        <f>IFERROR(__xludf.DUMMYFUNCTION("""COMPUTED_VALUE"""),4737.0)</f>
        <v>4737</v>
      </c>
      <c r="G54" s="62">
        <v>53.0</v>
      </c>
      <c r="H54" s="63">
        <f t="shared" si="2"/>
        <v>3502</v>
      </c>
      <c r="I54" s="62">
        <v>0.0</v>
      </c>
      <c r="J54" s="21">
        <f t="shared" si="3"/>
        <v>5303</v>
      </c>
      <c r="K54" s="22">
        <f>(F54/(VLOOKUP("Peru",Poblacion!$A$2:$B$5,2,0)))*100000</f>
        <v>14.1998893</v>
      </c>
      <c r="L54" s="22">
        <f>(J54/(VLOOKUP("Peru",Poblacion!$A$2:$B$5,2,0)))*100000</f>
        <v>15.89656174</v>
      </c>
      <c r="M54" s="65">
        <f t="shared" ref="M54:N54" si="55">K54+M53</f>
        <v>381.418559</v>
      </c>
      <c r="N54" s="22">
        <f t="shared" si="55"/>
        <v>426.3688877</v>
      </c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tr">
        <f>IFERROR(__xludf.DUMMYFUNCTION("""COMPUTED_VALUE"""),"Peru")</f>
        <v>Peru</v>
      </c>
      <c r="B55" s="74">
        <f>IFERROR(__xludf.DUMMYFUNCTION("""COMPUTED_VALUE"""),44263.0)</f>
        <v>44263</v>
      </c>
      <c r="C55" s="19">
        <f>IFERROR(__xludf.DUMMYFUNCTION("""COMPUTED_VALUE"""),44269.0)</f>
        <v>44269</v>
      </c>
      <c r="D55" s="17">
        <f>IFERROR(__xludf.DUMMYFUNCTION("""COMPUTED_VALUE"""),10.0)</f>
        <v>10</v>
      </c>
      <c r="E55" s="17">
        <f>IFERROR(__xludf.DUMMYFUNCTION("""COMPUTED_VALUE"""),7379.0)</f>
        <v>7379</v>
      </c>
      <c r="F55" s="17">
        <f>IFERROR(__xludf.DUMMYFUNCTION("""COMPUTED_VALUE"""),4296.0)</f>
        <v>4296</v>
      </c>
      <c r="G55" s="75"/>
      <c r="H55" s="63"/>
      <c r="I55" s="75"/>
      <c r="J55" s="21">
        <f t="shared" si="3"/>
        <v>5370.666667</v>
      </c>
      <c r="K55" s="22">
        <f>(F55/(VLOOKUP("Peru",Poblacion!$A$2:$B$5,2,0)))*100000</f>
        <v>12.87792367</v>
      </c>
      <c r="L55" s="22">
        <f>(J55/(VLOOKUP("Peru",Poblacion!$A$2:$B$5,2,0)))*100000</f>
        <v>16.09940302</v>
      </c>
      <c r="M55" s="65">
        <f t="shared" ref="M55:N55" si="56">K55+M54</f>
        <v>394.2964827</v>
      </c>
      <c r="N55" s="22">
        <f t="shared" si="56"/>
        <v>442.4682907</v>
      </c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tr">
        <f>IFERROR(__xludf.DUMMYFUNCTION("""COMPUTED_VALUE"""),"Peru")</f>
        <v>Peru</v>
      </c>
      <c r="B56" s="74">
        <f>IFERROR(__xludf.DUMMYFUNCTION("""COMPUTED_VALUE"""),44270.0)</f>
        <v>44270</v>
      </c>
      <c r="C56" s="19">
        <f>IFERROR(__xludf.DUMMYFUNCTION("""COMPUTED_VALUE"""),44276.0)</f>
        <v>44276</v>
      </c>
      <c r="D56" s="17">
        <f>IFERROR(__xludf.DUMMYFUNCTION("""COMPUTED_VALUE"""),11.0)</f>
        <v>11</v>
      </c>
      <c r="E56" s="17">
        <f>IFERROR(__xludf.DUMMYFUNCTION("""COMPUTED_VALUE"""),7427.0)</f>
        <v>7427</v>
      </c>
      <c r="F56" s="17">
        <f>IFERROR(__xludf.DUMMYFUNCTION("""COMPUTED_VALUE"""),4741.0)</f>
        <v>4741</v>
      </c>
      <c r="G56" s="75"/>
      <c r="H56" s="63"/>
      <c r="I56" s="75"/>
      <c r="J56" s="21">
        <f t="shared" si="3"/>
        <v>5375.333333</v>
      </c>
      <c r="K56" s="22">
        <f>(F56/(VLOOKUP("Peru",Poblacion!$A$2:$B$5,2,0)))*100000</f>
        <v>14.21187991</v>
      </c>
      <c r="L56" s="22">
        <f>(J56/(VLOOKUP("Peru",Poblacion!$A$2:$B$5,2,0)))*100000</f>
        <v>16.11339208</v>
      </c>
      <c r="M56" s="65">
        <f t="shared" ref="M56:N56" si="57">K56+M55</f>
        <v>408.5083626</v>
      </c>
      <c r="N56" s="22">
        <f t="shared" si="57"/>
        <v>458.5816828</v>
      </c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tr">
        <f>IFERROR(__xludf.DUMMYFUNCTION("""COMPUTED_VALUE"""),"Peru")</f>
        <v>Peru</v>
      </c>
      <c r="B57" s="74">
        <f>IFERROR(__xludf.DUMMYFUNCTION("""COMPUTED_VALUE"""),44277.0)</f>
        <v>44277</v>
      </c>
      <c r="C57" s="19">
        <f>IFERROR(__xludf.DUMMYFUNCTION("""COMPUTED_VALUE"""),44283.0)</f>
        <v>44283</v>
      </c>
      <c r="D57" s="17">
        <f>IFERROR(__xludf.DUMMYFUNCTION("""COMPUTED_VALUE"""),12.0)</f>
        <v>12</v>
      </c>
      <c r="E57" s="17">
        <f>IFERROR(__xludf.DUMMYFUNCTION("""COMPUTED_VALUE"""),7570.0)</f>
        <v>7570</v>
      </c>
      <c r="F57" s="17">
        <f>IFERROR(__xludf.DUMMYFUNCTION("""COMPUTED_VALUE"""),4994.0)</f>
        <v>4994</v>
      </c>
      <c r="G57" s="75"/>
      <c r="H57" s="63"/>
      <c r="I57" s="75"/>
      <c r="J57" s="21">
        <f t="shared" si="3"/>
        <v>5574</v>
      </c>
      <c r="K57" s="22">
        <f>(F57/(VLOOKUP("Peru",Poblacion!$A$2:$B$5,2,0)))*100000</f>
        <v>14.9702865</v>
      </c>
      <c r="L57" s="22">
        <f>(J57/(VLOOKUP("Peru",Poblacion!$A$2:$B$5,2,0)))*100000</f>
        <v>16.7089261</v>
      </c>
      <c r="M57" s="65">
        <f t="shared" ref="M57:N57" si="58">K57+M56</f>
        <v>423.4786491</v>
      </c>
      <c r="N57" s="22">
        <f t="shared" si="58"/>
        <v>475.2906089</v>
      </c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tr">
        <f>IFERROR(__xludf.DUMMYFUNCTION("""COMPUTED_VALUE"""),"Peru")</f>
        <v>Peru</v>
      </c>
      <c r="B58" s="74">
        <f>IFERROR(__xludf.DUMMYFUNCTION("""COMPUTED_VALUE"""),44284.0)</f>
        <v>44284</v>
      </c>
      <c r="C58" s="19">
        <f>IFERROR(__xludf.DUMMYFUNCTION("""COMPUTED_VALUE"""),44290.0)</f>
        <v>44290</v>
      </c>
      <c r="D58" s="17">
        <f>IFERROR(__xludf.DUMMYFUNCTION("""COMPUTED_VALUE"""),13.0)</f>
        <v>13</v>
      </c>
      <c r="E58" s="17">
        <f>IFERROR(__xludf.DUMMYFUNCTION("""COMPUTED_VALUE"""),7900.0)</f>
        <v>7900</v>
      </c>
      <c r="F58" s="17">
        <f>IFERROR(__xludf.DUMMYFUNCTION("""COMPUTED_VALUE"""),5157.0)</f>
        <v>5157</v>
      </c>
      <c r="G58" s="75"/>
      <c r="H58" s="63"/>
      <c r="I58" s="75"/>
      <c r="J58" s="21">
        <f t="shared" si="3"/>
        <v>5940</v>
      </c>
      <c r="K58" s="22">
        <f>(F58/(VLOOKUP("Peru",Poblacion!$A$2:$B$5,2,0)))*100000</f>
        <v>15.45890418</v>
      </c>
      <c r="L58" s="22">
        <f>(J58/(VLOOKUP("Peru",Poblacion!$A$2:$B$5,2,0)))*100000</f>
        <v>17.80606764</v>
      </c>
      <c r="M58" s="65">
        <f t="shared" ref="M58:N58" si="59">K58+M57</f>
        <v>438.9375533</v>
      </c>
      <c r="N58" s="22">
        <f t="shared" si="59"/>
        <v>493.0966765</v>
      </c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tr">
        <f>IFERROR(__xludf.DUMMYFUNCTION("""COMPUTED_VALUE"""),"Peru")</f>
        <v>Peru</v>
      </c>
      <c r="B59" s="74">
        <f>IFERROR(__xludf.DUMMYFUNCTION("""COMPUTED_VALUE"""),44291.0)</f>
        <v>44291</v>
      </c>
      <c r="C59" s="19">
        <f>IFERROR(__xludf.DUMMYFUNCTION("""COMPUTED_VALUE"""),44297.0)</f>
        <v>44297</v>
      </c>
      <c r="D59" s="17">
        <f>IFERROR(__xludf.DUMMYFUNCTION("""COMPUTED_VALUE"""),14.0)</f>
        <v>14</v>
      </c>
      <c r="E59" s="17">
        <f>IFERROR(__xludf.DUMMYFUNCTION("""COMPUTED_VALUE"""),8468.0)</f>
        <v>8468</v>
      </c>
      <c r="F59" s="17">
        <f>IFERROR(__xludf.DUMMYFUNCTION("""COMPUTED_VALUE"""),5460.0)</f>
        <v>5460</v>
      </c>
      <c r="G59" s="75"/>
      <c r="H59" s="63"/>
      <c r="I59" s="75"/>
      <c r="J59" s="21">
        <f t="shared" si="3"/>
        <v>6500</v>
      </c>
      <c r="K59" s="22">
        <f>(F59/(VLOOKUP("Peru",Poblacion!$A$2:$B$5,2,0)))*100000</f>
        <v>16.36719349</v>
      </c>
      <c r="L59" s="22">
        <f>(J59/(VLOOKUP("Peru",Poblacion!$A$2:$B$5,2,0)))*100000</f>
        <v>19.48475415</v>
      </c>
      <c r="M59" s="65">
        <f t="shared" ref="M59:N59" si="60">K59+M58</f>
        <v>455.3047468</v>
      </c>
      <c r="N59" s="22">
        <f t="shared" si="60"/>
        <v>512.5814307</v>
      </c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tr">
        <f>IFERROR(__xludf.DUMMYFUNCTION("""COMPUTED_VALUE"""),"Peru")</f>
        <v>Peru</v>
      </c>
      <c r="B60" s="74">
        <f>IFERROR(__xludf.DUMMYFUNCTION("""COMPUTED_VALUE"""),44298.0)</f>
        <v>44298</v>
      </c>
      <c r="C60" s="19">
        <f>IFERROR(__xludf.DUMMYFUNCTION("""COMPUTED_VALUE"""),44304.0)</f>
        <v>44304</v>
      </c>
      <c r="D60" s="17">
        <f>IFERROR(__xludf.DUMMYFUNCTION("""COMPUTED_VALUE"""),15.0)</f>
        <v>15</v>
      </c>
      <c r="E60" s="17">
        <f>IFERROR(__xludf.DUMMYFUNCTION("""COMPUTED_VALUE"""),8426.0)</f>
        <v>8426</v>
      </c>
      <c r="F60" s="17">
        <f>IFERROR(__xludf.DUMMYFUNCTION("""COMPUTED_VALUE"""),5356.0)</f>
        <v>5356</v>
      </c>
      <c r="G60" s="75"/>
      <c r="H60" s="63"/>
      <c r="I60" s="75"/>
      <c r="J60" s="21">
        <f t="shared" si="3"/>
        <v>6529.666667</v>
      </c>
      <c r="K60" s="22">
        <f>(F60/(VLOOKUP("Peru",Poblacion!$A$2:$B$5,2,0)))*100000</f>
        <v>16.05543742</v>
      </c>
      <c r="L60" s="22">
        <f>(J60/(VLOOKUP("Peru",Poblacion!$A$2:$B$5,2,0)))*100000</f>
        <v>19.57368457</v>
      </c>
      <c r="M60" s="65">
        <f t="shared" ref="M60:N60" si="61">K60+M59</f>
        <v>471.3601842</v>
      </c>
      <c r="N60" s="22">
        <f t="shared" si="61"/>
        <v>532.1551152</v>
      </c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tr">
        <f>IFERROR(__xludf.DUMMYFUNCTION("""COMPUTED_VALUE"""),"Peru")</f>
        <v>Peru</v>
      </c>
      <c r="B61" s="74">
        <f>IFERROR(__xludf.DUMMYFUNCTION("""COMPUTED_VALUE"""),44305.0)</f>
        <v>44305</v>
      </c>
      <c r="C61" s="19">
        <f>IFERROR(__xludf.DUMMYFUNCTION("""COMPUTED_VALUE"""),44311.0)</f>
        <v>44311</v>
      </c>
      <c r="D61" s="17">
        <f>IFERROR(__xludf.DUMMYFUNCTION("""COMPUTED_VALUE"""),16.0)</f>
        <v>16</v>
      </c>
      <c r="E61" s="17">
        <f>IFERROR(__xludf.DUMMYFUNCTION("""COMPUTED_VALUE"""),8246.0)</f>
        <v>8246</v>
      </c>
      <c r="F61" s="17">
        <f>IFERROR(__xludf.DUMMYFUNCTION("""COMPUTED_VALUE"""),5963.0)</f>
        <v>5963</v>
      </c>
      <c r="G61" s="75"/>
      <c r="H61" s="63"/>
      <c r="I61" s="75"/>
      <c r="J61" s="21">
        <f t="shared" si="3"/>
        <v>6270</v>
      </c>
      <c r="K61" s="22">
        <f>(F61/(VLOOKUP("Peru",Poblacion!$A$2:$B$5,2,0)))*100000</f>
        <v>17.8750137</v>
      </c>
      <c r="L61" s="22">
        <f>(J61/(VLOOKUP("Peru",Poblacion!$A$2:$B$5,2,0)))*100000</f>
        <v>18.79529362</v>
      </c>
      <c r="M61" s="65">
        <f t="shared" ref="M61:N61" si="62">K61+M60</f>
        <v>489.2351979</v>
      </c>
      <c r="N61" s="22">
        <f t="shared" si="62"/>
        <v>550.9504089</v>
      </c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tr">
        <f>IFERROR(__xludf.DUMMYFUNCTION("""COMPUTED_VALUE"""),"Peru")</f>
        <v>Peru</v>
      </c>
      <c r="B62" s="74">
        <f>IFERROR(__xludf.DUMMYFUNCTION("""COMPUTED_VALUE"""),44312.0)</f>
        <v>44312</v>
      </c>
      <c r="C62" s="19">
        <f>IFERROR(__xludf.DUMMYFUNCTION("""COMPUTED_VALUE"""),44318.0)</f>
        <v>44318</v>
      </c>
      <c r="D62" s="17">
        <f>IFERROR(__xludf.DUMMYFUNCTION("""COMPUTED_VALUE"""),17.0)</f>
        <v>17</v>
      </c>
      <c r="E62" s="17">
        <f>IFERROR(__xludf.DUMMYFUNCTION("""COMPUTED_VALUE"""),7695.0)</f>
        <v>7695</v>
      </c>
      <c r="F62" s="17">
        <f>IFERROR(__xludf.DUMMYFUNCTION("""COMPUTED_VALUE"""),4914.0)</f>
        <v>4914</v>
      </c>
      <c r="G62" s="75"/>
      <c r="H62" s="63"/>
      <c r="I62" s="75"/>
      <c r="J62" s="21">
        <f t="shared" si="3"/>
        <v>5795.333333</v>
      </c>
      <c r="K62" s="22">
        <f>(F62/(VLOOKUP("Peru",Poblacion!$A$2:$B$5,2,0)))*100000</f>
        <v>14.73047414</v>
      </c>
      <c r="L62" s="22">
        <f>(J62/(VLOOKUP("Peru",Poblacion!$A$2:$B$5,2,0)))*100000</f>
        <v>17.37240696</v>
      </c>
      <c r="M62" s="65">
        <f t="shared" ref="M62:N62" si="63">K62+M61</f>
        <v>503.9656721</v>
      </c>
      <c r="N62" s="22">
        <f t="shared" si="63"/>
        <v>568.3228158</v>
      </c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tr">
        <f>IFERROR(__xludf.DUMMYFUNCTION("""COMPUTED_VALUE"""),"Peru")</f>
        <v>Peru</v>
      </c>
      <c r="B63" s="74">
        <f>IFERROR(__xludf.DUMMYFUNCTION("""COMPUTED_VALUE"""),44319.0)</f>
        <v>44319</v>
      </c>
      <c r="C63" s="19">
        <f>IFERROR(__xludf.DUMMYFUNCTION("""COMPUTED_VALUE"""),44325.0)</f>
        <v>44325</v>
      </c>
      <c r="D63" s="17">
        <f>IFERROR(__xludf.DUMMYFUNCTION("""COMPUTED_VALUE"""),18.0)</f>
        <v>18</v>
      </c>
      <c r="E63" s="17">
        <f>IFERROR(__xludf.DUMMYFUNCTION("""COMPUTED_VALUE"""),7171.0)</f>
        <v>7171</v>
      </c>
      <c r="F63" s="17">
        <f>IFERROR(__xludf.DUMMYFUNCTION("""COMPUTED_VALUE"""),4983.0)</f>
        <v>4983</v>
      </c>
      <c r="G63" s="75"/>
      <c r="H63" s="63"/>
      <c r="I63" s="75"/>
      <c r="J63" s="21">
        <f t="shared" si="3"/>
        <v>5187.333333</v>
      </c>
      <c r="K63" s="22">
        <f>(F63/(VLOOKUP("Peru",Poblacion!$A$2:$B$5,2,0)))*100000</f>
        <v>14.9373123</v>
      </c>
      <c r="L63" s="22">
        <f>(J63/(VLOOKUP("Peru",Poblacion!$A$2:$B$5,2,0)))*100000</f>
        <v>15.54983303</v>
      </c>
      <c r="M63" s="65">
        <f t="shared" ref="M63:N63" si="64">K63+M62</f>
        <v>518.9029844</v>
      </c>
      <c r="N63" s="22">
        <f t="shared" si="64"/>
        <v>583.8726488</v>
      </c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tr">
        <f>IFERROR(__xludf.DUMMYFUNCTION("""COMPUTED_VALUE"""),"Peru")</f>
        <v>Peru</v>
      </c>
      <c r="B64" s="74">
        <f>IFERROR(__xludf.DUMMYFUNCTION("""COMPUTED_VALUE"""),44326.0)</f>
        <v>44326</v>
      </c>
      <c r="C64" s="19">
        <f>IFERROR(__xludf.DUMMYFUNCTION("""COMPUTED_VALUE"""),44332.0)</f>
        <v>44332</v>
      </c>
      <c r="D64" s="17">
        <f>IFERROR(__xludf.DUMMYFUNCTION("""COMPUTED_VALUE"""),19.0)</f>
        <v>19</v>
      </c>
      <c r="E64" s="17">
        <f>IFERROR(__xludf.DUMMYFUNCTION("""COMPUTED_VALUE"""),6533.0)</f>
        <v>6533</v>
      </c>
      <c r="F64" s="17">
        <f>IFERROR(__xludf.DUMMYFUNCTION("""COMPUTED_VALUE"""),4093.0)</f>
        <v>4093</v>
      </c>
      <c r="G64" s="75"/>
      <c r="H64" s="63"/>
      <c r="I64" s="75"/>
      <c r="J64" s="21">
        <f t="shared" si="3"/>
        <v>4622</v>
      </c>
      <c r="K64" s="22">
        <f>(F64/(VLOOKUP("Peru",Poblacion!$A$2:$B$5,2,0)))*100000</f>
        <v>12.26939981</v>
      </c>
      <c r="L64" s="22">
        <f>(J64/(VLOOKUP("Peru",Poblacion!$A$2:$B$5,2,0)))*100000</f>
        <v>13.85515903</v>
      </c>
      <c r="M64" s="65">
        <f t="shared" ref="M64:N64" si="65">K64+M63</f>
        <v>531.1723842</v>
      </c>
      <c r="N64" s="22">
        <f t="shared" si="65"/>
        <v>597.7278079</v>
      </c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tr">
        <f>IFERROR(__xludf.DUMMYFUNCTION("""COMPUTED_VALUE"""),"Peru")</f>
        <v>Peru</v>
      </c>
      <c r="B65" s="74">
        <f>IFERROR(__xludf.DUMMYFUNCTION("""COMPUTED_VALUE"""),44333.0)</f>
        <v>44333</v>
      </c>
      <c r="C65" s="19">
        <f>IFERROR(__xludf.DUMMYFUNCTION("""COMPUTED_VALUE"""),44339.0)</f>
        <v>44339</v>
      </c>
      <c r="D65" s="17">
        <f>IFERROR(__xludf.DUMMYFUNCTION("""COMPUTED_VALUE"""),20.0)</f>
        <v>20</v>
      </c>
      <c r="E65" s="17">
        <f>IFERROR(__xludf.DUMMYFUNCTION("""COMPUTED_VALUE"""),6053.0)</f>
        <v>6053</v>
      </c>
      <c r="F65" s="17">
        <f>IFERROR(__xludf.DUMMYFUNCTION("""COMPUTED_VALUE"""),3409.0)</f>
        <v>3409</v>
      </c>
      <c r="G65" s="75"/>
      <c r="H65" s="63"/>
      <c r="I65" s="75"/>
      <c r="J65" s="21">
        <f t="shared" si="3"/>
        <v>4069</v>
      </c>
      <c r="K65" s="22">
        <f>(F65/(VLOOKUP("Peru",Poblacion!$A$2:$B$5,2,0)))*100000</f>
        <v>10.21900414</v>
      </c>
      <c r="L65" s="22">
        <f>(J65/(VLOOKUP("Peru",Poblacion!$A$2:$B$5,2,0)))*100000</f>
        <v>12.1974561</v>
      </c>
      <c r="M65" s="65">
        <f t="shared" ref="M65:N65" si="66">K65+M64</f>
        <v>541.3913883</v>
      </c>
      <c r="N65" s="22">
        <f t="shared" si="66"/>
        <v>609.925264</v>
      </c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tr">
        <f>IFERROR(__xludf.DUMMYFUNCTION("""COMPUTED_VALUE"""),"Peru")</f>
        <v>Peru</v>
      </c>
      <c r="B66" s="74">
        <f>IFERROR(__xludf.DUMMYFUNCTION("""COMPUTED_VALUE"""),44340.0)</f>
        <v>44340</v>
      </c>
      <c r="C66" s="19">
        <f>IFERROR(__xludf.DUMMYFUNCTION("""COMPUTED_VALUE"""),44346.0)</f>
        <v>44346</v>
      </c>
      <c r="D66" s="17">
        <f>IFERROR(__xludf.DUMMYFUNCTION("""COMPUTED_VALUE"""),21.0)</f>
        <v>21</v>
      </c>
      <c r="E66" s="17">
        <f>IFERROR(__xludf.DUMMYFUNCTION("""COMPUTED_VALUE"""),5629.0)</f>
        <v>5629</v>
      </c>
      <c r="F66" s="17">
        <f>IFERROR(__xludf.DUMMYFUNCTION("""COMPUTED_VALUE"""),2786.0)</f>
        <v>2786</v>
      </c>
      <c r="G66" s="75"/>
      <c r="H66" s="63"/>
      <c r="I66" s="75"/>
      <c r="J66" s="21">
        <f t="shared" si="3"/>
        <v>3595</v>
      </c>
      <c r="K66" s="22">
        <f>(F66/(VLOOKUP("Peru",Poblacion!$A$2:$B$5,2,0)))*100000</f>
        <v>8.351465396</v>
      </c>
      <c r="L66" s="22">
        <f>(J66/(VLOOKUP("Peru",Poblacion!$A$2:$B$5,2,0)))*100000</f>
        <v>10.77656787</v>
      </c>
      <c r="M66" s="65">
        <f t="shared" ref="M66:N66" si="67">K66+M65</f>
        <v>549.7428537</v>
      </c>
      <c r="N66" s="22">
        <f t="shared" si="67"/>
        <v>620.7018319</v>
      </c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tr">
        <f>IFERROR(__xludf.DUMMYFUNCTION("""COMPUTED_VALUE"""),"Peru")</f>
        <v>Peru</v>
      </c>
      <c r="B67" s="74">
        <f>IFERROR(__xludf.DUMMYFUNCTION("""COMPUTED_VALUE"""),44347.0)</f>
        <v>44347</v>
      </c>
      <c r="C67" s="19">
        <f>IFERROR(__xludf.DUMMYFUNCTION("""COMPUTED_VALUE"""),44353.0)</f>
        <v>44353</v>
      </c>
      <c r="D67" s="17">
        <f>IFERROR(__xludf.DUMMYFUNCTION("""COMPUTED_VALUE"""),22.0)</f>
        <v>22</v>
      </c>
      <c r="E67" s="17">
        <f>IFERROR(__xludf.DUMMYFUNCTION("""COMPUTED_VALUE"""),5291.0)</f>
        <v>5291</v>
      </c>
      <c r="F67" s="17">
        <f>IFERROR(__xludf.DUMMYFUNCTION("""COMPUTED_VALUE"""),2682.0)</f>
        <v>2682</v>
      </c>
      <c r="G67" s="75"/>
      <c r="H67" s="63"/>
      <c r="I67" s="75"/>
      <c r="J67" s="21">
        <f t="shared" si="3"/>
        <v>3241</v>
      </c>
      <c r="K67" s="22">
        <f>(F67/(VLOOKUP("Peru",Poblacion!$A$2:$B$5,2,0)))*100000</f>
        <v>8.039709329</v>
      </c>
      <c r="L67" s="22">
        <f>(J67/(VLOOKUP("Peru",Poblacion!$A$2:$B$5,2,0)))*100000</f>
        <v>9.715398187</v>
      </c>
      <c r="M67" s="65">
        <f t="shared" ref="M67:N67" si="68">K67+M66</f>
        <v>557.782563</v>
      </c>
      <c r="N67" s="22">
        <f t="shared" si="68"/>
        <v>630.41723</v>
      </c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tr">
        <f>IFERROR(__xludf.DUMMYFUNCTION("""COMPUTED_VALUE"""),"Peru")</f>
        <v>Peru</v>
      </c>
      <c r="B68" s="74">
        <f>IFERROR(__xludf.DUMMYFUNCTION("""COMPUTED_VALUE"""),44354.0)</f>
        <v>44354</v>
      </c>
      <c r="C68" s="19">
        <f>IFERROR(__xludf.DUMMYFUNCTION("""COMPUTED_VALUE"""),44360.0)</f>
        <v>44360</v>
      </c>
      <c r="D68" s="17">
        <f>IFERROR(__xludf.DUMMYFUNCTION("""COMPUTED_VALUE"""),23.0)</f>
        <v>23</v>
      </c>
      <c r="E68" s="17">
        <f>IFERROR(__xludf.DUMMYFUNCTION("""COMPUTED_VALUE"""),4726.0)</f>
        <v>4726</v>
      </c>
      <c r="F68" s="17">
        <f>IFERROR(__xludf.DUMMYFUNCTION("""COMPUTED_VALUE"""),2635.0)</f>
        <v>2635</v>
      </c>
      <c r="G68" s="75"/>
      <c r="H68" s="63"/>
      <c r="I68" s="75"/>
      <c r="J68" s="21">
        <f t="shared" si="3"/>
        <v>2591</v>
      </c>
      <c r="K68" s="22">
        <f>(F68/(VLOOKUP("Peru",Poblacion!$A$2:$B$5,2,0)))*100000</f>
        <v>7.898819569</v>
      </c>
      <c r="L68" s="22">
        <f>(J68/(VLOOKUP("Peru",Poblacion!$A$2:$B$5,2,0)))*100000</f>
        <v>7.766922771</v>
      </c>
      <c r="M68" s="65">
        <f t="shared" ref="M68:N68" si="69">K68+M67</f>
        <v>565.6813826</v>
      </c>
      <c r="N68" s="22">
        <f t="shared" si="69"/>
        <v>638.1841528</v>
      </c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tr">
        <f>IFERROR(__xludf.DUMMYFUNCTION("""COMPUTED_VALUE"""),"Peru")</f>
        <v>Peru</v>
      </c>
      <c r="B69" s="74">
        <f>IFERROR(__xludf.DUMMYFUNCTION("""COMPUTED_VALUE"""),44361.0)</f>
        <v>44361</v>
      </c>
      <c r="C69" s="19">
        <f>IFERROR(__xludf.DUMMYFUNCTION("""COMPUTED_VALUE"""),44367.0)</f>
        <v>44367</v>
      </c>
      <c r="D69" s="17">
        <f>IFERROR(__xludf.DUMMYFUNCTION("""COMPUTED_VALUE"""),24.0)</f>
        <v>24</v>
      </c>
      <c r="E69" s="17">
        <f>IFERROR(__xludf.DUMMYFUNCTION("""COMPUTED_VALUE"""),4333.0)</f>
        <v>4333</v>
      </c>
      <c r="F69" s="17">
        <f>IFERROR(__xludf.DUMMYFUNCTION("""COMPUTED_VALUE"""),1494.0)</f>
        <v>1494</v>
      </c>
      <c r="G69" s="75"/>
      <c r="H69" s="63"/>
      <c r="I69" s="75"/>
      <c r="J69" s="21">
        <f t="shared" si="3"/>
        <v>2183</v>
      </c>
      <c r="K69" s="22">
        <f>(F69/(VLOOKUP("Peru",Poblacion!$A$2:$B$5,2,0)))*100000</f>
        <v>4.478495801</v>
      </c>
      <c r="L69" s="22">
        <f>(J69/(VLOOKUP("Peru",Poblacion!$A$2:$B$5,2,0)))*100000</f>
        <v>6.543879741</v>
      </c>
      <c r="M69" s="65">
        <f t="shared" ref="M69:N69" si="70">K69+M68</f>
        <v>570.1598784</v>
      </c>
      <c r="N69" s="22">
        <f t="shared" si="70"/>
        <v>644.7280326</v>
      </c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tr">
        <f>IFERROR(__xludf.DUMMYFUNCTION("""COMPUTED_VALUE"""),"Peru")</f>
        <v>Peru</v>
      </c>
      <c r="B70" s="74">
        <f>IFERROR(__xludf.DUMMYFUNCTION("""COMPUTED_VALUE"""),44368.0)</f>
        <v>44368</v>
      </c>
      <c r="C70" s="19">
        <f>IFERROR(__xludf.DUMMYFUNCTION("""COMPUTED_VALUE"""),44374.0)</f>
        <v>44374</v>
      </c>
      <c r="D70" s="17">
        <f>IFERROR(__xludf.DUMMYFUNCTION("""COMPUTED_VALUE"""),25.0)</f>
        <v>25</v>
      </c>
      <c r="E70" s="17">
        <f>IFERROR(__xludf.DUMMYFUNCTION("""COMPUTED_VALUE"""),4024.0)</f>
        <v>4024</v>
      </c>
      <c r="F70" s="17">
        <f>IFERROR(__xludf.DUMMYFUNCTION("""COMPUTED_VALUE"""),1382.0)</f>
        <v>1382</v>
      </c>
      <c r="G70" s="75"/>
      <c r="H70" s="63"/>
      <c r="I70" s="75"/>
      <c r="J70" s="21">
        <f t="shared" si="3"/>
        <v>1800.666667</v>
      </c>
      <c r="K70" s="22">
        <f>(F70/(VLOOKUP("Peru",Poblacion!$A$2:$B$5,2,0)))*100000</f>
        <v>4.142758499</v>
      </c>
      <c r="L70" s="22">
        <f>(J70/(VLOOKUP("Peru",Poblacion!$A$2:$B$5,2,0)))*100000</f>
        <v>5.39777651</v>
      </c>
      <c r="M70" s="65">
        <f t="shared" ref="M70:N70" si="71">K70+M69</f>
        <v>574.3026369</v>
      </c>
      <c r="N70" s="22">
        <f t="shared" si="71"/>
        <v>650.1258091</v>
      </c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tr">
        <f>IFERROR(__xludf.DUMMYFUNCTION("""COMPUTED_VALUE"""),"Peru")</f>
        <v>Peru</v>
      </c>
      <c r="B71" s="74">
        <f>IFERROR(__xludf.DUMMYFUNCTION("""COMPUTED_VALUE"""),44375.0)</f>
        <v>44375</v>
      </c>
      <c r="C71" s="19">
        <f>IFERROR(__xludf.DUMMYFUNCTION("""COMPUTED_VALUE"""),44381.0)</f>
        <v>44381</v>
      </c>
      <c r="D71" s="17">
        <f>IFERROR(__xludf.DUMMYFUNCTION("""COMPUTED_VALUE"""),26.0)</f>
        <v>26</v>
      </c>
      <c r="E71" s="17">
        <f>IFERROR(__xludf.DUMMYFUNCTION("""COMPUTED_VALUE"""),3816.0)</f>
        <v>3816</v>
      </c>
      <c r="F71" s="17">
        <f>IFERROR(__xludf.DUMMYFUNCTION("""COMPUTED_VALUE"""),1646.0)</f>
        <v>1646</v>
      </c>
      <c r="G71" s="75"/>
      <c r="H71" s="63"/>
      <c r="I71" s="75"/>
      <c r="J71" s="21">
        <f t="shared" si="3"/>
        <v>1615.666667</v>
      </c>
      <c r="K71" s="22">
        <f>(F71/(VLOOKUP("Peru",Poblacion!$A$2:$B$5,2,0)))*100000</f>
        <v>4.934139283</v>
      </c>
      <c r="L71" s="22">
        <f>(J71/(VLOOKUP("Peru",Poblacion!$A$2:$B$5,2,0)))*100000</f>
        <v>4.84321043</v>
      </c>
      <c r="M71" s="65">
        <f t="shared" ref="M71:N71" si="72">K71+M70</f>
        <v>579.2367762</v>
      </c>
      <c r="N71" s="22">
        <f t="shared" si="72"/>
        <v>654.9690195</v>
      </c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tr">
        <f>IFERROR(__xludf.DUMMYFUNCTION("""COMPUTED_VALUE"""),"Peru")</f>
        <v>Peru</v>
      </c>
      <c r="B72" s="74">
        <f>IFERROR(__xludf.DUMMYFUNCTION("""COMPUTED_VALUE"""),44382.0)</f>
        <v>44382</v>
      </c>
      <c r="C72" s="19">
        <f>IFERROR(__xludf.DUMMYFUNCTION("""COMPUTED_VALUE"""),44388.0)</f>
        <v>44388</v>
      </c>
      <c r="D72" s="17">
        <f>IFERROR(__xludf.DUMMYFUNCTION("""COMPUTED_VALUE"""),27.0)</f>
        <v>27</v>
      </c>
      <c r="E72" s="17">
        <f>IFERROR(__xludf.DUMMYFUNCTION("""COMPUTED_VALUE"""),3599.0)</f>
        <v>3599</v>
      </c>
      <c r="F72" s="17">
        <f>IFERROR(__xludf.DUMMYFUNCTION("""COMPUTED_VALUE"""),1157.0)</f>
        <v>1157</v>
      </c>
      <c r="G72" s="75"/>
      <c r="H72" s="63"/>
      <c r="I72" s="75"/>
      <c r="J72" s="21">
        <f t="shared" si="3"/>
        <v>1359</v>
      </c>
      <c r="K72" s="22">
        <f>(F72/(VLOOKUP("Peru",Poblacion!$A$2:$B$5,2,0)))*100000</f>
        <v>3.468286239</v>
      </c>
      <c r="L72" s="22">
        <f>(J72/(VLOOKUP("Peru",Poblacion!$A$2:$B$5,2,0)))*100000</f>
        <v>4.073812445</v>
      </c>
      <c r="M72" s="65">
        <f t="shared" ref="M72:N72" si="73">K72+M71</f>
        <v>582.7050624</v>
      </c>
      <c r="N72" s="22">
        <f t="shared" si="73"/>
        <v>659.0428319</v>
      </c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tr">
        <f>IFERROR(__xludf.DUMMYFUNCTION("""COMPUTED_VALUE"""),"Peru")</f>
        <v>Peru</v>
      </c>
      <c r="B73" s="74">
        <f>IFERROR(__xludf.DUMMYFUNCTION("""COMPUTED_VALUE"""),44389.0)</f>
        <v>44389</v>
      </c>
      <c r="C73" s="19">
        <f>IFERROR(__xludf.DUMMYFUNCTION("""COMPUTED_VALUE"""),44395.0)</f>
        <v>44395</v>
      </c>
      <c r="D73" s="17">
        <f>IFERROR(__xludf.DUMMYFUNCTION("""COMPUTED_VALUE"""),28.0)</f>
        <v>28</v>
      </c>
      <c r="E73" s="17">
        <f>IFERROR(__xludf.DUMMYFUNCTION("""COMPUTED_VALUE"""),3333.0)</f>
        <v>3333</v>
      </c>
      <c r="F73" s="17">
        <f>IFERROR(__xludf.DUMMYFUNCTION("""COMPUTED_VALUE"""),759.0)</f>
        <v>759</v>
      </c>
      <c r="G73" s="75"/>
      <c r="H73" s="63"/>
      <c r="I73" s="75"/>
      <c r="J73" s="21">
        <f t="shared" si="3"/>
        <v>1191.333333</v>
      </c>
      <c r="K73" s="22">
        <f>(F73/(VLOOKUP("Peru",Poblacion!$A$2:$B$5,2,0)))*100000</f>
        <v>2.275219754</v>
      </c>
      <c r="L73" s="22">
        <f>(J73/(VLOOKUP("Peru",Poblacion!$A$2:$B$5,2,0)))*100000</f>
        <v>3.57120571</v>
      </c>
      <c r="M73" s="65">
        <f t="shared" ref="M73:N73" si="74">K73+M72</f>
        <v>584.9802822</v>
      </c>
      <c r="N73" s="22">
        <f t="shared" si="74"/>
        <v>662.6140376</v>
      </c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tr">
        <f>IFERROR(__xludf.DUMMYFUNCTION("""COMPUTED_VALUE"""),"Peru")</f>
        <v>Peru</v>
      </c>
      <c r="B74" s="74">
        <f>IFERROR(__xludf.DUMMYFUNCTION("""COMPUTED_VALUE"""),44396.0)</f>
        <v>44396</v>
      </c>
      <c r="C74" s="19">
        <f>IFERROR(__xludf.DUMMYFUNCTION("""COMPUTED_VALUE"""),44402.0)</f>
        <v>44402</v>
      </c>
      <c r="D74" s="17">
        <f>IFERROR(__xludf.DUMMYFUNCTION("""COMPUTED_VALUE"""),29.0)</f>
        <v>29</v>
      </c>
      <c r="E74" s="17">
        <f>IFERROR(__xludf.DUMMYFUNCTION("""COMPUTED_VALUE"""),3250.0)</f>
        <v>3250</v>
      </c>
      <c r="F74" s="17">
        <f>IFERROR(__xludf.DUMMYFUNCTION("""COMPUTED_VALUE"""),744.0)</f>
        <v>744</v>
      </c>
      <c r="G74" s="75"/>
      <c r="H74" s="63"/>
      <c r="I74" s="75"/>
      <c r="J74" s="21">
        <f t="shared" si="3"/>
        <v>1050.333333</v>
      </c>
      <c r="K74" s="22">
        <f>(F74/(VLOOKUP("Peru",Poblacion!$A$2:$B$5,2,0)))*100000</f>
        <v>2.230254937</v>
      </c>
      <c r="L74" s="22">
        <f>(J74/(VLOOKUP("Peru",Poblacion!$A$2:$B$5,2,0)))*100000</f>
        <v>3.148536428</v>
      </c>
      <c r="M74" s="65">
        <f t="shared" ref="M74:N74" si="75">K74+M73</f>
        <v>587.2105371</v>
      </c>
      <c r="N74" s="22">
        <f t="shared" si="75"/>
        <v>665.7625741</v>
      </c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tr">
        <f>IFERROR(__xludf.DUMMYFUNCTION("""COMPUTED_VALUE"""),"Peru")</f>
        <v>Peru</v>
      </c>
      <c r="B75" s="74">
        <f>IFERROR(__xludf.DUMMYFUNCTION("""COMPUTED_VALUE"""),44403.0)</f>
        <v>44403</v>
      </c>
      <c r="C75" s="19">
        <f>IFERROR(__xludf.DUMMYFUNCTION("""COMPUTED_VALUE"""),44409.0)</f>
        <v>44409</v>
      </c>
      <c r="D75" s="17">
        <f>IFERROR(__xludf.DUMMYFUNCTION("""COMPUTED_VALUE"""),30.0)</f>
        <v>30</v>
      </c>
      <c r="E75" s="17">
        <f>IFERROR(__xludf.DUMMYFUNCTION("""COMPUTED_VALUE"""),3164.0)</f>
        <v>3164</v>
      </c>
      <c r="F75" s="17">
        <f>IFERROR(__xludf.DUMMYFUNCTION("""COMPUTED_VALUE"""),548.0)</f>
        <v>548</v>
      </c>
      <c r="G75" s="75"/>
      <c r="H75" s="63"/>
      <c r="I75" s="75"/>
      <c r="J75" s="21">
        <f t="shared" si="3"/>
        <v>948.6666667</v>
      </c>
      <c r="K75" s="22">
        <f>(F75/(VLOOKUP("Peru",Poblacion!$A$2:$B$5,2,0)))*100000</f>
        <v>1.642714658</v>
      </c>
      <c r="L75" s="22">
        <f>(J75/(VLOOKUP("Peru",Poblacion!$A$2:$B$5,2,0)))*100000</f>
        <v>2.843774888</v>
      </c>
      <c r="M75" s="65">
        <f t="shared" ref="M75:N75" si="76">K75+M74</f>
        <v>588.8532518</v>
      </c>
      <c r="N75" s="22">
        <f t="shared" si="76"/>
        <v>668.606349</v>
      </c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tr">
        <f>IFERROR(__xludf.DUMMYFUNCTION("""COMPUTED_VALUE"""),"Peru")</f>
        <v>Peru</v>
      </c>
      <c r="B76" s="74">
        <f>IFERROR(__xludf.DUMMYFUNCTION("""COMPUTED_VALUE"""),44410.0)</f>
        <v>44410</v>
      </c>
      <c r="C76" s="19">
        <f>IFERROR(__xludf.DUMMYFUNCTION("""COMPUTED_VALUE"""),44416.0)</f>
        <v>44416</v>
      </c>
      <c r="D76" s="17">
        <f>IFERROR(__xludf.DUMMYFUNCTION("""COMPUTED_VALUE"""),31.0)</f>
        <v>31</v>
      </c>
      <c r="E76" s="17">
        <f>IFERROR(__xludf.DUMMYFUNCTION("""COMPUTED_VALUE"""),3062.0)</f>
        <v>3062</v>
      </c>
      <c r="F76" s="17">
        <f>IFERROR(__xludf.DUMMYFUNCTION("""COMPUTED_VALUE"""),512.0)</f>
        <v>512</v>
      </c>
      <c r="G76" s="75"/>
      <c r="H76" s="63"/>
      <c r="I76" s="75"/>
      <c r="J76" s="21">
        <f t="shared" si="3"/>
        <v>879.3333333</v>
      </c>
      <c r="K76" s="22">
        <f>(F76/(VLOOKUP("Peru",Poblacion!$A$2:$B$5,2,0)))*100000</f>
        <v>1.534799096</v>
      </c>
      <c r="L76" s="22">
        <f>(J76/(VLOOKUP("Peru",Poblacion!$A$2:$B$5,2,0)))*100000</f>
        <v>2.635937511</v>
      </c>
      <c r="M76" s="65">
        <f t="shared" ref="M76:N76" si="77">K76+M75</f>
        <v>590.3880509</v>
      </c>
      <c r="N76" s="22">
        <f t="shared" si="77"/>
        <v>671.2422865</v>
      </c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tr">
        <f>IFERROR(__xludf.DUMMYFUNCTION("""COMPUTED_VALUE"""),"Peru")</f>
        <v>Peru</v>
      </c>
      <c r="B77" s="74">
        <f>IFERROR(__xludf.DUMMYFUNCTION("""COMPUTED_VALUE"""),44417.0)</f>
        <v>44417</v>
      </c>
      <c r="C77" s="19">
        <f>IFERROR(__xludf.DUMMYFUNCTION("""COMPUTED_VALUE"""),44423.0)</f>
        <v>44423</v>
      </c>
      <c r="D77" s="17">
        <f>IFERROR(__xludf.DUMMYFUNCTION("""COMPUTED_VALUE"""),32.0)</f>
        <v>32</v>
      </c>
      <c r="E77" s="17">
        <f>IFERROR(__xludf.DUMMYFUNCTION("""COMPUTED_VALUE"""),3112.0)</f>
        <v>3112</v>
      </c>
      <c r="F77" s="17">
        <f>IFERROR(__xludf.DUMMYFUNCTION("""COMPUTED_VALUE"""),443.0)</f>
        <v>443</v>
      </c>
      <c r="G77" s="75"/>
      <c r="H77" s="63"/>
      <c r="I77" s="75"/>
      <c r="J77" s="21">
        <f t="shared" si="3"/>
        <v>881.6666667</v>
      </c>
      <c r="K77" s="22">
        <f>(F77/(VLOOKUP("Peru",Poblacion!$A$2:$B$5,2,0)))*100000</f>
        <v>1.327960937</v>
      </c>
      <c r="L77" s="22">
        <f>(J77/(VLOOKUP("Peru",Poblacion!$A$2:$B$5,2,0)))*100000</f>
        <v>2.642932038</v>
      </c>
      <c r="M77" s="65">
        <f t="shared" ref="M77:N77" si="78">K77+M76</f>
        <v>591.7160118</v>
      </c>
      <c r="N77" s="22">
        <f t="shared" si="78"/>
        <v>673.8852185</v>
      </c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tr">
        <f>IFERROR(__xludf.DUMMYFUNCTION("""COMPUTED_VALUE"""),"Peru")</f>
        <v>Peru</v>
      </c>
      <c r="B78" s="74">
        <f>IFERROR(__xludf.DUMMYFUNCTION("""COMPUTED_VALUE"""),44424.0)</f>
        <v>44424</v>
      </c>
      <c r="C78" s="19">
        <f>IFERROR(__xludf.DUMMYFUNCTION("""COMPUTED_VALUE"""),44430.0)</f>
        <v>44430</v>
      </c>
      <c r="D78" s="17">
        <f>IFERROR(__xludf.DUMMYFUNCTION("""COMPUTED_VALUE"""),33.0)</f>
        <v>33</v>
      </c>
      <c r="E78" s="17">
        <f>IFERROR(__xludf.DUMMYFUNCTION("""COMPUTED_VALUE"""),2936.0)</f>
        <v>2936</v>
      </c>
      <c r="F78" s="17">
        <f>IFERROR(__xludf.DUMMYFUNCTION("""COMPUTED_VALUE"""),486.0)</f>
        <v>486</v>
      </c>
      <c r="G78" s="75"/>
      <c r="H78" s="63"/>
      <c r="I78" s="75"/>
      <c r="J78" s="21">
        <f t="shared" si="3"/>
        <v>801</v>
      </c>
      <c r="K78" s="22">
        <f>(F78/(VLOOKUP("Peru",Poblacion!$A$2:$B$5,2,0)))*100000</f>
        <v>1.45686008</v>
      </c>
      <c r="L78" s="22">
        <f>(J78/(VLOOKUP("Peru",Poblacion!$A$2:$B$5,2,0)))*100000</f>
        <v>2.401121243</v>
      </c>
      <c r="M78" s="65">
        <f t="shared" ref="M78:N78" si="79">K78+M77</f>
        <v>593.1728719</v>
      </c>
      <c r="N78" s="22">
        <f t="shared" si="79"/>
        <v>676.2863398</v>
      </c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tr">
        <f>IFERROR(__xludf.DUMMYFUNCTION("""COMPUTED_VALUE"""),"Peru")</f>
        <v>Peru</v>
      </c>
      <c r="B79" s="74">
        <f>IFERROR(__xludf.DUMMYFUNCTION("""COMPUTED_VALUE"""),44431.0)</f>
        <v>44431</v>
      </c>
      <c r="C79" s="19">
        <f>IFERROR(__xludf.DUMMYFUNCTION("""COMPUTED_VALUE"""),44437.0)</f>
        <v>44437</v>
      </c>
      <c r="D79" s="17">
        <f>IFERROR(__xludf.DUMMYFUNCTION("""COMPUTED_VALUE"""),34.0)</f>
        <v>34</v>
      </c>
      <c r="E79" s="17">
        <f>IFERROR(__xludf.DUMMYFUNCTION("""COMPUTED_VALUE"""),3107.0)</f>
        <v>3107</v>
      </c>
      <c r="F79" s="17">
        <f>IFERROR(__xludf.DUMMYFUNCTION("""COMPUTED_VALUE"""),236.0)</f>
        <v>236</v>
      </c>
      <c r="G79" s="75"/>
      <c r="H79" s="63"/>
      <c r="I79" s="75"/>
      <c r="J79" s="21">
        <f t="shared" si="3"/>
        <v>984</v>
      </c>
      <c r="K79" s="22">
        <f>(F79/(VLOOKUP("Peru",Poblacion!$A$2:$B$5,2,0)))*100000</f>
        <v>0.7074464585</v>
      </c>
      <c r="L79" s="22">
        <f>(J79/(VLOOKUP("Peru",Poblacion!$A$2:$B$5,2,0)))*100000</f>
        <v>2.949692013</v>
      </c>
      <c r="M79" s="65">
        <f t="shared" ref="M79:N79" si="80">K79+M78</f>
        <v>593.8803183</v>
      </c>
      <c r="N79" s="22">
        <f t="shared" si="80"/>
        <v>679.2360318</v>
      </c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tr">
        <f>IFERROR(__xludf.DUMMYFUNCTION("""COMPUTED_VALUE"""),"Peru")</f>
        <v>Peru</v>
      </c>
      <c r="B80" s="74">
        <f>IFERROR(__xludf.DUMMYFUNCTION("""COMPUTED_VALUE"""),44438.0)</f>
        <v>44438</v>
      </c>
      <c r="C80" s="19">
        <f>IFERROR(__xludf.DUMMYFUNCTION("""COMPUTED_VALUE"""),44444.0)</f>
        <v>44444</v>
      </c>
      <c r="D80" s="17">
        <f>IFERROR(__xludf.DUMMYFUNCTION("""COMPUTED_VALUE"""),35.0)</f>
        <v>35</v>
      </c>
      <c r="E80" s="17">
        <f>IFERROR(__xludf.DUMMYFUNCTION("""COMPUTED_VALUE"""),2983.0)</f>
        <v>2983</v>
      </c>
      <c r="F80" s="17">
        <f>IFERROR(__xludf.DUMMYFUNCTION("""COMPUTED_VALUE"""),373.0)</f>
        <v>373</v>
      </c>
      <c r="G80" s="75"/>
      <c r="H80" s="63"/>
      <c r="I80" s="75"/>
      <c r="J80" s="21">
        <f t="shared" si="3"/>
        <v>789.6666667</v>
      </c>
      <c r="K80" s="22">
        <f>(F80/(VLOOKUP("Peru",Poblacion!$A$2:$B$5,2,0)))*100000</f>
        <v>1.118125123</v>
      </c>
      <c r="L80" s="22">
        <f>(J80/(VLOOKUP("Peru",Poblacion!$A$2:$B$5,2,0)))*100000</f>
        <v>2.367147825</v>
      </c>
      <c r="M80" s="65">
        <f t="shared" ref="M80:N80" si="81">K80+M79</f>
        <v>594.9984435</v>
      </c>
      <c r="N80" s="22">
        <f t="shared" si="81"/>
        <v>681.6031796</v>
      </c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tr">
        <f>IFERROR(__xludf.DUMMYFUNCTION("""COMPUTED_VALUE"""),"Peru")</f>
        <v>Peru</v>
      </c>
      <c r="B81" s="74">
        <f>IFERROR(__xludf.DUMMYFUNCTION("""COMPUTED_VALUE"""),44445.0)</f>
        <v>44445</v>
      </c>
      <c r="C81" s="19">
        <f>IFERROR(__xludf.DUMMYFUNCTION("""COMPUTED_VALUE"""),44451.0)</f>
        <v>44451</v>
      </c>
      <c r="D81" s="17">
        <f>IFERROR(__xludf.DUMMYFUNCTION("""COMPUTED_VALUE"""),36.0)</f>
        <v>36</v>
      </c>
      <c r="E81" s="17">
        <f>IFERROR(__xludf.DUMMYFUNCTION("""COMPUTED_VALUE"""),2887.0)</f>
        <v>2887</v>
      </c>
      <c r="F81" s="17">
        <f>IFERROR(__xludf.DUMMYFUNCTION("""COMPUTED_VALUE"""),276.0)</f>
        <v>276</v>
      </c>
      <c r="G81" s="75"/>
      <c r="H81" s="63"/>
      <c r="I81" s="75"/>
      <c r="J81" s="21">
        <f t="shared" si="3"/>
        <v>719</v>
      </c>
      <c r="K81" s="22">
        <f>(F81/(VLOOKUP("Peru",Poblacion!$A$2:$B$5,2,0)))*100000</f>
        <v>0.8273526379</v>
      </c>
      <c r="L81" s="22">
        <f>(J81/(VLOOKUP("Peru",Poblacion!$A$2:$B$5,2,0)))*100000</f>
        <v>2.155313575</v>
      </c>
      <c r="M81" s="65">
        <f t="shared" ref="M81:N81" si="82">K81+M80</f>
        <v>595.8257961</v>
      </c>
      <c r="N81" s="22">
        <f t="shared" si="82"/>
        <v>683.7584932</v>
      </c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tr">
        <f>IFERROR(__xludf.DUMMYFUNCTION("""COMPUTED_VALUE"""),"Peru")</f>
        <v>Peru</v>
      </c>
      <c r="B82" s="74">
        <f>IFERROR(__xludf.DUMMYFUNCTION("""COMPUTED_VALUE"""),44452.0)</f>
        <v>44452</v>
      </c>
      <c r="C82" s="19">
        <f>IFERROR(__xludf.DUMMYFUNCTION("""COMPUTED_VALUE"""),44458.0)</f>
        <v>44458</v>
      </c>
      <c r="D82" s="17">
        <f>IFERROR(__xludf.DUMMYFUNCTION("""COMPUTED_VALUE"""),37.0)</f>
        <v>37</v>
      </c>
      <c r="E82" s="17">
        <f>IFERROR(__xludf.DUMMYFUNCTION("""COMPUTED_VALUE"""),2890.0)</f>
        <v>2890</v>
      </c>
      <c r="F82" s="17">
        <f>IFERROR(__xludf.DUMMYFUNCTION("""COMPUTED_VALUE"""),302.0)</f>
        <v>302</v>
      </c>
      <c r="G82" s="75"/>
      <c r="H82" s="63"/>
      <c r="I82" s="75"/>
      <c r="J82" s="21">
        <f t="shared" si="3"/>
        <v>715</v>
      </c>
      <c r="K82" s="22">
        <f>(F82/(VLOOKUP("Peru",Poblacion!$A$2:$B$5,2,0)))*100000</f>
        <v>0.9052916545</v>
      </c>
      <c r="L82" s="22">
        <f>(J82/(VLOOKUP("Peru",Poblacion!$A$2:$B$5,2,0)))*100000</f>
        <v>2.143322957</v>
      </c>
      <c r="M82" s="65">
        <f t="shared" ref="M82:N82" si="83">K82+M81</f>
        <v>596.7310878</v>
      </c>
      <c r="N82" s="22">
        <f t="shared" si="83"/>
        <v>685.9018161</v>
      </c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tr">
        <f>IFERROR(__xludf.DUMMYFUNCTION("""COMPUTED_VALUE"""),"Peru")</f>
        <v>Peru</v>
      </c>
      <c r="B83" s="74">
        <f>IFERROR(__xludf.DUMMYFUNCTION("""COMPUTED_VALUE"""),44459.0)</f>
        <v>44459</v>
      </c>
      <c r="C83" s="19">
        <f>IFERROR(__xludf.DUMMYFUNCTION("""COMPUTED_VALUE"""),44465.0)</f>
        <v>44465</v>
      </c>
      <c r="D83" s="17">
        <f>IFERROR(__xludf.DUMMYFUNCTION("""COMPUTED_VALUE"""),38.0)</f>
        <v>38</v>
      </c>
      <c r="E83" s="17">
        <f>IFERROR(__xludf.DUMMYFUNCTION("""COMPUTED_VALUE"""),2945.0)</f>
        <v>2945</v>
      </c>
      <c r="F83" s="17">
        <f>IFERROR(__xludf.DUMMYFUNCTION("""COMPUTED_VALUE"""),226.0)</f>
        <v>226</v>
      </c>
      <c r="G83" s="75"/>
      <c r="H83" s="63"/>
      <c r="I83" s="75"/>
      <c r="J83" s="21">
        <f t="shared" si="3"/>
        <v>731.6666667</v>
      </c>
      <c r="K83" s="22">
        <f>(F83/(VLOOKUP("Peru",Poblacion!$A$2:$B$5,2,0)))*100000</f>
        <v>0.6774699137</v>
      </c>
      <c r="L83" s="22">
        <f>(J83/(VLOOKUP("Peru",Poblacion!$A$2:$B$5,2,0)))*100000</f>
        <v>2.193283865</v>
      </c>
      <c r="M83" s="65">
        <f t="shared" ref="M83:N83" si="84">K83+M82</f>
        <v>597.4085577</v>
      </c>
      <c r="N83" s="22">
        <f t="shared" si="84"/>
        <v>688.0951</v>
      </c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tr">
        <f>IFERROR(__xludf.DUMMYFUNCTION("""COMPUTED_VALUE"""),"Peru")</f>
        <v>Peru</v>
      </c>
      <c r="B84" s="74">
        <f>IFERROR(__xludf.DUMMYFUNCTION("""COMPUTED_VALUE"""),44466.0)</f>
        <v>44466</v>
      </c>
      <c r="C84" s="19">
        <f>IFERROR(__xludf.DUMMYFUNCTION("""COMPUTED_VALUE"""),44472.0)</f>
        <v>44472</v>
      </c>
      <c r="D84" s="17">
        <f>IFERROR(__xludf.DUMMYFUNCTION("""COMPUTED_VALUE"""),39.0)</f>
        <v>39</v>
      </c>
      <c r="E84" s="17">
        <f>IFERROR(__xludf.DUMMYFUNCTION("""COMPUTED_VALUE"""),2875.0)</f>
        <v>2875</v>
      </c>
      <c r="F84" s="17">
        <f>IFERROR(__xludf.DUMMYFUNCTION("""COMPUTED_VALUE"""),193.0)</f>
        <v>193</v>
      </c>
      <c r="G84" s="75"/>
      <c r="H84" s="63"/>
      <c r="I84" s="75"/>
      <c r="J84" s="21">
        <f t="shared" si="3"/>
        <v>657.6666667</v>
      </c>
      <c r="K84" s="22">
        <f>(F84/(VLOOKUP("Peru",Poblacion!$A$2:$B$5,2,0)))*100000</f>
        <v>0.5785473157</v>
      </c>
      <c r="L84" s="22">
        <f>(J84/(VLOOKUP("Peru",Poblacion!$A$2:$B$5,2,0)))*100000</f>
        <v>1.971457433</v>
      </c>
      <c r="M84" s="65">
        <f t="shared" ref="M84:N84" si="85">K84+M83</f>
        <v>597.987105</v>
      </c>
      <c r="N84" s="22">
        <f t="shared" si="85"/>
        <v>690.0665574</v>
      </c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tr">
        <f>IFERROR(__xludf.DUMMYFUNCTION("""COMPUTED_VALUE"""),"Peru")</f>
        <v>Peru</v>
      </c>
      <c r="B85" s="74">
        <f>IFERROR(__xludf.DUMMYFUNCTION("""COMPUTED_VALUE"""),44473.0)</f>
        <v>44473</v>
      </c>
      <c r="C85" s="19">
        <f>IFERROR(__xludf.DUMMYFUNCTION("""COMPUTED_VALUE"""),44479.0)</f>
        <v>44479</v>
      </c>
      <c r="D85" s="17">
        <f>IFERROR(__xludf.DUMMYFUNCTION("""COMPUTED_VALUE"""),40.0)</f>
        <v>40</v>
      </c>
      <c r="E85" s="17">
        <f>IFERROR(__xludf.DUMMYFUNCTION("""COMPUTED_VALUE"""),2951.0)</f>
        <v>2951</v>
      </c>
      <c r="F85" s="17">
        <f>IFERROR(__xludf.DUMMYFUNCTION("""COMPUTED_VALUE"""),190.0)</f>
        <v>190</v>
      </c>
      <c r="G85" s="75"/>
      <c r="H85" s="63"/>
      <c r="I85" s="75"/>
      <c r="J85" s="21">
        <f t="shared" si="3"/>
        <v>799.3333333</v>
      </c>
      <c r="K85" s="22">
        <f>(F85/(VLOOKUP("Peru",Poblacion!$A$2:$B$5,2,0)))*100000</f>
        <v>0.5695543522</v>
      </c>
      <c r="L85" s="22">
        <f>(J85/(VLOOKUP("Peru",Poblacion!$A$2:$B$5,2,0)))*100000</f>
        <v>2.396125152</v>
      </c>
      <c r="M85" s="65">
        <f t="shared" ref="M85:N85" si="86">K85+M84</f>
        <v>598.5566593</v>
      </c>
      <c r="N85" s="22">
        <f t="shared" si="86"/>
        <v>692.4626826</v>
      </c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tr">
        <f>IFERROR(__xludf.DUMMYFUNCTION("""COMPUTED_VALUE"""),"Peru")</f>
        <v>Peru</v>
      </c>
      <c r="B86" s="74">
        <f>IFERROR(__xludf.DUMMYFUNCTION("""COMPUTED_VALUE"""),44480.0)</f>
        <v>44480</v>
      </c>
      <c r="C86" s="19">
        <f>IFERROR(__xludf.DUMMYFUNCTION("""COMPUTED_VALUE"""),44486.0)</f>
        <v>44486</v>
      </c>
      <c r="D86" s="17">
        <f>IFERROR(__xludf.DUMMYFUNCTION("""COMPUTED_VALUE"""),41.0)</f>
        <v>41</v>
      </c>
      <c r="E86" s="17">
        <f>IFERROR(__xludf.DUMMYFUNCTION("""COMPUTED_VALUE"""),2855.0)</f>
        <v>2855</v>
      </c>
      <c r="F86" s="17">
        <f>IFERROR(__xludf.DUMMYFUNCTION("""COMPUTED_VALUE"""),168.0)</f>
        <v>168</v>
      </c>
      <c r="G86" s="75"/>
      <c r="H86" s="63"/>
      <c r="I86" s="75"/>
      <c r="J86" s="21">
        <f t="shared" si="3"/>
        <v>663.3333333</v>
      </c>
      <c r="K86" s="22">
        <f>(F86/(VLOOKUP("Peru",Poblacion!$A$2:$B$5,2,0)))*100000</f>
        <v>0.5036059535</v>
      </c>
      <c r="L86" s="22">
        <f>(J86/(VLOOKUP("Peru",Poblacion!$A$2:$B$5,2,0)))*100000</f>
        <v>1.988444142</v>
      </c>
      <c r="M86" s="65">
        <f t="shared" ref="M86:N86" si="87">K86+M85</f>
        <v>599.0602653</v>
      </c>
      <c r="N86" s="22">
        <f t="shared" si="87"/>
        <v>694.4511267</v>
      </c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tr">
        <f>IFERROR(__xludf.DUMMYFUNCTION("""COMPUTED_VALUE"""),"Peru")</f>
        <v>Peru</v>
      </c>
      <c r="B87" s="74">
        <f>IFERROR(__xludf.DUMMYFUNCTION("""COMPUTED_VALUE"""),44487.0)</f>
        <v>44487</v>
      </c>
      <c r="C87" s="19">
        <f>IFERROR(__xludf.DUMMYFUNCTION("""COMPUTED_VALUE"""),44493.0)</f>
        <v>44493</v>
      </c>
      <c r="D87" s="17">
        <f>IFERROR(__xludf.DUMMYFUNCTION("""COMPUTED_VALUE"""),42.0)</f>
        <v>42</v>
      </c>
      <c r="E87" s="17">
        <f>IFERROR(__xludf.DUMMYFUNCTION("""COMPUTED_VALUE"""),2831.0)</f>
        <v>2831</v>
      </c>
      <c r="F87" s="17">
        <f>IFERROR(__xludf.DUMMYFUNCTION("""COMPUTED_VALUE"""),209.0)</f>
        <v>209</v>
      </c>
      <c r="G87" s="75"/>
      <c r="H87" s="63"/>
      <c r="I87" s="75"/>
      <c r="J87" s="21">
        <f t="shared" si="3"/>
        <v>598</v>
      </c>
      <c r="K87" s="22">
        <f>(F87/(VLOOKUP("Peru",Poblacion!$A$2:$B$5,2,0)))*100000</f>
        <v>0.6265097874</v>
      </c>
      <c r="L87" s="22">
        <f>(J87/(VLOOKUP("Peru",Poblacion!$A$2:$B$5,2,0)))*100000</f>
        <v>1.792597382</v>
      </c>
      <c r="M87" s="65">
        <f t="shared" ref="M87:N87" si="88">K87+M86</f>
        <v>599.6867751</v>
      </c>
      <c r="N87" s="22">
        <f t="shared" si="88"/>
        <v>696.2437241</v>
      </c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tr">
        <f>IFERROR(__xludf.DUMMYFUNCTION("""COMPUTED_VALUE"""),"Peru")</f>
        <v>Peru</v>
      </c>
      <c r="B88" s="74">
        <f>IFERROR(__xludf.DUMMYFUNCTION("""COMPUTED_VALUE"""),44494.0)</f>
        <v>44494</v>
      </c>
      <c r="C88" s="19">
        <f>IFERROR(__xludf.DUMMYFUNCTION("""COMPUTED_VALUE"""),44500.0)</f>
        <v>44500</v>
      </c>
      <c r="D88" s="17">
        <f>IFERROR(__xludf.DUMMYFUNCTION("""COMPUTED_VALUE"""),43.0)</f>
        <v>43</v>
      </c>
      <c r="E88" s="17">
        <f>IFERROR(__xludf.DUMMYFUNCTION("""COMPUTED_VALUE"""),2754.0)</f>
        <v>2754</v>
      </c>
      <c r="F88" s="17">
        <f>IFERROR(__xludf.DUMMYFUNCTION("""COMPUTED_VALUE"""),194.0)</f>
        <v>194</v>
      </c>
      <c r="G88" s="75"/>
      <c r="H88" s="63"/>
      <c r="I88" s="75"/>
      <c r="J88" s="21">
        <f t="shared" si="3"/>
        <v>568.3333333</v>
      </c>
      <c r="K88" s="22">
        <f>(F88/(VLOOKUP("Peru",Poblacion!$A$2:$B$5,2,0)))*100000</f>
        <v>0.5815449701</v>
      </c>
      <c r="L88" s="22">
        <f>(J88/(VLOOKUP("Peru",Poblacion!$A$2:$B$5,2,0)))*100000</f>
        <v>1.703666966</v>
      </c>
      <c r="M88" s="65">
        <f t="shared" ref="M88:N88" si="89">K88+M87</f>
        <v>600.2683201</v>
      </c>
      <c r="N88" s="22">
        <f t="shared" si="89"/>
        <v>697.9473911</v>
      </c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tr">
        <f>IFERROR(__xludf.DUMMYFUNCTION("""COMPUTED_VALUE"""),"Peru")</f>
        <v>Peru</v>
      </c>
      <c r="B89" s="74">
        <f>IFERROR(__xludf.DUMMYFUNCTION("""COMPUTED_VALUE"""),44501.0)</f>
        <v>44501</v>
      </c>
      <c r="C89" s="19">
        <f>IFERROR(__xludf.DUMMYFUNCTION("""COMPUTED_VALUE"""),44507.0)</f>
        <v>44507</v>
      </c>
      <c r="D89" s="17">
        <f>IFERROR(__xludf.DUMMYFUNCTION("""COMPUTED_VALUE"""),44.0)</f>
        <v>44</v>
      </c>
      <c r="E89" s="17">
        <f>IFERROR(__xludf.DUMMYFUNCTION("""COMPUTED_VALUE"""),2834.0)</f>
        <v>2834</v>
      </c>
      <c r="F89" s="17">
        <f>IFERROR(__xludf.DUMMYFUNCTION("""COMPUTED_VALUE"""),184.0)</f>
        <v>184</v>
      </c>
      <c r="G89" s="75"/>
      <c r="H89" s="63"/>
      <c r="I89" s="75"/>
      <c r="J89" s="21">
        <f t="shared" si="3"/>
        <v>629</v>
      </c>
      <c r="K89" s="22">
        <f>(F89/(VLOOKUP("Peru",Poblacion!$A$2:$B$5,2,0)))*100000</f>
        <v>0.5515684253</v>
      </c>
      <c r="L89" s="22">
        <f>(J89/(VLOOKUP("Peru",Poblacion!$A$2:$B$5,2,0)))*100000</f>
        <v>1.885524671</v>
      </c>
      <c r="M89" s="65">
        <f t="shared" ref="M89:N89" si="90">K89+M88</f>
        <v>600.8198885</v>
      </c>
      <c r="N89" s="22">
        <f t="shared" si="90"/>
        <v>699.8329157</v>
      </c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/>
      <c r="B90" s="17"/>
      <c r="C90" s="17"/>
      <c r="D90" s="17"/>
      <c r="E90" s="17"/>
      <c r="F90" s="17"/>
      <c r="G90" s="17"/>
      <c r="H90" s="21"/>
      <c r="I90" s="17"/>
      <c r="J90" s="21"/>
      <c r="K90" s="22"/>
      <c r="L90" s="22"/>
      <c r="M90" s="22"/>
      <c r="N90" s="22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/>
      <c r="B91" s="17"/>
      <c r="C91" s="17"/>
      <c r="D91" s="17"/>
      <c r="E91" s="17"/>
      <c r="F91" s="17"/>
      <c r="G91" s="17"/>
      <c r="H91" s="21"/>
      <c r="I91" s="17"/>
      <c r="J91" s="21"/>
      <c r="K91" s="22"/>
      <c r="L91" s="22"/>
      <c r="M91" s="22"/>
      <c r="N91" s="22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/>
      <c r="B92" s="17"/>
      <c r="C92" s="17"/>
      <c r="D92" s="17"/>
      <c r="E92" s="17"/>
      <c r="F92" s="17"/>
      <c r="G92" s="17"/>
      <c r="H92" s="21"/>
      <c r="I92" s="17"/>
      <c r="J92" s="21"/>
      <c r="K92" s="22"/>
      <c r="L92" s="22"/>
      <c r="M92" s="22"/>
      <c r="N92" s="22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/>
      <c r="B93" s="17"/>
      <c r="C93" s="17"/>
      <c r="D93" s="17"/>
      <c r="E93" s="17"/>
      <c r="F93" s="17"/>
      <c r="G93" s="17"/>
      <c r="H93" s="21"/>
      <c r="I93" s="17"/>
      <c r="J93" s="21"/>
      <c r="K93" s="22"/>
      <c r="L93" s="22"/>
      <c r="M93" s="22"/>
      <c r="N93" s="22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/>
      <c r="B94" s="17"/>
      <c r="C94" s="17"/>
      <c r="D94" s="17"/>
      <c r="E94" s="17"/>
      <c r="F94" s="17"/>
      <c r="G94" s="17"/>
      <c r="H94" s="21"/>
      <c r="I94" s="17"/>
      <c r="J94" s="21"/>
      <c r="K94" s="22"/>
      <c r="L94" s="22"/>
      <c r="M94" s="22"/>
      <c r="N94" s="22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/>
      <c r="B95" s="17"/>
      <c r="C95" s="17"/>
      <c r="D95" s="17"/>
      <c r="E95" s="17"/>
      <c r="F95" s="17"/>
      <c r="G95" s="17"/>
      <c r="H95" s="21"/>
      <c r="I95" s="17"/>
      <c r="J95" s="21"/>
      <c r="K95" s="22"/>
      <c r="L95" s="22"/>
      <c r="M95" s="22"/>
      <c r="N95" s="22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/>
      <c r="B96" s="17"/>
      <c r="C96" s="17"/>
      <c r="D96" s="17"/>
      <c r="E96" s="17"/>
      <c r="F96" s="17"/>
      <c r="G96" s="17"/>
      <c r="H96" s="21"/>
      <c r="I96" s="17"/>
      <c r="J96" s="21"/>
      <c r="K96" s="22"/>
      <c r="L96" s="22"/>
      <c r="M96" s="22"/>
      <c r="N96" s="22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/>
      <c r="B97" s="17"/>
      <c r="C97" s="17"/>
      <c r="D97" s="17"/>
      <c r="E97" s="17"/>
      <c r="F97" s="17"/>
      <c r="G97" s="17"/>
      <c r="H97" s="21"/>
      <c r="I97" s="17"/>
      <c r="J97" s="21"/>
      <c r="K97" s="22"/>
      <c r="L97" s="22"/>
      <c r="M97" s="22"/>
      <c r="N97" s="22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/>
      <c r="B98" s="17"/>
      <c r="C98" s="17"/>
      <c r="D98" s="17"/>
      <c r="E98" s="17"/>
      <c r="F98" s="17"/>
      <c r="G98" s="17"/>
      <c r="H98" s="21"/>
      <c r="I98" s="17"/>
      <c r="J98" s="21"/>
      <c r="K98" s="22"/>
      <c r="L98" s="22"/>
      <c r="M98" s="22"/>
      <c r="N98" s="22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/>
      <c r="B99" s="17"/>
      <c r="C99" s="17"/>
      <c r="D99" s="17"/>
      <c r="E99" s="17"/>
      <c r="F99" s="17"/>
      <c r="G99" s="17"/>
      <c r="H99" s="21"/>
      <c r="I99" s="17"/>
      <c r="J99" s="21"/>
      <c r="K99" s="22"/>
      <c r="L99" s="22"/>
      <c r="M99" s="22"/>
      <c r="N99" s="22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/>
      <c r="B100" s="17"/>
      <c r="C100" s="17"/>
      <c r="D100" s="17"/>
      <c r="E100" s="17"/>
      <c r="F100" s="17"/>
      <c r="G100" s="17"/>
      <c r="H100" s="21"/>
      <c r="I100" s="17"/>
      <c r="J100" s="21"/>
      <c r="K100" s="22"/>
      <c r="L100" s="22"/>
      <c r="M100" s="22"/>
      <c r="N100" s="22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/>
      <c r="B101" s="17"/>
      <c r="C101" s="17"/>
      <c r="D101" s="17"/>
      <c r="E101" s="17"/>
      <c r="F101" s="17"/>
      <c r="G101" s="17"/>
      <c r="H101" s="21"/>
      <c r="I101" s="17"/>
      <c r="J101" s="21"/>
      <c r="K101" s="22"/>
      <c r="L101" s="22"/>
      <c r="M101" s="22"/>
      <c r="N101" s="22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/>
      <c r="B102" s="17"/>
      <c r="C102" s="17"/>
      <c r="D102" s="17"/>
      <c r="E102" s="17"/>
      <c r="F102" s="17"/>
      <c r="G102" s="17"/>
      <c r="H102" s="21"/>
      <c r="I102" s="17"/>
      <c r="J102" s="21"/>
      <c r="K102" s="22"/>
      <c r="L102" s="22"/>
      <c r="M102" s="22"/>
      <c r="N102" s="22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/>
      <c r="B103" s="17"/>
      <c r="C103" s="17"/>
      <c r="D103" s="17"/>
      <c r="E103" s="17"/>
      <c r="F103" s="17"/>
      <c r="G103" s="17"/>
      <c r="H103" s="21"/>
      <c r="I103" s="17"/>
      <c r="J103" s="21"/>
      <c r="K103" s="22"/>
      <c r="L103" s="22"/>
      <c r="M103" s="22"/>
      <c r="N103" s="22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/>
      <c r="B104" s="17"/>
      <c r="C104" s="17"/>
      <c r="D104" s="17"/>
      <c r="E104" s="17"/>
      <c r="F104" s="17"/>
      <c r="G104" s="17"/>
      <c r="H104" s="21"/>
      <c r="I104" s="17"/>
      <c r="J104" s="21"/>
      <c r="K104" s="22"/>
      <c r="L104" s="22"/>
      <c r="M104" s="22"/>
      <c r="N104" s="22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/>
      <c r="B105" s="17"/>
      <c r="C105" s="17"/>
      <c r="D105" s="17"/>
      <c r="E105" s="17"/>
      <c r="F105" s="17"/>
      <c r="G105" s="17"/>
      <c r="H105" s="21"/>
      <c r="I105" s="17"/>
      <c r="J105" s="21"/>
      <c r="K105" s="22"/>
      <c r="L105" s="22"/>
      <c r="M105" s="22"/>
      <c r="N105" s="22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/>
      <c r="B106" s="17"/>
      <c r="C106" s="17"/>
      <c r="D106" s="17"/>
      <c r="E106" s="17"/>
      <c r="F106" s="17"/>
      <c r="G106" s="17"/>
      <c r="H106" s="21"/>
      <c r="I106" s="17"/>
      <c r="J106" s="21"/>
      <c r="K106" s="22"/>
      <c r="L106" s="22"/>
      <c r="M106" s="22"/>
      <c r="N106" s="22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/>
      <c r="B107" s="17"/>
      <c r="C107" s="17"/>
      <c r="D107" s="17"/>
      <c r="E107" s="17"/>
      <c r="F107" s="17"/>
      <c r="G107" s="17"/>
      <c r="H107" s="21"/>
      <c r="I107" s="17"/>
      <c r="J107" s="21"/>
      <c r="K107" s="22"/>
      <c r="L107" s="22"/>
      <c r="M107" s="22"/>
      <c r="N107" s="22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/>
      <c r="B108" s="17"/>
      <c r="C108" s="17"/>
      <c r="D108" s="17"/>
      <c r="E108" s="17"/>
      <c r="F108" s="17"/>
      <c r="G108" s="17"/>
      <c r="H108" s="21"/>
      <c r="I108" s="17"/>
      <c r="J108" s="21"/>
      <c r="K108" s="22"/>
      <c r="L108" s="22"/>
      <c r="M108" s="22"/>
      <c r="N108" s="22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/>
      <c r="B109" s="17"/>
      <c r="C109" s="17"/>
      <c r="D109" s="17"/>
      <c r="E109" s="17"/>
      <c r="F109" s="17"/>
      <c r="G109" s="17"/>
      <c r="H109" s="21"/>
      <c r="I109" s="17"/>
      <c r="J109" s="21"/>
      <c r="K109" s="22"/>
      <c r="L109" s="22"/>
      <c r="M109" s="22"/>
      <c r="N109" s="22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/>
      <c r="B110" s="17"/>
      <c r="C110" s="17"/>
      <c r="D110" s="17"/>
      <c r="E110" s="17"/>
      <c r="F110" s="17"/>
      <c r="G110" s="17"/>
      <c r="H110" s="21"/>
      <c r="I110" s="17"/>
      <c r="J110" s="21"/>
      <c r="K110" s="22"/>
      <c r="L110" s="22"/>
      <c r="M110" s="22"/>
      <c r="N110" s="22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/>
      <c r="B111" s="17"/>
      <c r="C111" s="17"/>
      <c r="D111" s="17"/>
      <c r="E111" s="17"/>
      <c r="F111" s="17"/>
      <c r="G111" s="17"/>
      <c r="H111" s="21"/>
      <c r="I111" s="17"/>
      <c r="J111" s="21"/>
      <c r="K111" s="22"/>
      <c r="L111" s="22"/>
      <c r="M111" s="22"/>
      <c r="N111" s="22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/>
      <c r="B112" s="17"/>
      <c r="C112" s="17"/>
      <c r="D112" s="17"/>
      <c r="E112" s="17"/>
      <c r="F112" s="17"/>
      <c r="G112" s="17"/>
      <c r="H112" s="21"/>
      <c r="I112" s="17"/>
      <c r="J112" s="21"/>
      <c r="K112" s="22"/>
      <c r="L112" s="22"/>
      <c r="M112" s="22"/>
      <c r="N112" s="22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/>
      <c r="B113" s="17"/>
      <c r="C113" s="17"/>
      <c r="D113" s="17"/>
      <c r="E113" s="17"/>
      <c r="F113" s="17"/>
      <c r="G113" s="17"/>
      <c r="H113" s="21"/>
      <c r="I113" s="17"/>
      <c r="J113" s="21"/>
      <c r="K113" s="22"/>
      <c r="L113" s="22"/>
      <c r="M113" s="22"/>
      <c r="N113" s="22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/>
      <c r="B114" s="17"/>
      <c r="C114" s="17"/>
      <c r="D114" s="17"/>
      <c r="E114" s="17"/>
      <c r="F114" s="17"/>
      <c r="G114" s="17"/>
      <c r="H114" s="21"/>
      <c r="I114" s="17"/>
      <c r="J114" s="21"/>
      <c r="K114" s="22"/>
      <c r="L114" s="22"/>
      <c r="M114" s="22"/>
      <c r="N114" s="22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/>
      <c r="B115" s="17"/>
      <c r="C115" s="17"/>
      <c r="D115" s="17"/>
      <c r="E115" s="17"/>
      <c r="F115" s="17"/>
      <c r="G115" s="17"/>
      <c r="H115" s="21"/>
      <c r="I115" s="17"/>
      <c r="J115" s="21"/>
      <c r="K115" s="22"/>
      <c r="L115" s="22"/>
      <c r="M115" s="22"/>
      <c r="N115" s="22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/>
      <c r="B116" s="17"/>
      <c r="C116" s="17"/>
      <c r="D116" s="17"/>
      <c r="E116" s="17"/>
      <c r="F116" s="17"/>
      <c r="G116" s="17"/>
      <c r="H116" s="21"/>
      <c r="I116" s="17"/>
      <c r="J116" s="21"/>
      <c r="K116" s="22"/>
      <c r="L116" s="22"/>
      <c r="M116" s="22"/>
      <c r="N116" s="22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/>
      <c r="B117" s="17"/>
      <c r="C117" s="17"/>
      <c r="D117" s="17"/>
      <c r="E117" s="17"/>
      <c r="F117" s="17"/>
      <c r="G117" s="17"/>
      <c r="H117" s="21"/>
      <c r="I117" s="17"/>
      <c r="J117" s="21"/>
      <c r="K117" s="22"/>
      <c r="L117" s="22"/>
      <c r="M117" s="22"/>
      <c r="N117" s="22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/>
      <c r="B118" s="17"/>
      <c r="C118" s="17"/>
      <c r="D118" s="17"/>
      <c r="E118" s="17"/>
      <c r="F118" s="17"/>
      <c r="G118" s="17"/>
      <c r="H118" s="21"/>
      <c r="I118" s="17"/>
      <c r="J118" s="21"/>
      <c r="K118" s="22"/>
      <c r="L118" s="22"/>
      <c r="M118" s="22"/>
      <c r="N118" s="22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/>
      <c r="B119" s="17"/>
      <c r="C119" s="17"/>
      <c r="D119" s="17"/>
      <c r="E119" s="17"/>
      <c r="F119" s="17"/>
      <c r="G119" s="17"/>
      <c r="H119" s="21"/>
      <c r="I119" s="17"/>
      <c r="J119" s="21"/>
      <c r="K119" s="22"/>
      <c r="L119" s="22"/>
      <c r="M119" s="22"/>
      <c r="N119" s="22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/>
      <c r="B120" s="17"/>
      <c r="C120" s="17"/>
      <c r="D120" s="17"/>
      <c r="E120" s="17"/>
      <c r="F120" s="17"/>
      <c r="G120" s="17"/>
      <c r="H120" s="21"/>
      <c r="I120" s="17"/>
      <c r="J120" s="21"/>
      <c r="K120" s="22"/>
      <c r="L120" s="22"/>
      <c r="M120" s="22"/>
      <c r="N120" s="22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/>
      <c r="B121" s="17"/>
      <c r="C121" s="17"/>
      <c r="D121" s="17"/>
      <c r="E121" s="17"/>
      <c r="F121" s="17"/>
      <c r="G121" s="17"/>
      <c r="H121" s="21"/>
      <c r="I121" s="17"/>
      <c r="J121" s="21"/>
      <c r="K121" s="22"/>
      <c r="L121" s="22"/>
      <c r="M121" s="22"/>
      <c r="N121" s="22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/>
      <c r="B122" s="17"/>
      <c r="C122" s="17"/>
      <c r="D122" s="17"/>
      <c r="E122" s="17"/>
      <c r="F122" s="17"/>
      <c r="G122" s="17"/>
      <c r="H122" s="21"/>
      <c r="I122" s="17"/>
      <c r="J122" s="21"/>
      <c r="K122" s="22"/>
      <c r="L122" s="22"/>
      <c r="M122" s="22"/>
      <c r="N122" s="22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/>
      <c r="B123" s="17"/>
      <c r="C123" s="17"/>
      <c r="D123" s="17"/>
      <c r="E123" s="17"/>
      <c r="F123" s="17"/>
      <c r="G123" s="17"/>
      <c r="H123" s="21"/>
      <c r="I123" s="17"/>
      <c r="J123" s="21"/>
      <c r="K123" s="22"/>
      <c r="L123" s="22"/>
      <c r="M123" s="22"/>
      <c r="N123" s="22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/>
      <c r="B124" s="17"/>
      <c r="C124" s="17"/>
      <c r="D124" s="17"/>
      <c r="E124" s="17"/>
      <c r="F124" s="17"/>
      <c r="G124" s="17"/>
      <c r="H124" s="21"/>
      <c r="I124" s="17"/>
      <c r="J124" s="21"/>
      <c r="K124" s="22"/>
      <c r="L124" s="22"/>
      <c r="M124" s="22"/>
      <c r="N124" s="22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/>
      <c r="B125" s="17"/>
      <c r="C125" s="17"/>
      <c r="D125" s="17"/>
      <c r="E125" s="17"/>
      <c r="F125" s="17"/>
      <c r="G125" s="17"/>
      <c r="H125" s="21"/>
      <c r="I125" s="17"/>
      <c r="J125" s="21"/>
      <c r="K125" s="22"/>
      <c r="L125" s="22"/>
      <c r="M125" s="22"/>
      <c r="N125" s="22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/>
      <c r="B126" s="17"/>
      <c r="C126" s="17"/>
      <c r="D126" s="17"/>
      <c r="E126" s="17"/>
      <c r="F126" s="17"/>
      <c r="G126" s="17"/>
      <c r="H126" s="21"/>
      <c r="I126" s="17"/>
      <c r="J126" s="21"/>
      <c r="K126" s="22"/>
      <c r="L126" s="22"/>
      <c r="M126" s="22"/>
      <c r="N126" s="22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/>
      <c r="B127" s="17"/>
      <c r="C127" s="17"/>
      <c r="D127" s="17"/>
      <c r="E127" s="17"/>
      <c r="F127" s="17"/>
      <c r="G127" s="17"/>
      <c r="H127" s="21"/>
      <c r="I127" s="17"/>
      <c r="J127" s="21"/>
      <c r="K127" s="22"/>
      <c r="L127" s="22"/>
      <c r="M127" s="22"/>
      <c r="N127" s="22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/>
      <c r="B128" s="17"/>
      <c r="C128" s="17"/>
      <c r="D128" s="17"/>
      <c r="E128" s="17"/>
      <c r="F128" s="17"/>
      <c r="G128" s="17"/>
      <c r="H128" s="21"/>
      <c r="I128" s="17"/>
      <c r="J128" s="21"/>
      <c r="K128" s="22"/>
      <c r="L128" s="22"/>
      <c r="M128" s="22"/>
      <c r="N128" s="22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/>
      <c r="B129" s="17"/>
      <c r="C129" s="17"/>
      <c r="D129" s="17"/>
      <c r="E129" s="17"/>
      <c r="F129" s="17"/>
      <c r="G129" s="17"/>
      <c r="H129" s="21"/>
      <c r="I129" s="17"/>
      <c r="J129" s="21"/>
      <c r="K129" s="22"/>
      <c r="L129" s="22"/>
      <c r="M129" s="22"/>
      <c r="N129" s="22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/>
      <c r="B130" s="17"/>
      <c r="C130" s="17"/>
      <c r="D130" s="17"/>
      <c r="E130" s="17"/>
      <c r="F130" s="17"/>
      <c r="G130" s="17"/>
      <c r="H130" s="21"/>
      <c r="I130" s="17"/>
      <c r="J130" s="21"/>
      <c r="K130" s="22"/>
      <c r="L130" s="22"/>
      <c r="M130" s="22"/>
      <c r="N130" s="22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/>
      <c r="B131" s="17"/>
      <c r="C131" s="17"/>
      <c r="D131" s="17"/>
      <c r="E131" s="17"/>
      <c r="F131" s="17"/>
      <c r="G131" s="17"/>
      <c r="H131" s="21"/>
      <c r="I131" s="17"/>
      <c r="J131" s="21"/>
      <c r="K131" s="22"/>
      <c r="L131" s="22"/>
      <c r="M131" s="22"/>
      <c r="N131" s="22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/>
      <c r="B132" s="17"/>
      <c r="C132" s="17"/>
      <c r="D132" s="17"/>
      <c r="E132" s="17"/>
      <c r="F132" s="17"/>
      <c r="G132" s="17"/>
      <c r="H132" s="21"/>
      <c r="I132" s="17"/>
      <c r="J132" s="21"/>
      <c r="K132" s="22"/>
      <c r="L132" s="22"/>
      <c r="M132" s="22"/>
      <c r="N132" s="22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/>
      <c r="B133" s="17"/>
      <c r="C133" s="17"/>
      <c r="D133" s="17"/>
      <c r="E133" s="17"/>
      <c r="F133" s="17"/>
      <c r="G133" s="17"/>
      <c r="H133" s="21"/>
      <c r="I133" s="17"/>
      <c r="J133" s="21"/>
      <c r="K133" s="22"/>
      <c r="L133" s="22"/>
      <c r="M133" s="22"/>
      <c r="N133" s="22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/>
      <c r="B134" s="17"/>
      <c r="C134" s="17"/>
      <c r="D134" s="17"/>
      <c r="E134" s="17"/>
      <c r="F134" s="17"/>
      <c r="G134" s="17"/>
      <c r="H134" s="21"/>
      <c r="I134" s="17"/>
      <c r="J134" s="21"/>
      <c r="K134" s="22"/>
      <c r="L134" s="22"/>
      <c r="M134" s="22"/>
      <c r="N134" s="22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/>
      <c r="B135" s="17"/>
      <c r="C135" s="17"/>
      <c r="D135" s="17"/>
      <c r="E135" s="17"/>
      <c r="F135" s="17"/>
      <c r="G135" s="17"/>
      <c r="H135" s="21"/>
      <c r="I135" s="17"/>
      <c r="J135" s="21"/>
      <c r="K135" s="22"/>
      <c r="L135" s="22"/>
      <c r="M135" s="22"/>
      <c r="N135" s="22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/>
      <c r="B136" s="17"/>
      <c r="C136" s="17"/>
      <c r="D136" s="17"/>
      <c r="E136" s="17"/>
      <c r="F136" s="17"/>
      <c r="G136" s="17"/>
      <c r="H136" s="21"/>
      <c r="I136" s="17"/>
      <c r="J136" s="21"/>
      <c r="K136" s="22"/>
      <c r="L136" s="22"/>
      <c r="M136" s="22"/>
      <c r="N136" s="22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/>
      <c r="B137" s="17"/>
      <c r="C137" s="17"/>
      <c r="D137" s="17"/>
      <c r="E137" s="17"/>
      <c r="F137" s="17"/>
      <c r="G137" s="17"/>
      <c r="H137" s="21"/>
      <c r="I137" s="17"/>
      <c r="J137" s="21"/>
      <c r="K137" s="22"/>
      <c r="L137" s="22"/>
      <c r="M137" s="22"/>
      <c r="N137" s="22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/>
      <c r="B138" s="17"/>
      <c r="C138" s="17"/>
      <c r="D138" s="17"/>
      <c r="E138" s="17"/>
      <c r="F138" s="17"/>
      <c r="G138" s="17"/>
      <c r="H138" s="21"/>
      <c r="I138" s="17"/>
      <c r="J138" s="21"/>
      <c r="K138" s="22"/>
      <c r="L138" s="22"/>
      <c r="M138" s="22"/>
      <c r="N138" s="22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/>
      <c r="B139" s="17"/>
      <c r="C139" s="17"/>
      <c r="D139" s="17"/>
      <c r="E139" s="17"/>
      <c r="F139" s="17"/>
      <c r="G139" s="17"/>
      <c r="H139" s="21"/>
      <c r="I139" s="17"/>
      <c r="J139" s="21"/>
      <c r="K139" s="22"/>
      <c r="L139" s="22"/>
      <c r="M139" s="22"/>
      <c r="N139" s="22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/>
      <c r="B140" s="17"/>
      <c r="C140" s="17"/>
      <c r="D140" s="17"/>
      <c r="E140" s="17"/>
      <c r="F140" s="17"/>
      <c r="G140" s="17"/>
      <c r="H140" s="21"/>
      <c r="I140" s="17"/>
      <c r="J140" s="21"/>
      <c r="K140" s="22"/>
      <c r="L140" s="22"/>
      <c r="M140" s="22"/>
      <c r="N140" s="22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/>
      <c r="B141" s="17"/>
      <c r="C141" s="17"/>
      <c r="D141" s="17"/>
      <c r="E141" s="17"/>
      <c r="F141" s="17"/>
      <c r="G141" s="17"/>
      <c r="H141" s="21"/>
      <c r="I141" s="17"/>
      <c r="J141" s="21"/>
      <c r="K141" s="22"/>
      <c r="L141" s="22"/>
      <c r="M141" s="22"/>
      <c r="N141" s="22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/>
      <c r="B142" s="17"/>
      <c r="C142" s="17"/>
      <c r="D142" s="17"/>
      <c r="E142" s="17"/>
      <c r="F142" s="17"/>
      <c r="G142" s="17"/>
      <c r="H142" s="21"/>
      <c r="I142" s="17"/>
      <c r="J142" s="21"/>
      <c r="K142" s="22"/>
      <c r="L142" s="22"/>
      <c r="M142" s="22"/>
      <c r="N142" s="22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/>
      <c r="B143" s="17"/>
      <c r="C143" s="17"/>
      <c r="D143" s="17"/>
      <c r="E143" s="17"/>
      <c r="F143" s="17"/>
      <c r="G143" s="17"/>
      <c r="H143" s="21"/>
      <c r="I143" s="17"/>
      <c r="J143" s="21"/>
      <c r="K143" s="22"/>
      <c r="L143" s="22"/>
      <c r="M143" s="22"/>
      <c r="N143" s="22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/>
      <c r="B144" s="17"/>
      <c r="C144" s="17"/>
      <c r="D144" s="17"/>
      <c r="E144" s="17"/>
      <c r="F144" s="17"/>
      <c r="G144" s="17"/>
      <c r="H144" s="21"/>
      <c r="I144" s="17"/>
      <c r="J144" s="21"/>
      <c r="K144" s="22"/>
      <c r="L144" s="22"/>
      <c r="M144" s="22"/>
      <c r="N144" s="22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/>
      <c r="B145" s="17"/>
      <c r="C145" s="17"/>
      <c r="D145" s="17"/>
      <c r="E145" s="17"/>
      <c r="F145" s="17"/>
      <c r="G145" s="17"/>
      <c r="H145" s="21"/>
      <c r="I145" s="17"/>
      <c r="J145" s="21"/>
      <c r="K145" s="22"/>
      <c r="L145" s="22"/>
      <c r="M145" s="22"/>
      <c r="N145" s="22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/>
      <c r="B146" s="17"/>
      <c r="C146" s="17"/>
      <c r="D146" s="17"/>
      <c r="E146" s="17"/>
      <c r="F146" s="17"/>
      <c r="G146" s="17"/>
      <c r="H146" s="21"/>
      <c r="I146" s="17"/>
      <c r="J146" s="21"/>
      <c r="K146" s="22"/>
      <c r="L146" s="22"/>
      <c r="M146" s="22"/>
      <c r="N146" s="22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/>
      <c r="B147" s="17"/>
      <c r="C147" s="17"/>
      <c r="D147" s="17"/>
      <c r="E147" s="17"/>
      <c r="F147" s="17"/>
      <c r="G147" s="17"/>
      <c r="H147" s="21"/>
      <c r="I147" s="17"/>
      <c r="J147" s="21"/>
      <c r="K147" s="22"/>
      <c r="L147" s="22"/>
      <c r="M147" s="22"/>
      <c r="N147" s="22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/>
      <c r="B148" s="17"/>
      <c r="C148" s="17"/>
      <c r="D148" s="17"/>
      <c r="E148" s="17"/>
      <c r="F148" s="17"/>
      <c r="G148" s="17"/>
      <c r="H148" s="21"/>
      <c r="I148" s="17"/>
      <c r="J148" s="21"/>
      <c r="K148" s="22"/>
      <c r="L148" s="22"/>
      <c r="M148" s="22"/>
      <c r="N148" s="22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/>
      <c r="B149" s="17"/>
      <c r="C149" s="17"/>
      <c r="D149" s="17"/>
      <c r="E149" s="17"/>
      <c r="F149" s="17"/>
      <c r="G149" s="17"/>
      <c r="H149" s="21"/>
      <c r="I149" s="17"/>
      <c r="J149" s="21"/>
      <c r="K149" s="22"/>
      <c r="L149" s="22"/>
      <c r="M149" s="22"/>
      <c r="N149" s="22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/>
      <c r="B150" s="17"/>
      <c r="C150" s="17"/>
      <c r="D150" s="17"/>
      <c r="E150" s="17"/>
      <c r="F150" s="17"/>
      <c r="G150" s="17"/>
      <c r="H150" s="21"/>
      <c r="I150" s="17"/>
      <c r="J150" s="21"/>
      <c r="K150" s="22"/>
      <c r="L150" s="22"/>
      <c r="M150" s="22"/>
      <c r="N150" s="22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/>
      <c r="B151" s="17"/>
      <c r="C151" s="17"/>
      <c r="D151" s="17"/>
      <c r="E151" s="17"/>
      <c r="F151" s="17"/>
      <c r="G151" s="17"/>
      <c r="H151" s="21"/>
      <c r="I151" s="17"/>
      <c r="J151" s="21"/>
      <c r="K151" s="22"/>
      <c r="L151" s="22"/>
      <c r="M151" s="22"/>
      <c r="N151" s="22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/>
      <c r="B152" s="17"/>
      <c r="C152" s="17"/>
      <c r="D152" s="17"/>
      <c r="E152" s="17"/>
      <c r="F152" s="17"/>
      <c r="G152" s="17"/>
      <c r="H152" s="21"/>
      <c r="I152" s="17"/>
      <c r="J152" s="21"/>
      <c r="K152" s="22"/>
      <c r="L152" s="22"/>
      <c r="M152" s="22"/>
      <c r="N152" s="22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/>
      <c r="B153" s="17"/>
      <c r="C153" s="17"/>
      <c r="D153" s="17"/>
      <c r="E153" s="17"/>
      <c r="F153" s="17"/>
      <c r="G153" s="17"/>
      <c r="H153" s="21"/>
      <c r="I153" s="17"/>
      <c r="J153" s="21"/>
      <c r="K153" s="22"/>
      <c r="L153" s="22"/>
      <c r="M153" s="22"/>
      <c r="N153" s="22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/>
      <c r="B154" s="17"/>
      <c r="C154" s="17"/>
      <c r="D154" s="17"/>
      <c r="E154" s="17"/>
      <c r="F154" s="17"/>
      <c r="G154" s="17"/>
      <c r="H154" s="21"/>
      <c r="I154" s="17"/>
      <c r="J154" s="21"/>
      <c r="K154" s="22"/>
      <c r="L154" s="22"/>
      <c r="M154" s="22"/>
      <c r="N154" s="22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/>
      <c r="B155" s="17"/>
      <c r="C155" s="17"/>
      <c r="D155" s="17"/>
      <c r="E155" s="17"/>
      <c r="F155" s="17"/>
      <c r="G155" s="17"/>
      <c r="H155" s="21"/>
      <c r="I155" s="17"/>
      <c r="J155" s="21"/>
      <c r="K155" s="22"/>
      <c r="L155" s="22"/>
      <c r="M155" s="22"/>
      <c r="N155" s="22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/>
      <c r="B156" s="17"/>
      <c r="C156" s="17"/>
      <c r="D156" s="17"/>
      <c r="E156" s="17"/>
      <c r="F156" s="17"/>
      <c r="G156" s="17"/>
      <c r="H156" s="21"/>
      <c r="I156" s="17"/>
      <c r="J156" s="21"/>
      <c r="K156" s="22"/>
      <c r="L156" s="22"/>
      <c r="M156" s="22"/>
      <c r="N156" s="22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/>
      <c r="B157" s="17"/>
      <c r="C157" s="17"/>
      <c r="D157" s="17"/>
      <c r="E157" s="17"/>
      <c r="F157" s="17"/>
      <c r="G157" s="17"/>
      <c r="H157" s="21"/>
      <c r="I157" s="17"/>
      <c r="J157" s="21"/>
      <c r="K157" s="22"/>
      <c r="L157" s="22"/>
      <c r="M157" s="22"/>
      <c r="N157" s="22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/>
      <c r="B158" s="17"/>
      <c r="C158" s="17"/>
      <c r="D158" s="17"/>
      <c r="E158" s="17"/>
      <c r="F158" s="17"/>
      <c r="G158" s="17"/>
      <c r="H158" s="21"/>
      <c r="I158" s="17"/>
      <c r="J158" s="21"/>
      <c r="K158" s="22"/>
      <c r="L158" s="22"/>
      <c r="M158" s="22"/>
      <c r="N158" s="22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/>
      <c r="B159" s="17"/>
      <c r="C159" s="17"/>
      <c r="D159" s="17"/>
      <c r="E159" s="17"/>
      <c r="F159" s="17"/>
      <c r="G159" s="17"/>
      <c r="H159" s="21"/>
      <c r="I159" s="17"/>
      <c r="J159" s="21"/>
      <c r="K159" s="22"/>
      <c r="L159" s="22"/>
      <c r="M159" s="22"/>
      <c r="N159" s="22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/>
      <c r="B160" s="17"/>
      <c r="C160" s="17"/>
      <c r="D160" s="17"/>
      <c r="E160" s="17"/>
      <c r="F160" s="17"/>
      <c r="G160" s="17"/>
      <c r="H160" s="21"/>
      <c r="I160" s="17"/>
      <c r="J160" s="21"/>
      <c r="K160" s="22"/>
      <c r="L160" s="22"/>
      <c r="M160" s="22"/>
      <c r="N160" s="22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/>
      <c r="B161" s="17"/>
      <c r="C161" s="17"/>
      <c r="D161" s="17"/>
      <c r="E161" s="17"/>
      <c r="F161" s="17"/>
      <c r="G161" s="17"/>
      <c r="H161" s="21"/>
      <c r="I161" s="17"/>
      <c r="J161" s="21"/>
      <c r="K161" s="22"/>
      <c r="L161" s="22"/>
      <c r="M161" s="22"/>
      <c r="N161" s="22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/>
      <c r="B162" s="17"/>
      <c r="C162" s="17"/>
      <c r="D162" s="17"/>
      <c r="E162" s="17"/>
      <c r="F162" s="17"/>
      <c r="G162" s="17"/>
      <c r="H162" s="21"/>
      <c r="I162" s="17"/>
      <c r="J162" s="21"/>
      <c r="K162" s="22"/>
      <c r="L162" s="22"/>
      <c r="M162" s="22"/>
      <c r="N162" s="22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/>
      <c r="B163" s="17"/>
      <c r="C163" s="17"/>
      <c r="D163" s="17"/>
      <c r="E163" s="17"/>
      <c r="F163" s="17"/>
      <c r="G163" s="17"/>
      <c r="H163" s="21"/>
      <c r="I163" s="17"/>
      <c r="J163" s="21"/>
      <c r="K163" s="22"/>
      <c r="L163" s="22"/>
      <c r="M163" s="22"/>
      <c r="N163" s="22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/>
      <c r="B164" s="17"/>
      <c r="C164" s="17"/>
      <c r="D164" s="17"/>
      <c r="E164" s="17"/>
      <c r="F164" s="17"/>
      <c r="G164" s="17"/>
      <c r="H164" s="21"/>
      <c r="I164" s="17"/>
      <c r="J164" s="21"/>
      <c r="K164" s="22"/>
      <c r="L164" s="22"/>
      <c r="M164" s="22"/>
      <c r="N164" s="22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/>
      <c r="B165" s="17"/>
      <c r="C165" s="17"/>
      <c r="D165" s="17"/>
      <c r="E165" s="17"/>
      <c r="F165" s="17"/>
      <c r="G165" s="17"/>
      <c r="H165" s="21"/>
      <c r="I165" s="17"/>
      <c r="J165" s="21"/>
      <c r="K165" s="22"/>
      <c r="L165" s="22"/>
      <c r="M165" s="22"/>
      <c r="N165" s="22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/>
      <c r="B166" s="17"/>
      <c r="C166" s="17"/>
      <c r="D166" s="17"/>
      <c r="E166" s="17"/>
      <c r="F166" s="17"/>
      <c r="G166" s="17"/>
      <c r="H166" s="21"/>
      <c r="I166" s="17"/>
      <c r="J166" s="21"/>
      <c r="K166" s="22"/>
      <c r="L166" s="22"/>
      <c r="M166" s="22"/>
      <c r="N166" s="22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/>
      <c r="B167" s="17"/>
      <c r="C167" s="17"/>
      <c r="D167" s="17"/>
      <c r="E167" s="17"/>
      <c r="F167" s="17"/>
      <c r="G167" s="17"/>
      <c r="H167" s="21"/>
      <c r="I167" s="17"/>
      <c r="J167" s="21"/>
      <c r="K167" s="22"/>
      <c r="L167" s="22"/>
      <c r="M167" s="22"/>
      <c r="N167" s="22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/>
      <c r="B168" s="17"/>
      <c r="C168" s="17"/>
      <c r="D168" s="17"/>
      <c r="E168" s="17"/>
      <c r="F168" s="17"/>
      <c r="G168" s="17"/>
      <c r="H168" s="21"/>
      <c r="I168" s="17"/>
      <c r="J168" s="21"/>
      <c r="K168" s="22"/>
      <c r="L168" s="22"/>
      <c r="M168" s="22"/>
      <c r="N168" s="22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/>
      <c r="B169" s="17"/>
      <c r="C169" s="17"/>
      <c r="D169" s="17"/>
      <c r="E169" s="17"/>
      <c r="F169" s="17"/>
      <c r="G169" s="17"/>
      <c r="H169" s="21"/>
      <c r="I169" s="17"/>
      <c r="J169" s="21"/>
      <c r="K169" s="22"/>
      <c r="L169" s="22"/>
      <c r="M169" s="22"/>
      <c r="N169" s="22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/>
      <c r="B170" s="17"/>
      <c r="C170" s="17"/>
      <c r="D170" s="17"/>
      <c r="E170" s="17"/>
      <c r="F170" s="17"/>
      <c r="G170" s="17"/>
      <c r="H170" s="21"/>
      <c r="I170" s="17"/>
      <c r="J170" s="21"/>
      <c r="K170" s="22"/>
      <c r="L170" s="22"/>
      <c r="M170" s="22"/>
      <c r="N170" s="22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/>
      <c r="B171" s="17"/>
      <c r="C171" s="17"/>
      <c r="D171" s="17"/>
      <c r="E171" s="17"/>
      <c r="F171" s="17"/>
      <c r="G171" s="17"/>
      <c r="H171" s="21"/>
      <c r="I171" s="17"/>
      <c r="J171" s="21"/>
      <c r="K171" s="22"/>
      <c r="L171" s="22"/>
      <c r="M171" s="22"/>
      <c r="N171" s="22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21"/>
      <c r="K172" s="22"/>
      <c r="L172" s="22"/>
      <c r="M172" s="22"/>
      <c r="N172" s="22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21"/>
      <c r="K173" s="22"/>
      <c r="L173" s="22"/>
      <c r="M173" s="22"/>
      <c r="N173" s="22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21"/>
      <c r="K174" s="22"/>
      <c r="L174" s="22"/>
      <c r="M174" s="22"/>
      <c r="N174" s="22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21"/>
      <c r="K175" s="22"/>
      <c r="L175" s="22"/>
      <c r="M175" s="22"/>
      <c r="N175" s="22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21"/>
      <c r="K176" s="22"/>
      <c r="L176" s="22"/>
      <c r="M176" s="22"/>
      <c r="N176" s="22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21"/>
      <c r="K177" s="22"/>
      <c r="L177" s="22"/>
      <c r="M177" s="22"/>
      <c r="N177" s="22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21"/>
      <c r="K178" s="22"/>
      <c r="L178" s="22"/>
      <c r="M178" s="22"/>
      <c r="N178" s="22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21"/>
      <c r="K179" s="22"/>
      <c r="L179" s="22"/>
      <c r="M179" s="22"/>
      <c r="N179" s="22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21"/>
      <c r="K180" s="22"/>
      <c r="L180" s="22"/>
      <c r="M180" s="22"/>
      <c r="N180" s="22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21"/>
      <c r="K181" s="22"/>
      <c r="L181" s="22"/>
      <c r="M181" s="22"/>
      <c r="N181" s="22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21"/>
      <c r="K182" s="22"/>
      <c r="L182" s="22"/>
      <c r="M182" s="22"/>
      <c r="N182" s="22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21"/>
      <c r="K183" s="22"/>
      <c r="L183" s="22"/>
      <c r="M183" s="22"/>
      <c r="N183" s="22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21"/>
      <c r="K184" s="22"/>
      <c r="L184" s="22"/>
      <c r="M184" s="22"/>
      <c r="N184" s="22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21"/>
      <c r="K185" s="22"/>
      <c r="L185" s="22"/>
      <c r="M185" s="22"/>
      <c r="N185" s="22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21"/>
      <c r="K186" s="22"/>
      <c r="L186" s="22"/>
      <c r="M186" s="22"/>
      <c r="N186" s="22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21"/>
      <c r="K187" s="22"/>
      <c r="L187" s="22"/>
      <c r="M187" s="22"/>
      <c r="N187" s="22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21"/>
      <c r="K188" s="22"/>
      <c r="L188" s="22"/>
      <c r="M188" s="22"/>
      <c r="N188" s="22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21"/>
      <c r="K189" s="22"/>
      <c r="L189" s="22"/>
      <c r="M189" s="22"/>
      <c r="N189" s="22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21"/>
      <c r="K190" s="22"/>
      <c r="L190" s="22"/>
      <c r="M190" s="22"/>
      <c r="N190" s="22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21"/>
      <c r="K191" s="22"/>
      <c r="L191" s="22"/>
      <c r="M191" s="22"/>
      <c r="N191" s="22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21"/>
      <c r="K192" s="22"/>
      <c r="L192" s="22"/>
      <c r="M192" s="22"/>
      <c r="N192" s="22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21"/>
      <c r="K193" s="22"/>
      <c r="L193" s="22"/>
      <c r="M193" s="22"/>
      <c r="N193" s="22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21"/>
      <c r="K194" s="22"/>
      <c r="L194" s="22"/>
      <c r="M194" s="22"/>
      <c r="N194" s="22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21"/>
      <c r="K195" s="22"/>
      <c r="L195" s="22"/>
      <c r="M195" s="22"/>
      <c r="N195" s="22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21"/>
      <c r="K196" s="22"/>
      <c r="L196" s="22"/>
      <c r="M196" s="22"/>
      <c r="N196" s="22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21"/>
      <c r="K197" s="22"/>
      <c r="L197" s="22"/>
      <c r="M197" s="22"/>
      <c r="N197" s="22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21"/>
      <c r="K198" s="22"/>
      <c r="L198" s="22"/>
      <c r="M198" s="22"/>
      <c r="N198" s="22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21"/>
      <c r="K199" s="22"/>
      <c r="L199" s="22"/>
      <c r="M199" s="22"/>
      <c r="N199" s="22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21"/>
      <c r="K200" s="22"/>
      <c r="L200" s="22"/>
      <c r="M200" s="22"/>
      <c r="N200" s="22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21"/>
      <c r="K201" s="22"/>
      <c r="L201" s="22"/>
      <c r="M201" s="22"/>
      <c r="N201" s="22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21"/>
      <c r="K202" s="22"/>
      <c r="L202" s="22"/>
      <c r="M202" s="22"/>
      <c r="N202" s="22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21"/>
      <c r="K203" s="22"/>
      <c r="L203" s="22"/>
      <c r="M203" s="22"/>
      <c r="N203" s="22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21"/>
      <c r="K204" s="22"/>
      <c r="L204" s="22"/>
      <c r="M204" s="22"/>
      <c r="N204" s="22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21"/>
      <c r="K205" s="22"/>
      <c r="L205" s="22"/>
      <c r="M205" s="22"/>
      <c r="N205" s="22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21"/>
      <c r="K206" s="22"/>
      <c r="L206" s="22"/>
      <c r="M206" s="22"/>
      <c r="N206" s="22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21"/>
      <c r="K207" s="22"/>
      <c r="L207" s="22"/>
      <c r="M207" s="22"/>
      <c r="N207" s="22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21"/>
      <c r="K208" s="22"/>
      <c r="L208" s="22"/>
      <c r="M208" s="22"/>
      <c r="N208" s="22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21"/>
      <c r="K209" s="22"/>
      <c r="L209" s="22"/>
      <c r="M209" s="22"/>
      <c r="N209" s="22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21"/>
      <c r="K210" s="22"/>
      <c r="L210" s="22"/>
      <c r="M210" s="22"/>
      <c r="N210" s="22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21"/>
      <c r="K211" s="22"/>
      <c r="L211" s="22"/>
      <c r="M211" s="22"/>
      <c r="N211" s="22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21"/>
      <c r="K212" s="22"/>
      <c r="L212" s="22"/>
      <c r="M212" s="22"/>
      <c r="N212" s="22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21"/>
      <c r="K213" s="22"/>
      <c r="L213" s="22"/>
      <c r="M213" s="22"/>
      <c r="N213" s="22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21"/>
      <c r="K214" s="22"/>
      <c r="L214" s="22"/>
      <c r="M214" s="22"/>
      <c r="N214" s="22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21"/>
      <c r="K215" s="22"/>
      <c r="L215" s="22"/>
      <c r="M215" s="22"/>
      <c r="N215" s="22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21"/>
      <c r="K216" s="22"/>
      <c r="L216" s="22"/>
      <c r="M216" s="22"/>
      <c r="N216" s="22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21"/>
      <c r="K217" s="22"/>
      <c r="L217" s="22"/>
      <c r="M217" s="22"/>
      <c r="N217" s="22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21"/>
      <c r="K218" s="22"/>
      <c r="L218" s="22"/>
      <c r="M218" s="22"/>
      <c r="N218" s="22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21"/>
      <c r="K219" s="22"/>
      <c r="L219" s="22"/>
      <c r="M219" s="22"/>
      <c r="N219" s="22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21"/>
      <c r="K220" s="22"/>
      <c r="L220" s="22"/>
      <c r="M220" s="22"/>
      <c r="N220" s="22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21"/>
      <c r="K221" s="22"/>
      <c r="L221" s="22"/>
      <c r="M221" s="22"/>
      <c r="N221" s="22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21"/>
      <c r="K222" s="22"/>
      <c r="L222" s="22"/>
      <c r="M222" s="22"/>
      <c r="N222" s="22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21"/>
      <c r="K223" s="22"/>
      <c r="L223" s="22"/>
      <c r="M223" s="22"/>
      <c r="N223" s="22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21"/>
      <c r="K224" s="22"/>
      <c r="L224" s="22"/>
      <c r="M224" s="22"/>
      <c r="N224" s="22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21"/>
      <c r="K225" s="22"/>
      <c r="L225" s="22"/>
      <c r="M225" s="22"/>
      <c r="N225" s="22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21"/>
      <c r="K226" s="22"/>
      <c r="L226" s="22"/>
      <c r="M226" s="22"/>
      <c r="N226" s="22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21"/>
      <c r="K227" s="22"/>
      <c r="L227" s="22"/>
      <c r="M227" s="22"/>
      <c r="N227" s="22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21"/>
      <c r="K228" s="22"/>
      <c r="L228" s="22"/>
      <c r="M228" s="22"/>
      <c r="N228" s="22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21"/>
      <c r="K229" s="22"/>
      <c r="L229" s="22"/>
      <c r="M229" s="22"/>
      <c r="N229" s="22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21"/>
      <c r="K230" s="22"/>
      <c r="L230" s="22"/>
      <c r="M230" s="22"/>
      <c r="N230" s="22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21"/>
      <c r="K231" s="22"/>
      <c r="L231" s="22"/>
      <c r="M231" s="22"/>
      <c r="N231" s="22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21"/>
      <c r="K232" s="22"/>
      <c r="L232" s="22"/>
      <c r="M232" s="22"/>
      <c r="N232" s="22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21"/>
      <c r="K233" s="22"/>
      <c r="L233" s="22"/>
      <c r="M233" s="22"/>
      <c r="N233" s="22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21"/>
      <c r="K234" s="22"/>
      <c r="L234" s="22"/>
      <c r="M234" s="22"/>
      <c r="N234" s="22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21"/>
      <c r="K235" s="22"/>
      <c r="L235" s="22"/>
      <c r="M235" s="22"/>
      <c r="N235" s="22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21"/>
      <c r="K236" s="22"/>
      <c r="L236" s="22"/>
      <c r="M236" s="22"/>
      <c r="N236" s="22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21"/>
      <c r="K237" s="22"/>
      <c r="L237" s="22"/>
      <c r="M237" s="22"/>
      <c r="N237" s="22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21"/>
      <c r="K238" s="22"/>
      <c r="L238" s="22"/>
      <c r="M238" s="22"/>
      <c r="N238" s="22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21"/>
      <c r="K239" s="22"/>
      <c r="L239" s="22"/>
      <c r="M239" s="22"/>
      <c r="N239" s="22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21"/>
      <c r="K240" s="22"/>
      <c r="L240" s="22"/>
      <c r="M240" s="22"/>
      <c r="N240" s="22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21"/>
      <c r="K241" s="22"/>
      <c r="L241" s="22"/>
      <c r="M241" s="22"/>
      <c r="N241" s="22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21"/>
      <c r="K242" s="22"/>
      <c r="L242" s="22"/>
      <c r="M242" s="22"/>
      <c r="N242" s="22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21"/>
      <c r="K243" s="22"/>
      <c r="L243" s="22"/>
      <c r="M243" s="22"/>
      <c r="N243" s="22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21"/>
      <c r="K244" s="22"/>
      <c r="L244" s="22"/>
      <c r="M244" s="22"/>
      <c r="N244" s="22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21"/>
      <c r="K245" s="22"/>
      <c r="L245" s="22"/>
      <c r="M245" s="22"/>
      <c r="N245" s="22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21"/>
      <c r="K246" s="22"/>
      <c r="L246" s="22"/>
      <c r="M246" s="22"/>
      <c r="N246" s="22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21"/>
      <c r="K247" s="22"/>
      <c r="L247" s="22"/>
      <c r="M247" s="22"/>
      <c r="N247" s="22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21"/>
      <c r="K248" s="22"/>
      <c r="L248" s="22"/>
      <c r="M248" s="22"/>
      <c r="N248" s="22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21"/>
      <c r="K249" s="22"/>
      <c r="L249" s="22"/>
      <c r="M249" s="22"/>
      <c r="N249" s="22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21"/>
      <c r="K250" s="22"/>
      <c r="L250" s="22"/>
      <c r="M250" s="22"/>
      <c r="N250" s="22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21"/>
      <c r="K251" s="22"/>
      <c r="L251" s="22"/>
      <c r="M251" s="22"/>
      <c r="N251" s="22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21"/>
      <c r="K252" s="22"/>
      <c r="L252" s="22"/>
      <c r="M252" s="22"/>
      <c r="N252" s="22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21"/>
      <c r="K253" s="22"/>
      <c r="L253" s="22"/>
      <c r="M253" s="22"/>
      <c r="N253" s="22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21"/>
      <c r="K254" s="22"/>
      <c r="L254" s="22"/>
      <c r="M254" s="22"/>
      <c r="N254" s="22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21"/>
      <c r="K255" s="22"/>
      <c r="L255" s="22"/>
      <c r="M255" s="22"/>
      <c r="N255" s="22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21"/>
      <c r="K256" s="22"/>
      <c r="L256" s="22"/>
      <c r="M256" s="22"/>
      <c r="N256" s="22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21"/>
      <c r="K257" s="22"/>
      <c r="L257" s="22"/>
      <c r="M257" s="22"/>
      <c r="N257" s="22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21"/>
      <c r="K258" s="22"/>
      <c r="L258" s="22"/>
      <c r="M258" s="22"/>
      <c r="N258" s="22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21"/>
      <c r="K259" s="22"/>
      <c r="L259" s="22"/>
      <c r="M259" s="22"/>
      <c r="N259" s="22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21"/>
      <c r="K260" s="22"/>
      <c r="L260" s="22"/>
      <c r="M260" s="22"/>
      <c r="N260" s="22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21"/>
      <c r="K261" s="22"/>
      <c r="L261" s="22"/>
      <c r="M261" s="22"/>
      <c r="N261" s="22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21"/>
      <c r="K262" s="22"/>
      <c r="L262" s="22"/>
      <c r="M262" s="22"/>
      <c r="N262" s="22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21"/>
      <c r="K263" s="22"/>
      <c r="L263" s="22"/>
      <c r="M263" s="22"/>
      <c r="N263" s="22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21"/>
      <c r="K264" s="22"/>
      <c r="L264" s="22"/>
      <c r="M264" s="22"/>
      <c r="N264" s="22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21"/>
      <c r="K265" s="22"/>
      <c r="L265" s="22"/>
      <c r="M265" s="22"/>
      <c r="N265" s="22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21"/>
      <c r="K266" s="22"/>
      <c r="L266" s="22"/>
      <c r="M266" s="22"/>
      <c r="N266" s="22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21"/>
      <c r="K267" s="22"/>
      <c r="L267" s="22"/>
      <c r="M267" s="22"/>
      <c r="N267" s="22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21"/>
      <c r="K268" s="22"/>
      <c r="L268" s="22"/>
      <c r="M268" s="22"/>
      <c r="N268" s="22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21"/>
      <c r="K269" s="22"/>
      <c r="L269" s="22"/>
      <c r="M269" s="22"/>
      <c r="N269" s="22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21"/>
      <c r="K270" s="22"/>
      <c r="L270" s="22"/>
      <c r="M270" s="22"/>
      <c r="N270" s="22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21"/>
      <c r="K271" s="22"/>
      <c r="L271" s="22"/>
      <c r="M271" s="22"/>
      <c r="N271" s="22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21"/>
      <c r="K272" s="22"/>
      <c r="L272" s="22"/>
      <c r="M272" s="22"/>
      <c r="N272" s="22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21"/>
      <c r="K273" s="22"/>
      <c r="L273" s="22"/>
      <c r="M273" s="22"/>
      <c r="N273" s="22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21"/>
      <c r="K274" s="22"/>
      <c r="L274" s="22"/>
      <c r="M274" s="22"/>
      <c r="N274" s="22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21"/>
      <c r="K275" s="22"/>
      <c r="L275" s="22"/>
      <c r="M275" s="22"/>
      <c r="N275" s="22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21"/>
      <c r="K276" s="22"/>
      <c r="L276" s="22"/>
      <c r="M276" s="22"/>
      <c r="N276" s="22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21"/>
      <c r="K277" s="22"/>
      <c r="L277" s="22"/>
      <c r="M277" s="22"/>
      <c r="N277" s="22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21"/>
      <c r="K278" s="22"/>
      <c r="L278" s="22"/>
      <c r="M278" s="22"/>
      <c r="N278" s="22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21"/>
      <c r="K279" s="22"/>
      <c r="L279" s="22"/>
      <c r="M279" s="22"/>
      <c r="N279" s="22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21"/>
      <c r="K280" s="22"/>
      <c r="L280" s="22"/>
      <c r="M280" s="22"/>
      <c r="N280" s="22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21"/>
      <c r="K281" s="22"/>
      <c r="L281" s="22"/>
      <c r="M281" s="22"/>
      <c r="N281" s="22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21"/>
      <c r="K282" s="22"/>
      <c r="L282" s="22"/>
      <c r="M282" s="22"/>
      <c r="N282" s="22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21"/>
      <c r="K283" s="22"/>
      <c r="L283" s="22"/>
      <c r="M283" s="22"/>
      <c r="N283" s="22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21"/>
      <c r="K284" s="22"/>
      <c r="L284" s="22"/>
      <c r="M284" s="22"/>
      <c r="N284" s="22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21"/>
      <c r="K285" s="22"/>
      <c r="L285" s="22"/>
      <c r="M285" s="22"/>
      <c r="N285" s="22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21"/>
      <c r="K286" s="22"/>
      <c r="L286" s="22"/>
      <c r="M286" s="22"/>
      <c r="N286" s="22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21"/>
      <c r="K287" s="22"/>
      <c r="L287" s="22"/>
      <c r="M287" s="22"/>
      <c r="N287" s="22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21"/>
      <c r="K288" s="22"/>
      <c r="L288" s="22"/>
      <c r="M288" s="22"/>
      <c r="N288" s="22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21"/>
      <c r="K289" s="22"/>
      <c r="L289" s="22"/>
      <c r="M289" s="22"/>
      <c r="N289" s="22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21"/>
      <c r="K290" s="22"/>
      <c r="L290" s="22"/>
      <c r="M290" s="22"/>
      <c r="N290" s="22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21"/>
      <c r="K291" s="22"/>
      <c r="L291" s="22"/>
      <c r="M291" s="22"/>
      <c r="N291" s="22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21"/>
      <c r="K292" s="22"/>
      <c r="L292" s="22"/>
      <c r="M292" s="22"/>
      <c r="N292" s="22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21"/>
      <c r="K293" s="22"/>
      <c r="L293" s="22"/>
      <c r="M293" s="22"/>
      <c r="N293" s="22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21"/>
      <c r="K294" s="22"/>
      <c r="L294" s="22"/>
      <c r="M294" s="22"/>
      <c r="N294" s="22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21"/>
      <c r="K295" s="22"/>
      <c r="L295" s="22"/>
      <c r="M295" s="22"/>
      <c r="N295" s="22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21"/>
      <c r="K296" s="22"/>
      <c r="L296" s="22"/>
      <c r="M296" s="22"/>
      <c r="N296" s="22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21"/>
      <c r="K297" s="22"/>
      <c r="L297" s="22"/>
      <c r="M297" s="22"/>
      <c r="N297" s="22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21"/>
      <c r="K298" s="22"/>
      <c r="L298" s="22"/>
      <c r="M298" s="22"/>
      <c r="N298" s="22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21"/>
      <c r="K299" s="22"/>
      <c r="L299" s="22"/>
      <c r="M299" s="22"/>
      <c r="N299" s="22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21"/>
      <c r="K300" s="22"/>
      <c r="L300" s="22"/>
      <c r="M300" s="22"/>
      <c r="N300" s="22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21"/>
      <c r="K301" s="22"/>
      <c r="L301" s="22"/>
      <c r="M301" s="22"/>
      <c r="N301" s="22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21"/>
      <c r="K302" s="22"/>
      <c r="L302" s="22"/>
      <c r="M302" s="22"/>
      <c r="N302" s="22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21"/>
      <c r="K303" s="22"/>
      <c r="L303" s="22"/>
      <c r="M303" s="22"/>
      <c r="N303" s="22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21"/>
      <c r="K304" s="22"/>
      <c r="L304" s="22"/>
      <c r="M304" s="22"/>
      <c r="N304" s="22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21"/>
      <c r="K305" s="22"/>
      <c r="L305" s="22"/>
      <c r="M305" s="22"/>
      <c r="N305" s="22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21"/>
      <c r="K306" s="22"/>
      <c r="L306" s="22"/>
      <c r="M306" s="22"/>
      <c r="N306" s="22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21"/>
      <c r="K307" s="22"/>
      <c r="L307" s="22"/>
      <c r="M307" s="22"/>
      <c r="N307" s="22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21"/>
      <c r="K308" s="22"/>
      <c r="L308" s="22"/>
      <c r="M308" s="22"/>
      <c r="N308" s="22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21"/>
      <c r="K309" s="22"/>
      <c r="L309" s="22"/>
      <c r="M309" s="22"/>
      <c r="N309" s="22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21"/>
      <c r="K310" s="22"/>
      <c r="L310" s="22"/>
      <c r="M310" s="22"/>
      <c r="N310" s="22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21"/>
      <c r="K311" s="22"/>
      <c r="L311" s="22"/>
      <c r="M311" s="22"/>
      <c r="N311" s="22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21"/>
      <c r="K312" s="22"/>
      <c r="L312" s="22"/>
      <c r="M312" s="22"/>
      <c r="N312" s="22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21"/>
      <c r="K313" s="22"/>
      <c r="L313" s="22"/>
      <c r="M313" s="22"/>
      <c r="N313" s="22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21"/>
      <c r="K314" s="22"/>
      <c r="L314" s="22"/>
      <c r="M314" s="22"/>
      <c r="N314" s="22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21"/>
      <c r="K315" s="22"/>
      <c r="L315" s="22"/>
      <c r="M315" s="22"/>
      <c r="N315" s="22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21"/>
      <c r="K316" s="22"/>
      <c r="L316" s="22"/>
      <c r="M316" s="22"/>
      <c r="N316" s="22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21"/>
      <c r="K317" s="22"/>
      <c r="L317" s="22"/>
      <c r="M317" s="22"/>
      <c r="N317" s="22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21"/>
      <c r="K318" s="22"/>
      <c r="L318" s="22"/>
      <c r="M318" s="22"/>
      <c r="N318" s="22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21"/>
      <c r="K319" s="22"/>
      <c r="L319" s="22"/>
      <c r="M319" s="22"/>
      <c r="N319" s="22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21"/>
      <c r="K320" s="22"/>
      <c r="L320" s="22"/>
      <c r="M320" s="22"/>
      <c r="N320" s="22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21"/>
      <c r="K321" s="22"/>
      <c r="L321" s="22"/>
      <c r="M321" s="22"/>
      <c r="N321" s="22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21"/>
      <c r="K322" s="22"/>
      <c r="L322" s="22"/>
      <c r="M322" s="22"/>
      <c r="N322" s="22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21"/>
      <c r="K323" s="22"/>
      <c r="L323" s="22"/>
      <c r="M323" s="22"/>
      <c r="N323" s="22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21"/>
      <c r="K324" s="22"/>
      <c r="L324" s="22"/>
      <c r="M324" s="22"/>
      <c r="N324" s="22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21"/>
      <c r="K325" s="22"/>
      <c r="L325" s="22"/>
      <c r="M325" s="22"/>
      <c r="N325" s="22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21"/>
      <c r="K326" s="22"/>
      <c r="L326" s="22"/>
      <c r="M326" s="22"/>
      <c r="N326" s="22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21"/>
      <c r="K327" s="22"/>
      <c r="L327" s="22"/>
      <c r="M327" s="22"/>
      <c r="N327" s="22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21"/>
      <c r="K328" s="22"/>
      <c r="L328" s="22"/>
      <c r="M328" s="22"/>
      <c r="N328" s="22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21"/>
      <c r="K329" s="22"/>
      <c r="L329" s="22"/>
      <c r="M329" s="22"/>
      <c r="N329" s="22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21"/>
      <c r="K330" s="22"/>
      <c r="L330" s="22"/>
      <c r="M330" s="22"/>
      <c r="N330" s="22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21"/>
      <c r="K331" s="22"/>
      <c r="L331" s="22"/>
      <c r="M331" s="22"/>
      <c r="N331" s="22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21"/>
      <c r="K332" s="22"/>
      <c r="L332" s="22"/>
      <c r="M332" s="22"/>
      <c r="N332" s="22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21"/>
      <c r="K333" s="22"/>
      <c r="L333" s="22"/>
      <c r="M333" s="22"/>
      <c r="N333" s="22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21"/>
      <c r="K334" s="22"/>
      <c r="L334" s="22"/>
      <c r="M334" s="22"/>
      <c r="N334" s="22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21"/>
      <c r="K335" s="22"/>
      <c r="L335" s="22"/>
      <c r="M335" s="22"/>
      <c r="N335" s="22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21"/>
      <c r="K336" s="22"/>
      <c r="L336" s="22"/>
      <c r="M336" s="22"/>
      <c r="N336" s="22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21"/>
      <c r="K337" s="22"/>
      <c r="L337" s="22"/>
      <c r="M337" s="22"/>
      <c r="N337" s="22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21"/>
      <c r="K338" s="22"/>
      <c r="L338" s="22"/>
      <c r="M338" s="22"/>
      <c r="N338" s="22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21"/>
      <c r="K339" s="22"/>
      <c r="L339" s="22"/>
      <c r="M339" s="22"/>
      <c r="N339" s="22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21"/>
      <c r="K340" s="22"/>
      <c r="L340" s="22"/>
      <c r="M340" s="22"/>
      <c r="N340" s="22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21"/>
      <c r="K341" s="22"/>
      <c r="L341" s="22"/>
      <c r="M341" s="22"/>
      <c r="N341" s="22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21"/>
      <c r="K342" s="22"/>
      <c r="L342" s="22"/>
      <c r="M342" s="22"/>
      <c r="N342" s="22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21"/>
      <c r="K343" s="22"/>
      <c r="L343" s="22"/>
      <c r="M343" s="22"/>
      <c r="N343" s="22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21"/>
      <c r="K344" s="22"/>
      <c r="L344" s="22"/>
      <c r="M344" s="22"/>
      <c r="N344" s="22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21"/>
      <c r="K345" s="22"/>
      <c r="L345" s="22"/>
      <c r="M345" s="22"/>
      <c r="N345" s="22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21"/>
      <c r="K346" s="22"/>
      <c r="L346" s="22"/>
      <c r="M346" s="22"/>
      <c r="N346" s="22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21"/>
      <c r="K347" s="22"/>
      <c r="L347" s="22"/>
      <c r="M347" s="22"/>
      <c r="N347" s="22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21"/>
      <c r="K348" s="22"/>
      <c r="L348" s="22"/>
      <c r="M348" s="22"/>
      <c r="N348" s="22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21"/>
      <c r="K349" s="22"/>
      <c r="L349" s="22"/>
      <c r="M349" s="22"/>
      <c r="N349" s="22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21"/>
      <c r="K350" s="22"/>
      <c r="L350" s="22"/>
      <c r="M350" s="22"/>
      <c r="N350" s="22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21"/>
      <c r="K351" s="22"/>
      <c r="L351" s="22"/>
      <c r="M351" s="22"/>
      <c r="N351" s="22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21"/>
      <c r="K352" s="22"/>
      <c r="L352" s="22"/>
      <c r="M352" s="22"/>
      <c r="N352" s="22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21"/>
      <c r="K353" s="22"/>
      <c r="L353" s="22"/>
      <c r="M353" s="22"/>
      <c r="N353" s="22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21"/>
      <c r="K354" s="22"/>
      <c r="L354" s="22"/>
      <c r="M354" s="22"/>
      <c r="N354" s="22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21"/>
      <c r="K355" s="22"/>
      <c r="L355" s="22"/>
      <c r="M355" s="22"/>
      <c r="N355" s="22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21"/>
      <c r="K356" s="22"/>
      <c r="L356" s="22"/>
      <c r="M356" s="22"/>
      <c r="N356" s="22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21"/>
      <c r="K357" s="22"/>
      <c r="L357" s="22"/>
      <c r="M357" s="22"/>
      <c r="N357" s="22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21"/>
      <c r="K358" s="22"/>
      <c r="L358" s="22"/>
      <c r="M358" s="22"/>
      <c r="N358" s="22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21"/>
      <c r="K359" s="22"/>
      <c r="L359" s="22"/>
      <c r="M359" s="22"/>
      <c r="N359" s="22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21"/>
      <c r="K360" s="22"/>
      <c r="L360" s="22"/>
      <c r="M360" s="22"/>
      <c r="N360" s="22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21"/>
      <c r="K361" s="22"/>
      <c r="L361" s="22"/>
      <c r="M361" s="22"/>
      <c r="N361" s="22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21"/>
      <c r="K362" s="22"/>
      <c r="L362" s="22"/>
      <c r="M362" s="22"/>
      <c r="N362" s="22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21"/>
      <c r="K363" s="22"/>
      <c r="L363" s="22"/>
      <c r="M363" s="22"/>
      <c r="N363" s="22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21"/>
      <c r="K364" s="22"/>
      <c r="L364" s="22"/>
      <c r="M364" s="22"/>
      <c r="N364" s="22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21"/>
      <c r="K365" s="22"/>
      <c r="L365" s="22"/>
      <c r="M365" s="22"/>
      <c r="N365" s="22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21"/>
      <c r="K366" s="22"/>
      <c r="L366" s="22"/>
      <c r="M366" s="22"/>
      <c r="N366" s="22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21"/>
      <c r="K367" s="22"/>
      <c r="L367" s="22"/>
      <c r="M367" s="22"/>
      <c r="N367" s="22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21"/>
      <c r="K368" s="22"/>
      <c r="L368" s="22"/>
      <c r="M368" s="22"/>
      <c r="N368" s="22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21"/>
      <c r="K369" s="22"/>
      <c r="L369" s="22"/>
      <c r="M369" s="22"/>
      <c r="N369" s="22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21"/>
      <c r="K370" s="22"/>
      <c r="L370" s="22"/>
      <c r="M370" s="22"/>
      <c r="N370" s="22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21"/>
      <c r="K371" s="22"/>
      <c r="L371" s="22"/>
      <c r="M371" s="22"/>
      <c r="N371" s="22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21"/>
      <c r="K372" s="22"/>
      <c r="L372" s="22"/>
      <c r="M372" s="22"/>
      <c r="N372" s="22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21"/>
      <c r="K373" s="22"/>
      <c r="L373" s="22"/>
      <c r="M373" s="22"/>
      <c r="N373" s="22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21"/>
      <c r="K374" s="22"/>
      <c r="L374" s="22"/>
      <c r="M374" s="22"/>
      <c r="N374" s="22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21"/>
      <c r="K375" s="22"/>
      <c r="L375" s="22"/>
      <c r="M375" s="22"/>
      <c r="N375" s="22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21"/>
      <c r="K376" s="22"/>
      <c r="L376" s="22"/>
      <c r="M376" s="22"/>
      <c r="N376" s="22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21"/>
      <c r="K377" s="22"/>
      <c r="L377" s="22"/>
      <c r="M377" s="22"/>
      <c r="N377" s="22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21"/>
      <c r="K378" s="22"/>
      <c r="L378" s="22"/>
      <c r="M378" s="22"/>
      <c r="N378" s="22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21"/>
      <c r="K379" s="22"/>
      <c r="L379" s="22"/>
      <c r="M379" s="22"/>
      <c r="N379" s="22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21"/>
      <c r="K380" s="22"/>
      <c r="L380" s="22"/>
      <c r="M380" s="22"/>
      <c r="N380" s="22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21"/>
      <c r="K381" s="22"/>
      <c r="L381" s="22"/>
      <c r="M381" s="22"/>
      <c r="N381" s="22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21"/>
      <c r="K382" s="22"/>
      <c r="L382" s="22"/>
      <c r="M382" s="22"/>
      <c r="N382" s="22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21"/>
      <c r="K383" s="22"/>
      <c r="L383" s="22"/>
      <c r="M383" s="22"/>
      <c r="N383" s="22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21"/>
      <c r="K384" s="22"/>
      <c r="L384" s="22"/>
      <c r="M384" s="22"/>
      <c r="N384" s="22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21"/>
      <c r="K385" s="22"/>
      <c r="L385" s="22"/>
      <c r="M385" s="22"/>
      <c r="N385" s="22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21"/>
      <c r="K386" s="22"/>
      <c r="L386" s="22"/>
      <c r="M386" s="22"/>
      <c r="N386" s="22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21"/>
      <c r="K387" s="22"/>
      <c r="L387" s="22"/>
      <c r="M387" s="22"/>
      <c r="N387" s="22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21"/>
      <c r="K388" s="22"/>
      <c r="L388" s="22"/>
      <c r="M388" s="22"/>
      <c r="N388" s="22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21"/>
      <c r="K389" s="22"/>
      <c r="L389" s="22"/>
      <c r="M389" s="22"/>
      <c r="N389" s="22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21"/>
      <c r="K390" s="22"/>
      <c r="L390" s="22"/>
      <c r="M390" s="22"/>
      <c r="N390" s="22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21"/>
      <c r="K391" s="22"/>
      <c r="L391" s="22"/>
      <c r="M391" s="22"/>
      <c r="N391" s="22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21"/>
      <c r="K392" s="22"/>
      <c r="L392" s="22"/>
      <c r="M392" s="22"/>
      <c r="N392" s="22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21"/>
      <c r="K393" s="22"/>
      <c r="L393" s="22"/>
      <c r="M393" s="22"/>
      <c r="N393" s="22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21"/>
      <c r="K394" s="22"/>
      <c r="L394" s="22"/>
      <c r="M394" s="22"/>
      <c r="N394" s="22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21"/>
      <c r="K395" s="22"/>
      <c r="L395" s="22"/>
      <c r="M395" s="22"/>
      <c r="N395" s="22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21"/>
      <c r="K396" s="22"/>
      <c r="L396" s="22"/>
      <c r="M396" s="22"/>
      <c r="N396" s="22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21"/>
      <c r="K397" s="22"/>
      <c r="L397" s="22"/>
      <c r="M397" s="22"/>
      <c r="N397" s="22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21"/>
      <c r="K398" s="22"/>
      <c r="L398" s="22"/>
      <c r="M398" s="22"/>
      <c r="N398" s="22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21"/>
      <c r="K399" s="22"/>
      <c r="L399" s="22"/>
      <c r="M399" s="22"/>
      <c r="N399" s="22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21"/>
      <c r="K400" s="22"/>
      <c r="L400" s="22"/>
      <c r="M400" s="22"/>
      <c r="N400" s="22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21"/>
      <c r="K401" s="22"/>
      <c r="L401" s="22"/>
      <c r="M401" s="22"/>
      <c r="N401" s="22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21"/>
      <c r="K402" s="22"/>
      <c r="L402" s="22"/>
      <c r="M402" s="22"/>
      <c r="N402" s="22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21"/>
      <c r="K403" s="22"/>
      <c r="L403" s="22"/>
      <c r="M403" s="22"/>
      <c r="N403" s="22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21"/>
      <c r="K404" s="22"/>
      <c r="L404" s="22"/>
      <c r="M404" s="22"/>
      <c r="N404" s="22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21"/>
      <c r="K405" s="22"/>
      <c r="L405" s="22"/>
      <c r="M405" s="22"/>
      <c r="N405" s="22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21"/>
      <c r="K406" s="22"/>
      <c r="L406" s="22"/>
      <c r="M406" s="22"/>
      <c r="N406" s="22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21"/>
      <c r="K407" s="22"/>
      <c r="L407" s="22"/>
      <c r="M407" s="22"/>
      <c r="N407" s="22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21"/>
      <c r="K408" s="22"/>
      <c r="L408" s="22"/>
      <c r="M408" s="22"/>
      <c r="N408" s="22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21"/>
      <c r="K409" s="22"/>
      <c r="L409" s="22"/>
      <c r="M409" s="22"/>
      <c r="N409" s="22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21"/>
      <c r="K410" s="22"/>
      <c r="L410" s="22"/>
      <c r="M410" s="22"/>
      <c r="N410" s="22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21"/>
      <c r="K411" s="22"/>
      <c r="L411" s="22"/>
      <c r="M411" s="22"/>
      <c r="N411" s="22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21"/>
      <c r="K412" s="22"/>
      <c r="L412" s="22"/>
      <c r="M412" s="22"/>
      <c r="N412" s="22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21"/>
      <c r="K413" s="22"/>
      <c r="L413" s="22"/>
      <c r="M413" s="22"/>
      <c r="N413" s="22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21"/>
      <c r="K414" s="22"/>
      <c r="L414" s="22"/>
      <c r="M414" s="22"/>
      <c r="N414" s="22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21"/>
      <c r="K415" s="22"/>
      <c r="L415" s="22"/>
      <c r="M415" s="22"/>
      <c r="N415" s="22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21"/>
      <c r="K416" s="22"/>
      <c r="L416" s="22"/>
      <c r="M416" s="22"/>
      <c r="N416" s="22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21"/>
      <c r="K417" s="22"/>
      <c r="L417" s="22"/>
      <c r="M417" s="22"/>
      <c r="N417" s="22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21"/>
      <c r="K418" s="22"/>
      <c r="L418" s="22"/>
      <c r="M418" s="22"/>
      <c r="N418" s="22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21"/>
      <c r="K419" s="22"/>
      <c r="L419" s="22"/>
      <c r="M419" s="22"/>
      <c r="N419" s="22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21"/>
      <c r="K420" s="22"/>
      <c r="L420" s="22"/>
      <c r="M420" s="22"/>
      <c r="N420" s="22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21"/>
      <c r="K421" s="22"/>
      <c r="L421" s="22"/>
      <c r="M421" s="22"/>
      <c r="N421" s="22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21"/>
      <c r="K422" s="22"/>
      <c r="L422" s="22"/>
      <c r="M422" s="22"/>
      <c r="N422" s="22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21"/>
      <c r="K423" s="22"/>
      <c r="L423" s="22"/>
      <c r="M423" s="22"/>
      <c r="N423" s="22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21"/>
      <c r="K424" s="22"/>
      <c r="L424" s="22"/>
      <c r="M424" s="22"/>
      <c r="N424" s="22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21"/>
      <c r="K425" s="22"/>
      <c r="L425" s="22"/>
      <c r="M425" s="22"/>
      <c r="N425" s="22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21"/>
      <c r="K426" s="22"/>
      <c r="L426" s="22"/>
      <c r="M426" s="22"/>
      <c r="N426" s="22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21"/>
      <c r="K427" s="22"/>
      <c r="L427" s="22"/>
      <c r="M427" s="22"/>
      <c r="N427" s="22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21"/>
      <c r="K428" s="22"/>
      <c r="L428" s="22"/>
      <c r="M428" s="22"/>
      <c r="N428" s="22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21"/>
      <c r="K429" s="22"/>
      <c r="L429" s="22"/>
      <c r="M429" s="22"/>
      <c r="N429" s="22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21"/>
      <c r="K430" s="22"/>
      <c r="L430" s="22"/>
      <c r="M430" s="22"/>
      <c r="N430" s="22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21"/>
      <c r="K431" s="22"/>
      <c r="L431" s="22"/>
      <c r="M431" s="22"/>
      <c r="N431" s="22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21"/>
      <c r="K432" s="22"/>
      <c r="L432" s="22"/>
      <c r="M432" s="22"/>
      <c r="N432" s="22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21"/>
      <c r="K433" s="22"/>
      <c r="L433" s="22"/>
      <c r="M433" s="22"/>
      <c r="N433" s="22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21"/>
      <c r="K434" s="22"/>
      <c r="L434" s="22"/>
      <c r="M434" s="22"/>
      <c r="N434" s="22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21"/>
      <c r="K435" s="22"/>
      <c r="L435" s="22"/>
      <c r="M435" s="22"/>
      <c r="N435" s="22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21"/>
      <c r="K436" s="22"/>
      <c r="L436" s="22"/>
      <c r="M436" s="22"/>
      <c r="N436" s="22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21"/>
      <c r="K437" s="22"/>
      <c r="L437" s="22"/>
      <c r="M437" s="22"/>
      <c r="N437" s="22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21"/>
      <c r="K438" s="22"/>
      <c r="L438" s="22"/>
      <c r="M438" s="22"/>
      <c r="N438" s="22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21"/>
      <c r="K439" s="22"/>
      <c r="L439" s="22"/>
      <c r="M439" s="22"/>
      <c r="N439" s="22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21"/>
      <c r="K440" s="22"/>
      <c r="L440" s="22"/>
      <c r="M440" s="22"/>
      <c r="N440" s="22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21"/>
      <c r="K441" s="22"/>
      <c r="L441" s="22"/>
      <c r="M441" s="22"/>
      <c r="N441" s="22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21"/>
      <c r="K442" s="22"/>
      <c r="L442" s="22"/>
      <c r="M442" s="22"/>
      <c r="N442" s="22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21"/>
      <c r="K443" s="22"/>
      <c r="L443" s="22"/>
      <c r="M443" s="22"/>
      <c r="N443" s="22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21"/>
      <c r="K444" s="22"/>
      <c r="L444" s="22"/>
      <c r="M444" s="22"/>
      <c r="N444" s="22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21"/>
      <c r="K445" s="22"/>
      <c r="L445" s="22"/>
      <c r="M445" s="22"/>
      <c r="N445" s="22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21"/>
      <c r="K446" s="22"/>
      <c r="L446" s="22"/>
      <c r="M446" s="22"/>
      <c r="N446" s="22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21"/>
      <c r="K447" s="22"/>
      <c r="L447" s="22"/>
      <c r="M447" s="22"/>
      <c r="N447" s="22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21"/>
      <c r="K448" s="22"/>
      <c r="L448" s="22"/>
      <c r="M448" s="22"/>
      <c r="N448" s="22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21"/>
      <c r="K449" s="22"/>
      <c r="L449" s="22"/>
      <c r="M449" s="22"/>
      <c r="N449" s="22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21"/>
      <c r="K450" s="22"/>
      <c r="L450" s="22"/>
      <c r="M450" s="22"/>
      <c r="N450" s="22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21"/>
      <c r="K451" s="22"/>
      <c r="L451" s="22"/>
      <c r="M451" s="22"/>
      <c r="N451" s="22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21"/>
      <c r="K452" s="22"/>
      <c r="L452" s="22"/>
      <c r="M452" s="22"/>
      <c r="N452" s="22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21"/>
      <c r="K453" s="22"/>
      <c r="L453" s="22"/>
      <c r="M453" s="22"/>
      <c r="N453" s="22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21"/>
      <c r="K454" s="22"/>
      <c r="L454" s="22"/>
      <c r="M454" s="22"/>
      <c r="N454" s="22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21"/>
      <c r="K455" s="22"/>
      <c r="L455" s="22"/>
      <c r="M455" s="22"/>
      <c r="N455" s="22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21"/>
      <c r="K456" s="22"/>
      <c r="L456" s="22"/>
      <c r="M456" s="22"/>
      <c r="N456" s="22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21"/>
      <c r="K457" s="22"/>
      <c r="L457" s="22"/>
      <c r="M457" s="22"/>
      <c r="N457" s="22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21"/>
      <c r="K458" s="22"/>
      <c r="L458" s="22"/>
      <c r="M458" s="22"/>
      <c r="N458" s="22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21"/>
      <c r="K459" s="22"/>
      <c r="L459" s="22"/>
      <c r="M459" s="22"/>
      <c r="N459" s="22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21"/>
      <c r="K460" s="22"/>
      <c r="L460" s="22"/>
      <c r="M460" s="22"/>
      <c r="N460" s="22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21"/>
      <c r="K461" s="22"/>
      <c r="L461" s="22"/>
      <c r="M461" s="22"/>
      <c r="N461" s="22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21"/>
      <c r="K462" s="22"/>
      <c r="L462" s="22"/>
      <c r="M462" s="22"/>
      <c r="N462" s="22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21"/>
      <c r="K463" s="22"/>
      <c r="L463" s="22"/>
      <c r="M463" s="22"/>
      <c r="N463" s="22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21"/>
      <c r="K464" s="22"/>
      <c r="L464" s="22"/>
      <c r="M464" s="22"/>
      <c r="N464" s="22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21"/>
      <c r="K465" s="22"/>
      <c r="L465" s="22"/>
      <c r="M465" s="22"/>
      <c r="N465" s="22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21"/>
      <c r="K466" s="22"/>
      <c r="L466" s="22"/>
      <c r="M466" s="22"/>
      <c r="N466" s="22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21"/>
      <c r="K467" s="22"/>
      <c r="L467" s="22"/>
      <c r="M467" s="22"/>
      <c r="N467" s="22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21"/>
      <c r="K468" s="22"/>
      <c r="L468" s="22"/>
      <c r="M468" s="22"/>
      <c r="N468" s="22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21"/>
      <c r="K469" s="22"/>
      <c r="L469" s="22"/>
      <c r="M469" s="22"/>
      <c r="N469" s="22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21"/>
      <c r="K470" s="22"/>
      <c r="L470" s="22"/>
      <c r="M470" s="22"/>
      <c r="N470" s="22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21"/>
      <c r="K471" s="22"/>
      <c r="L471" s="22"/>
      <c r="M471" s="22"/>
      <c r="N471" s="22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21"/>
      <c r="K472" s="22"/>
      <c r="L472" s="22"/>
      <c r="M472" s="22"/>
      <c r="N472" s="22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21"/>
      <c r="K473" s="22"/>
      <c r="L473" s="22"/>
      <c r="M473" s="22"/>
      <c r="N473" s="22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21"/>
      <c r="K474" s="22"/>
      <c r="L474" s="22"/>
      <c r="M474" s="22"/>
      <c r="N474" s="22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21"/>
      <c r="K475" s="22"/>
      <c r="L475" s="22"/>
      <c r="M475" s="22"/>
      <c r="N475" s="22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21"/>
      <c r="K476" s="22"/>
      <c r="L476" s="22"/>
      <c r="M476" s="22"/>
      <c r="N476" s="22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21"/>
      <c r="K477" s="22"/>
      <c r="L477" s="22"/>
      <c r="M477" s="22"/>
      <c r="N477" s="22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21"/>
      <c r="K478" s="22"/>
      <c r="L478" s="22"/>
      <c r="M478" s="22"/>
      <c r="N478" s="22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21"/>
      <c r="K479" s="22"/>
      <c r="L479" s="22"/>
      <c r="M479" s="22"/>
      <c r="N479" s="22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21"/>
      <c r="K480" s="22"/>
      <c r="L480" s="22"/>
      <c r="M480" s="22"/>
      <c r="N480" s="22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21"/>
      <c r="K481" s="22"/>
      <c r="L481" s="22"/>
      <c r="M481" s="22"/>
      <c r="N481" s="22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21"/>
      <c r="K482" s="22"/>
      <c r="L482" s="22"/>
      <c r="M482" s="22"/>
      <c r="N482" s="22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21"/>
      <c r="K483" s="22"/>
      <c r="L483" s="22"/>
      <c r="M483" s="22"/>
      <c r="N483" s="22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21"/>
      <c r="K484" s="22"/>
      <c r="L484" s="22"/>
      <c r="M484" s="22"/>
      <c r="N484" s="22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21"/>
      <c r="K485" s="22"/>
      <c r="L485" s="22"/>
      <c r="M485" s="22"/>
      <c r="N485" s="22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21"/>
      <c r="K486" s="22"/>
      <c r="L486" s="22"/>
      <c r="M486" s="22"/>
      <c r="N486" s="22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21"/>
      <c r="K487" s="22"/>
      <c r="L487" s="22"/>
      <c r="M487" s="22"/>
      <c r="N487" s="22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21"/>
      <c r="K488" s="22"/>
      <c r="L488" s="22"/>
      <c r="M488" s="22"/>
      <c r="N488" s="22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21"/>
      <c r="K489" s="22"/>
      <c r="L489" s="22"/>
      <c r="M489" s="22"/>
      <c r="N489" s="22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21"/>
      <c r="K490" s="22"/>
      <c r="L490" s="22"/>
      <c r="M490" s="22"/>
      <c r="N490" s="22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21"/>
      <c r="K491" s="22"/>
      <c r="L491" s="22"/>
      <c r="M491" s="22"/>
      <c r="N491" s="22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21"/>
      <c r="K492" s="22"/>
      <c r="L492" s="22"/>
      <c r="M492" s="22"/>
      <c r="N492" s="22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21"/>
      <c r="K493" s="22"/>
      <c r="L493" s="22"/>
      <c r="M493" s="22"/>
      <c r="N493" s="22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21"/>
      <c r="K494" s="22"/>
      <c r="L494" s="22"/>
      <c r="M494" s="22"/>
      <c r="N494" s="22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21"/>
      <c r="K495" s="22"/>
      <c r="L495" s="22"/>
      <c r="M495" s="22"/>
      <c r="N495" s="22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21"/>
      <c r="K496" s="22"/>
      <c r="L496" s="22"/>
      <c r="M496" s="22"/>
      <c r="N496" s="22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21"/>
      <c r="K497" s="22"/>
      <c r="L497" s="22"/>
      <c r="M497" s="22"/>
      <c r="N497" s="22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21"/>
      <c r="K498" s="22"/>
      <c r="L498" s="22"/>
      <c r="M498" s="22"/>
      <c r="N498" s="22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21"/>
      <c r="K499" s="22"/>
      <c r="L499" s="22"/>
      <c r="M499" s="22"/>
      <c r="N499" s="22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21"/>
      <c r="K500" s="22"/>
      <c r="L500" s="22"/>
      <c r="M500" s="22"/>
      <c r="N500" s="22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21"/>
      <c r="K501" s="22"/>
      <c r="L501" s="22"/>
      <c r="M501" s="22"/>
      <c r="N501" s="22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21"/>
      <c r="K502" s="22"/>
      <c r="L502" s="22"/>
      <c r="M502" s="22"/>
      <c r="N502" s="22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21"/>
      <c r="K503" s="22"/>
      <c r="L503" s="22"/>
      <c r="M503" s="22"/>
      <c r="N503" s="22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21"/>
      <c r="K504" s="22"/>
      <c r="L504" s="22"/>
      <c r="M504" s="22"/>
      <c r="N504" s="22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21"/>
      <c r="K505" s="22"/>
      <c r="L505" s="22"/>
      <c r="M505" s="22"/>
      <c r="N505" s="22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21"/>
      <c r="K506" s="22"/>
      <c r="L506" s="22"/>
      <c r="M506" s="22"/>
      <c r="N506" s="22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21"/>
      <c r="K507" s="22"/>
      <c r="L507" s="22"/>
      <c r="M507" s="22"/>
      <c r="N507" s="22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21"/>
      <c r="K508" s="22"/>
      <c r="L508" s="22"/>
      <c r="M508" s="22"/>
      <c r="N508" s="22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21"/>
      <c r="K509" s="22"/>
      <c r="L509" s="22"/>
      <c r="M509" s="22"/>
      <c r="N509" s="22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21"/>
      <c r="K510" s="22"/>
      <c r="L510" s="22"/>
      <c r="M510" s="22"/>
      <c r="N510" s="22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21"/>
      <c r="K511" s="22"/>
      <c r="L511" s="22"/>
      <c r="M511" s="22"/>
      <c r="N511" s="22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21"/>
      <c r="K512" s="22"/>
      <c r="L512" s="22"/>
      <c r="M512" s="22"/>
      <c r="N512" s="22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21"/>
      <c r="K513" s="22"/>
      <c r="L513" s="22"/>
      <c r="M513" s="22"/>
      <c r="N513" s="22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21"/>
      <c r="K514" s="22"/>
      <c r="L514" s="22"/>
      <c r="M514" s="22"/>
      <c r="N514" s="22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21"/>
      <c r="K515" s="22"/>
      <c r="L515" s="22"/>
      <c r="M515" s="22"/>
      <c r="N515" s="22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21"/>
      <c r="K516" s="22"/>
      <c r="L516" s="22"/>
      <c r="M516" s="22"/>
      <c r="N516" s="22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21"/>
      <c r="K517" s="22"/>
      <c r="L517" s="22"/>
      <c r="M517" s="22"/>
      <c r="N517" s="22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21"/>
      <c r="K518" s="22"/>
      <c r="L518" s="22"/>
      <c r="M518" s="22"/>
      <c r="N518" s="22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21"/>
      <c r="K519" s="22"/>
      <c r="L519" s="22"/>
      <c r="M519" s="22"/>
      <c r="N519" s="22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21"/>
      <c r="K520" s="22"/>
      <c r="L520" s="22"/>
      <c r="M520" s="22"/>
      <c r="N520" s="22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21"/>
      <c r="K521" s="22"/>
      <c r="L521" s="22"/>
      <c r="M521" s="22"/>
      <c r="N521" s="22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21"/>
      <c r="K522" s="22"/>
      <c r="L522" s="22"/>
      <c r="M522" s="22"/>
      <c r="N522" s="22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21"/>
      <c r="K523" s="22"/>
      <c r="L523" s="22"/>
      <c r="M523" s="22"/>
      <c r="N523" s="22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21"/>
      <c r="K524" s="22"/>
      <c r="L524" s="22"/>
      <c r="M524" s="22"/>
      <c r="N524" s="22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21"/>
      <c r="K525" s="22"/>
      <c r="L525" s="22"/>
      <c r="M525" s="22"/>
      <c r="N525" s="22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21"/>
      <c r="K526" s="22"/>
      <c r="L526" s="22"/>
      <c r="M526" s="22"/>
      <c r="N526" s="22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21"/>
      <c r="K527" s="22"/>
      <c r="L527" s="22"/>
      <c r="M527" s="22"/>
      <c r="N527" s="22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21"/>
      <c r="K528" s="22"/>
      <c r="L528" s="22"/>
      <c r="M528" s="22"/>
      <c r="N528" s="22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21"/>
      <c r="K529" s="22"/>
      <c r="L529" s="22"/>
      <c r="M529" s="22"/>
      <c r="N529" s="22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21"/>
      <c r="K530" s="22"/>
      <c r="L530" s="22"/>
      <c r="M530" s="22"/>
      <c r="N530" s="22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21"/>
      <c r="K531" s="22"/>
      <c r="L531" s="22"/>
      <c r="M531" s="22"/>
      <c r="N531" s="22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21"/>
      <c r="K532" s="22"/>
      <c r="L532" s="22"/>
      <c r="M532" s="22"/>
      <c r="N532" s="22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21"/>
      <c r="K533" s="22"/>
      <c r="L533" s="22"/>
      <c r="M533" s="22"/>
      <c r="N533" s="22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21"/>
      <c r="K534" s="22"/>
      <c r="L534" s="22"/>
      <c r="M534" s="22"/>
      <c r="N534" s="22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21"/>
      <c r="K535" s="22"/>
      <c r="L535" s="22"/>
      <c r="M535" s="22"/>
      <c r="N535" s="22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21"/>
      <c r="K536" s="22"/>
      <c r="L536" s="22"/>
      <c r="M536" s="22"/>
      <c r="N536" s="22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21"/>
      <c r="K537" s="22"/>
      <c r="L537" s="22"/>
      <c r="M537" s="22"/>
      <c r="N537" s="22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21"/>
      <c r="K538" s="22"/>
      <c r="L538" s="22"/>
      <c r="M538" s="22"/>
      <c r="N538" s="22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21"/>
      <c r="K539" s="22"/>
      <c r="L539" s="22"/>
      <c r="M539" s="22"/>
      <c r="N539" s="22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21"/>
      <c r="K540" s="22"/>
      <c r="L540" s="22"/>
      <c r="M540" s="22"/>
      <c r="N540" s="22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21"/>
      <c r="K541" s="22"/>
      <c r="L541" s="22"/>
      <c r="M541" s="22"/>
      <c r="N541" s="22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21"/>
      <c r="K542" s="22"/>
      <c r="L542" s="22"/>
      <c r="M542" s="22"/>
      <c r="N542" s="22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21"/>
      <c r="K543" s="22"/>
      <c r="L543" s="22"/>
      <c r="M543" s="22"/>
      <c r="N543" s="22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21"/>
      <c r="K544" s="22"/>
      <c r="L544" s="22"/>
      <c r="M544" s="22"/>
      <c r="N544" s="22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21"/>
      <c r="K545" s="22"/>
      <c r="L545" s="22"/>
      <c r="M545" s="22"/>
      <c r="N545" s="22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21"/>
      <c r="K546" s="22"/>
      <c r="L546" s="22"/>
      <c r="M546" s="22"/>
      <c r="N546" s="22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21"/>
      <c r="K547" s="22"/>
      <c r="L547" s="22"/>
      <c r="M547" s="22"/>
      <c r="N547" s="22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21"/>
      <c r="K548" s="22"/>
      <c r="L548" s="22"/>
      <c r="M548" s="22"/>
      <c r="N548" s="22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21"/>
      <c r="K549" s="22"/>
      <c r="L549" s="22"/>
      <c r="M549" s="22"/>
      <c r="N549" s="22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21"/>
      <c r="K550" s="22"/>
      <c r="L550" s="22"/>
      <c r="M550" s="22"/>
      <c r="N550" s="22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21"/>
      <c r="K551" s="22"/>
      <c r="L551" s="22"/>
      <c r="M551" s="22"/>
      <c r="N551" s="22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21"/>
      <c r="K552" s="22"/>
      <c r="L552" s="22"/>
      <c r="M552" s="22"/>
      <c r="N552" s="22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21"/>
      <c r="K553" s="22"/>
      <c r="L553" s="22"/>
      <c r="M553" s="22"/>
      <c r="N553" s="22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21"/>
      <c r="K554" s="22"/>
      <c r="L554" s="22"/>
      <c r="M554" s="22"/>
      <c r="N554" s="22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21"/>
      <c r="K555" s="22"/>
      <c r="L555" s="22"/>
      <c r="M555" s="22"/>
      <c r="N555" s="22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21"/>
      <c r="K556" s="22"/>
      <c r="L556" s="22"/>
      <c r="M556" s="22"/>
      <c r="N556" s="22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21"/>
      <c r="K557" s="22"/>
      <c r="L557" s="22"/>
      <c r="M557" s="22"/>
      <c r="N557" s="22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21"/>
      <c r="K558" s="22"/>
      <c r="L558" s="22"/>
      <c r="M558" s="22"/>
      <c r="N558" s="22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21"/>
      <c r="K559" s="22"/>
      <c r="L559" s="22"/>
      <c r="M559" s="22"/>
      <c r="N559" s="22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21"/>
      <c r="K560" s="22"/>
      <c r="L560" s="22"/>
      <c r="M560" s="22"/>
      <c r="N560" s="22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21"/>
      <c r="K561" s="22"/>
      <c r="L561" s="22"/>
      <c r="M561" s="22"/>
      <c r="N561" s="22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21"/>
      <c r="K562" s="22"/>
      <c r="L562" s="22"/>
      <c r="M562" s="22"/>
      <c r="N562" s="22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21"/>
      <c r="K563" s="22"/>
      <c r="L563" s="22"/>
      <c r="M563" s="22"/>
      <c r="N563" s="22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21"/>
      <c r="K564" s="22"/>
      <c r="L564" s="22"/>
      <c r="M564" s="22"/>
      <c r="N564" s="22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21"/>
      <c r="K565" s="22"/>
      <c r="L565" s="22"/>
      <c r="M565" s="22"/>
      <c r="N565" s="22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21"/>
      <c r="K566" s="22"/>
      <c r="L566" s="22"/>
      <c r="M566" s="22"/>
      <c r="N566" s="22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21"/>
      <c r="K567" s="22"/>
      <c r="L567" s="22"/>
      <c r="M567" s="22"/>
      <c r="N567" s="22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21"/>
      <c r="K568" s="22"/>
      <c r="L568" s="22"/>
      <c r="M568" s="22"/>
      <c r="N568" s="22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21"/>
      <c r="K569" s="22"/>
      <c r="L569" s="22"/>
      <c r="M569" s="22"/>
      <c r="N569" s="22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21"/>
      <c r="K570" s="22"/>
      <c r="L570" s="22"/>
      <c r="M570" s="22"/>
      <c r="N570" s="22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21"/>
      <c r="K571" s="22"/>
      <c r="L571" s="22"/>
      <c r="M571" s="22"/>
      <c r="N571" s="22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21"/>
      <c r="K572" s="22"/>
      <c r="L572" s="22"/>
      <c r="M572" s="22"/>
      <c r="N572" s="22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21"/>
      <c r="K573" s="22"/>
      <c r="L573" s="22"/>
      <c r="M573" s="22"/>
      <c r="N573" s="22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21"/>
      <c r="K574" s="22"/>
      <c r="L574" s="22"/>
      <c r="M574" s="22"/>
      <c r="N574" s="22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21"/>
      <c r="K575" s="22"/>
      <c r="L575" s="22"/>
      <c r="M575" s="22"/>
      <c r="N575" s="22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21"/>
      <c r="K576" s="22"/>
      <c r="L576" s="22"/>
      <c r="M576" s="22"/>
      <c r="N576" s="22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21"/>
      <c r="K577" s="22"/>
      <c r="L577" s="22"/>
      <c r="M577" s="22"/>
      <c r="N577" s="22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21"/>
      <c r="K578" s="22"/>
      <c r="L578" s="22"/>
      <c r="M578" s="22"/>
      <c r="N578" s="22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21"/>
      <c r="K579" s="22"/>
      <c r="L579" s="22"/>
      <c r="M579" s="22"/>
      <c r="N579" s="22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21"/>
      <c r="K580" s="22"/>
      <c r="L580" s="22"/>
      <c r="M580" s="22"/>
      <c r="N580" s="22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21"/>
      <c r="K581" s="22"/>
      <c r="L581" s="22"/>
      <c r="M581" s="22"/>
      <c r="N581" s="22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21"/>
      <c r="K582" s="22"/>
      <c r="L582" s="22"/>
      <c r="M582" s="22"/>
      <c r="N582" s="22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21"/>
      <c r="K583" s="22"/>
      <c r="L583" s="22"/>
      <c r="M583" s="22"/>
      <c r="N583" s="22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21"/>
      <c r="K584" s="22"/>
      <c r="L584" s="22"/>
      <c r="M584" s="22"/>
      <c r="N584" s="22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21"/>
      <c r="K585" s="22"/>
      <c r="L585" s="22"/>
      <c r="M585" s="22"/>
      <c r="N585" s="22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21"/>
      <c r="K586" s="22"/>
      <c r="L586" s="22"/>
      <c r="M586" s="22"/>
      <c r="N586" s="22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21"/>
      <c r="K587" s="22"/>
      <c r="L587" s="22"/>
      <c r="M587" s="22"/>
      <c r="N587" s="22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21"/>
      <c r="K588" s="22"/>
      <c r="L588" s="22"/>
      <c r="M588" s="22"/>
      <c r="N588" s="22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21"/>
      <c r="K589" s="22"/>
      <c r="L589" s="22"/>
      <c r="M589" s="22"/>
      <c r="N589" s="22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21"/>
      <c r="K590" s="22"/>
      <c r="L590" s="22"/>
      <c r="M590" s="22"/>
      <c r="N590" s="22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21"/>
      <c r="K591" s="22"/>
      <c r="L591" s="22"/>
      <c r="M591" s="22"/>
      <c r="N591" s="22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21"/>
      <c r="K592" s="22"/>
      <c r="L592" s="22"/>
      <c r="M592" s="22"/>
      <c r="N592" s="22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21"/>
      <c r="K593" s="22"/>
      <c r="L593" s="22"/>
      <c r="M593" s="22"/>
      <c r="N593" s="22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21"/>
      <c r="K594" s="22"/>
      <c r="L594" s="22"/>
      <c r="M594" s="22"/>
      <c r="N594" s="22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21"/>
      <c r="K595" s="22"/>
      <c r="L595" s="22"/>
      <c r="M595" s="22"/>
      <c r="N595" s="22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21"/>
      <c r="K596" s="22"/>
      <c r="L596" s="22"/>
      <c r="M596" s="22"/>
      <c r="N596" s="22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21"/>
      <c r="K597" s="22"/>
      <c r="L597" s="22"/>
      <c r="M597" s="22"/>
      <c r="N597" s="22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21"/>
      <c r="K598" s="22"/>
      <c r="L598" s="22"/>
      <c r="M598" s="22"/>
      <c r="N598" s="22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21"/>
      <c r="K599" s="22"/>
      <c r="L599" s="22"/>
      <c r="M599" s="22"/>
      <c r="N599" s="22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21"/>
      <c r="K600" s="22"/>
      <c r="L600" s="22"/>
      <c r="M600" s="22"/>
      <c r="N600" s="22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21"/>
      <c r="K601" s="22"/>
      <c r="L601" s="22"/>
      <c r="M601" s="22"/>
      <c r="N601" s="22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21"/>
      <c r="K602" s="22"/>
      <c r="L602" s="22"/>
      <c r="M602" s="22"/>
      <c r="N602" s="22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21"/>
      <c r="K603" s="22"/>
      <c r="L603" s="22"/>
      <c r="M603" s="22"/>
      <c r="N603" s="22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21"/>
      <c r="K604" s="22"/>
      <c r="L604" s="22"/>
      <c r="M604" s="22"/>
      <c r="N604" s="22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21"/>
      <c r="K605" s="22"/>
      <c r="L605" s="22"/>
      <c r="M605" s="22"/>
      <c r="N605" s="22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21"/>
      <c r="K606" s="22"/>
      <c r="L606" s="22"/>
      <c r="M606" s="22"/>
      <c r="N606" s="22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21"/>
      <c r="K607" s="22"/>
      <c r="L607" s="22"/>
      <c r="M607" s="22"/>
      <c r="N607" s="22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21"/>
      <c r="K608" s="22"/>
      <c r="L608" s="22"/>
      <c r="M608" s="22"/>
      <c r="N608" s="22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21"/>
      <c r="K609" s="22"/>
      <c r="L609" s="22"/>
      <c r="M609" s="22"/>
      <c r="N609" s="22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21"/>
      <c r="K610" s="22"/>
      <c r="L610" s="22"/>
      <c r="M610" s="22"/>
      <c r="N610" s="22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21"/>
      <c r="K611" s="22"/>
      <c r="L611" s="22"/>
      <c r="M611" s="22"/>
      <c r="N611" s="22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21"/>
      <c r="K612" s="22"/>
      <c r="L612" s="22"/>
      <c r="M612" s="22"/>
      <c r="N612" s="22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21"/>
      <c r="K613" s="22"/>
      <c r="L613" s="22"/>
      <c r="M613" s="22"/>
      <c r="N613" s="22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21"/>
      <c r="K614" s="22"/>
      <c r="L614" s="22"/>
      <c r="M614" s="22"/>
      <c r="N614" s="22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21"/>
      <c r="K615" s="22"/>
      <c r="L615" s="22"/>
      <c r="M615" s="22"/>
      <c r="N615" s="22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21"/>
      <c r="K616" s="22"/>
      <c r="L616" s="22"/>
      <c r="M616" s="22"/>
      <c r="N616" s="22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21"/>
      <c r="K617" s="22"/>
      <c r="L617" s="22"/>
      <c r="M617" s="22"/>
      <c r="N617" s="22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21"/>
      <c r="K618" s="22"/>
      <c r="L618" s="22"/>
      <c r="M618" s="22"/>
      <c r="N618" s="22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21"/>
      <c r="K619" s="22"/>
      <c r="L619" s="22"/>
      <c r="M619" s="22"/>
      <c r="N619" s="22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21"/>
      <c r="K620" s="22"/>
      <c r="L620" s="22"/>
      <c r="M620" s="22"/>
      <c r="N620" s="22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21"/>
      <c r="K621" s="22"/>
      <c r="L621" s="22"/>
      <c r="M621" s="22"/>
      <c r="N621" s="22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21"/>
      <c r="K622" s="22"/>
      <c r="L622" s="22"/>
      <c r="M622" s="22"/>
      <c r="N622" s="22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21"/>
      <c r="K623" s="22"/>
      <c r="L623" s="22"/>
      <c r="M623" s="22"/>
      <c r="N623" s="22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21"/>
      <c r="K624" s="22"/>
      <c r="L624" s="22"/>
      <c r="M624" s="22"/>
      <c r="N624" s="22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21"/>
      <c r="K625" s="22"/>
      <c r="L625" s="22"/>
      <c r="M625" s="22"/>
      <c r="N625" s="22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21"/>
      <c r="K626" s="22"/>
      <c r="L626" s="22"/>
      <c r="M626" s="22"/>
      <c r="N626" s="22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21"/>
      <c r="K627" s="22"/>
      <c r="L627" s="22"/>
      <c r="M627" s="22"/>
      <c r="N627" s="22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21"/>
      <c r="K628" s="22"/>
      <c r="L628" s="22"/>
      <c r="M628" s="22"/>
      <c r="N628" s="22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21"/>
      <c r="K629" s="22"/>
      <c r="L629" s="22"/>
      <c r="M629" s="22"/>
      <c r="N629" s="22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21"/>
      <c r="K630" s="22"/>
      <c r="L630" s="22"/>
      <c r="M630" s="22"/>
      <c r="N630" s="22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21"/>
      <c r="K631" s="22"/>
      <c r="L631" s="22"/>
      <c r="M631" s="22"/>
      <c r="N631" s="22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21"/>
      <c r="K632" s="22"/>
      <c r="L632" s="22"/>
      <c r="M632" s="22"/>
      <c r="N632" s="22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21"/>
      <c r="K633" s="22"/>
      <c r="L633" s="22"/>
      <c r="M633" s="22"/>
      <c r="N633" s="22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21"/>
      <c r="K634" s="22"/>
      <c r="L634" s="22"/>
      <c r="M634" s="22"/>
      <c r="N634" s="22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21"/>
      <c r="K635" s="22"/>
      <c r="L635" s="22"/>
      <c r="M635" s="22"/>
      <c r="N635" s="22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21"/>
      <c r="K636" s="22"/>
      <c r="L636" s="22"/>
      <c r="M636" s="22"/>
      <c r="N636" s="22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21"/>
      <c r="K637" s="22"/>
      <c r="L637" s="22"/>
      <c r="M637" s="22"/>
      <c r="N637" s="22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21"/>
      <c r="K638" s="22"/>
      <c r="L638" s="22"/>
      <c r="M638" s="22"/>
      <c r="N638" s="22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21"/>
      <c r="K639" s="22"/>
      <c r="L639" s="22"/>
      <c r="M639" s="22"/>
      <c r="N639" s="22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21"/>
      <c r="K640" s="22"/>
      <c r="L640" s="22"/>
      <c r="M640" s="22"/>
      <c r="N640" s="22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21"/>
      <c r="K641" s="22"/>
      <c r="L641" s="22"/>
      <c r="M641" s="22"/>
      <c r="N641" s="22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21"/>
      <c r="K642" s="22"/>
      <c r="L642" s="22"/>
      <c r="M642" s="22"/>
      <c r="N642" s="22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21"/>
      <c r="K643" s="22"/>
      <c r="L643" s="22"/>
      <c r="M643" s="22"/>
      <c r="N643" s="22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21"/>
      <c r="K644" s="22"/>
      <c r="L644" s="22"/>
      <c r="M644" s="22"/>
      <c r="N644" s="22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21"/>
      <c r="K645" s="22"/>
      <c r="L645" s="22"/>
      <c r="M645" s="22"/>
      <c r="N645" s="22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21"/>
      <c r="K646" s="22"/>
      <c r="L646" s="22"/>
      <c r="M646" s="22"/>
      <c r="N646" s="22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21"/>
      <c r="K647" s="22"/>
      <c r="L647" s="22"/>
      <c r="M647" s="22"/>
      <c r="N647" s="22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21"/>
      <c r="K648" s="22"/>
      <c r="L648" s="22"/>
      <c r="M648" s="22"/>
      <c r="N648" s="22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21"/>
      <c r="K649" s="22"/>
      <c r="L649" s="22"/>
      <c r="M649" s="22"/>
      <c r="N649" s="22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21"/>
      <c r="K650" s="22"/>
      <c r="L650" s="22"/>
      <c r="M650" s="22"/>
      <c r="N650" s="22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21"/>
      <c r="K651" s="22"/>
      <c r="L651" s="22"/>
      <c r="M651" s="22"/>
      <c r="N651" s="22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21"/>
      <c r="K652" s="22"/>
      <c r="L652" s="22"/>
      <c r="M652" s="22"/>
      <c r="N652" s="22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21"/>
      <c r="K653" s="22"/>
      <c r="L653" s="22"/>
      <c r="M653" s="22"/>
      <c r="N653" s="22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21"/>
      <c r="K654" s="22"/>
      <c r="L654" s="22"/>
      <c r="M654" s="22"/>
      <c r="N654" s="22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21"/>
      <c r="K655" s="22"/>
      <c r="L655" s="22"/>
      <c r="M655" s="22"/>
      <c r="N655" s="22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21"/>
      <c r="K656" s="22"/>
      <c r="L656" s="22"/>
      <c r="M656" s="22"/>
      <c r="N656" s="22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21"/>
      <c r="K657" s="22"/>
      <c r="L657" s="22"/>
      <c r="M657" s="22"/>
      <c r="N657" s="22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21"/>
      <c r="K658" s="22"/>
      <c r="L658" s="22"/>
      <c r="M658" s="22"/>
      <c r="N658" s="22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21"/>
      <c r="K659" s="22"/>
      <c r="L659" s="22"/>
      <c r="M659" s="22"/>
      <c r="N659" s="22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21"/>
      <c r="K660" s="22"/>
      <c r="L660" s="22"/>
      <c r="M660" s="22"/>
      <c r="N660" s="22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21"/>
      <c r="K661" s="22"/>
      <c r="L661" s="22"/>
      <c r="M661" s="22"/>
      <c r="N661" s="22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21"/>
      <c r="K662" s="22"/>
      <c r="L662" s="22"/>
      <c r="M662" s="22"/>
      <c r="N662" s="22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21"/>
      <c r="K663" s="22"/>
      <c r="L663" s="22"/>
      <c r="M663" s="22"/>
      <c r="N663" s="22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21"/>
      <c r="K664" s="22"/>
      <c r="L664" s="22"/>
      <c r="M664" s="22"/>
      <c r="N664" s="22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21"/>
      <c r="K665" s="22"/>
      <c r="L665" s="22"/>
      <c r="M665" s="22"/>
      <c r="N665" s="22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21"/>
      <c r="K666" s="22"/>
      <c r="L666" s="22"/>
      <c r="M666" s="22"/>
      <c r="N666" s="22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21"/>
      <c r="K667" s="22"/>
      <c r="L667" s="22"/>
      <c r="M667" s="22"/>
      <c r="N667" s="22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21"/>
      <c r="K668" s="22"/>
      <c r="L668" s="22"/>
      <c r="M668" s="22"/>
      <c r="N668" s="22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21"/>
      <c r="K669" s="22"/>
      <c r="L669" s="22"/>
      <c r="M669" s="22"/>
      <c r="N669" s="22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21"/>
      <c r="K670" s="22"/>
      <c r="L670" s="22"/>
      <c r="M670" s="22"/>
      <c r="N670" s="22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21"/>
      <c r="K671" s="22"/>
      <c r="L671" s="22"/>
      <c r="M671" s="22"/>
      <c r="N671" s="22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21"/>
      <c r="K672" s="22"/>
      <c r="L672" s="22"/>
      <c r="M672" s="22"/>
      <c r="N672" s="22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21"/>
      <c r="K673" s="22"/>
      <c r="L673" s="22"/>
      <c r="M673" s="22"/>
      <c r="N673" s="22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21"/>
      <c r="K674" s="22"/>
      <c r="L674" s="22"/>
      <c r="M674" s="22"/>
      <c r="N674" s="22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21"/>
      <c r="K675" s="22"/>
      <c r="L675" s="22"/>
      <c r="M675" s="22"/>
      <c r="N675" s="22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21"/>
      <c r="K676" s="22"/>
      <c r="L676" s="22"/>
      <c r="M676" s="22"/>
      <c r="N676" s="22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21"/>
      <c r="K677" s="22"/>
      <c r="L677" s="22"/>
      <c r="M677" s="22"/>
      <c r="N677" s="22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21"/>
      <c r="K678" s="22"/>
      <c r="L678" s="22"/>
      <c r="M678" s="22"/>
      <c r="N678" s="22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21"/>
      <c r="K679" s="22"/>
      <c r="L679" s="22"/>
      <c r="M679" s="22"/>
      <c r="N679" s="22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21"/>
      <c r="K680" s="22"/>
      <c r="L680" s="22"/>
      <c r="M680" s="22"/>
      <c r="N680" s="22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21"/>
      <c r="K681" s="22"/>
      <c r="L681" s="22"/>
      <c r="M681" s="22"/>
      <c r="N681" s="22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21"/>
      <c r="K682" s="22"/>
      <c r="L682" s="22"/>
      <c r="M682" s="22"/>
      <c r="N682" s="22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21"/>
      <c r="K683" s="22"/>
      <c r="L683" s="22"/>
      <c r="M683" s="22"/>
      <c r="N683" s="22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21"/>
      <c r="K684" s="22"/>
      <c r="L684" s="22"/>
      <c r="M684" s="22"/>
      <c r="N684" s="22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21"/>
      <c r="K685" s="22"/>
      <c r="L685" s="22"/>
      <c r="M685" s="22"/>
      <c r="N685" s="22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21"/>
      <c r="K686" s="22"/>
      <c r="L686" s="22"/>
      <c r="M686" s="22"/>
      <c r="N686" s="22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21"/>
      <c r="K687" s="22"/>
      <c r="L687" s="22"/>
      <c r="M687" s="22"/>
      <c r="N687" s="22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21"/>
      <c r="K688" s="22"/>
      <c r="L688" s="22"/>
      <c r="M688" s="22"/>
      <c r="N688" s="22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21"/>
      <c r="K689" s="22"/>
      <c r="L689" s="22"/>
      <c r="M689" s="22"/>
      <c r="N689" s="22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21"/>
      <c r="K690" s="22"/>
      <c r="L690" s="22"/>
      <c r="M690" s="22"/>
      <c r="N690" s="22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21"/>
      <c r="K691" s="22"/>
      <c r="L691" s="22"/>
      <c r="M691" s="22"/>
      <c r="N691" s="22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21"/>
      <c r="K692" s="22"/>
      <c r="L692" s="22"/>
      <c r="M692" s="22"/>
      <c r="N692" s="22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21"/>
      <c r="K693" s="22"/>
      <c r="L693" s="22"/>
      <c r="M693" s="22"/>
      <c r="N693" s="22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21"/>
      <c r="K694" s="22"/>
      <c r="L694" s="22"/>
      <c r="M694" s="22"/>
      <c r="N694" s="22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21"/>
      <c r="K695" s="22"/>
      <c r="L695" s="22"/>
      <c r="M695" s="22"/>
      <c r="N695" s="22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21"/>
      <c r="K696" s="22"/>
      <c r="L696" s="22"/>
      <c r="M696" s="22"/>
      <c r="N696" s="22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21"/>
      <c r="K697" s="22"/>
      <c r="L697" s="22"/>
      <c r="M697" s="22"/>
      <c r="N697" s="22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21"/>
      <c r="K698" s="22"/>
      <c r="L698" s="22"/>
      <c r="M698" s="22"/>
      <c r="N698" s="22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21"/>
      <c r="K699" s="22"/>
      <c r="L699" s="22"/>
      <c r="M699" s="22"/>
      <c r="N699" s="22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21"/>
      <c r="K700" s="22"/>
      <c r="L700" s="22"/>
      <c r="M700" s="22"/>
      <c r="N700" s="22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21"/>
      <c r="K701" s="22"/>
      <c r="L701" s="22"/>
      <c r="M701" s="22"/>
      <c r="N701" s="22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21"/>
      <c r="K702" s="22"/>
      <c r="L702" s="22"/>
      <c r="M702" s="22"/>
      <c r="N702" s="22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21"/>
      <c r="K703" s="22"/>
      <c r="L703" s="22"/>
      <c r="M703" s="22"/>
      <c r="N703" s="22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21"/>
      <c r="K704" s="22"/>
      <c r="L704" s="22"/>
      <c r="M704" s="22"/>
      <c r="N704" s="22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21"/>
      <c r="K705" s="22"/>
      <c r="L705" s="22"/>
      <c r="M705" s="22"/>
      <c r="N705" s="22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21"/>
      <c r="K706" s="22"/>
      <c r="L706" s="22"/>
      <c r="M706" s="22"/>
      <c r="N706" s="22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21"/>
      <c r="K707" s="22"/>
      <c r="L707" s="22"/>
      <c r="M707" s="22"/>
      <c r="N707" s="22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21"/>
      <c r="K708" s="22"/>
      <c r="L708" s="22"/>
      <c r="M708" s="22"/>
      <c r="N708" s="22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21"/>
      <c r="K709" s="22"/>
      <c r="L709" s="22"/>
      <c r="M709" s="22"/>
      <c r="N709" s="22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21"/>
      <c r="K710" s="22"/>
      <c r="L710" s="22"/>
      <c r="M710" s="22"/>
      <c r="N710" s="22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21"/>
      <c r="K711" s="22"/>
      <c r="L711" s="22"/>
      <c r="M711" s="22"/>
      <c r="N711" s="22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21"/>
      <c r="K712" s="22"/>
      <c r="L712" s="22"/>
      <c r="M712" s="22"/>
      <c r="N712" s="22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21"/>
      <c r="K713" s="22"/>
      <c r="L713" s="22"/>
      <c r="M713" s="22"/>
      <c r="N713" s="22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21"/>
      <c r="K714" s="22"/>
      <c r="L714" s="22"/>
      <c r="M714" s="22"/>
      <c r="N714" s="22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21"/>
      <c r="K715" s="22"/>
      <c r="L715" s="22"/>
      <c r="M715" s="22"/>
      <c r="N715" s="22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21"/>
      <c r="K716" s="22"/>
      <c r="L716" s="22"/>
      <c r="M716" s="22"/>
      <c r="N716" s="22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21"/>
      <c r="K717" s="22"/>
      <c r="L717" s="22"/>
      <c r="M717" s="22"/>
      <c r="N717" s="22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21"/>
      <c r="K718" s="22"/>
      <c r="L718" s="22"/>
      <c r="M718" s="22"/>
      <c r="N718" s="22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21"/>
      <c r="K719" s="22"/>
      <c r="L719" s="22"/>
      <c r="M719" s="22"/>
      <c r="N719" s="22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21"/>
      <c r="K720" s="22"/>
      <c r="L720" s="22"/>
      <c r="M720" s="22"/>
      <c r="N720" s="22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21"/>
      <c r="K721" s="22"/>
      <c r="L721" s="22"/>
      <c r="M721" s="22"/>
      <c r="N721" s="22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21"/>
      <c r="K722" s="22"/>
      <c r="L722" s="22"/>
      <c r="M722" s="22"/>
      <c r="N722" s="22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21"/>
      <c r="K723" s="22"/>
      <c r="L723" s="22"/>
      <c r="M723" s="22"/>
      <c r="N723" s="22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21"/>
      <c r="K724" s="22"/>
      <c r="L724" s="22"/>
      <c r="M724" s="22"/>
      <c r="N724" s="22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21"/>
      <c r="K725" s="22"/>
      <c r="L725" s="22"/>
      <c r="M725" s="22"/>
      <c r="N725" s="22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21"/>
      <c r="K726" s="22"/>
      <c r="L726" s="22"/>
      <c r="M726" s="22"/>
      <c r="N726" s="22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21"/>
      <c r="K727" s="22"/>
      <c r="L727" s="22"/>
      <c r="M727" s="22"/>
      <c r="N727" s="22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21"/>
      <c r="K728" s="22"/>
      <c r="L728" s="22"/>
      <c r="M728" s="22"/>
      <c r="N728" s="22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21"/>
      <c r="K729" s="22"/>
      <c r="L729" s="22"/>
      <c r="M729" s="22"/>
      <c r="N729" s="22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21"/>
      <c r="K730" s="22"/>
      <c r="L730" s="22"/>
      <c r="M730" s="22"/>
      <c r="N730" s="22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21"/>
      <c r="K731" s="22"/>
      <c r="L731" s="22"/>
      <c r="M731" s="22"/>
      <c r="N731" s="22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21"/>
      <c r="K732" s="22"/>
      <c r="L732" s="22"/>
      <c r="M732" s="22"/>
      <c r="N732" s="22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21"/>
      <c r="K733" s="22"/>
      <c r="L733" s="22"/>
      <c r="M733" s="22"/>
      <c r="N733" s="22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21"/>
      <c r="K734" s="22"/>
      <c r="L734" s="22"/>
      <c r="M734" s="22"/>
      <c r="N734" s="22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21"/>
      <c r="K735" s="22"/>
      <c r="L735" s="22"/>
      <c r="M735" s="22"/>
      <c r="N735" s="22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21"/>
      <c r="K736" s="22"/>
      <c r="L736" s="22"/>
      <c r="M736" s="22"/>
      <c r="N736" s="22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21"/>
      <c r="K737" s="22"/>
      <c r="L737" s="22"/>
      <c r="M737" s="22"/>
      <c r="N737" s="22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21"/>
      <c r="K738" s="22"/>
      <c r="L738" s="22"/>
      <c r="M738" s="22"/>
      <c r="N738" s="22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21"/>
      <c r="K739" s="22"/>
      <c r="L739" s="22"/>
      <c r="M739" s="22"/>
      <c r="N739" s="22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21"/>
      <c r="K740" s="22"/>
      <c r="L740" s="22"/>
      <c r="M740" s="22"/>
      <c r="N740" s="22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21"/>
      <c r="K741" s="22"/>
      <c r="L741" s="22"/>
      <c r="M741" s="22"/>
      <c r="N741" s="22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21"/>
      <c r="K742" s="22"/>
      <c r="L742" s="22"/>
      <c r="M742" s="22"/>
      <c r="N742" s="22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21"/>
      <c r="K743" s="22"/>
      <c r="L743" s="22"/>
      <c r="M743" s="22"/>
      <c r="N743" s="22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21"/>
      <c r="K744" s="22"/>
      <c r="L744" s="22"/>
      <c r="M744" s="22"/>
      <c r="N744" s="22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21"/>
      <c r="K745" s="22"/>
      <c r="L745" s="22"/>
      <c r="M745" s="22"/>
      <c r="N745" s="22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21"/>
      <c r="K746" s="22"/>
      <c r="L746" s="22"/>
      <c r="M746" s="22"/>
      <c r="N746" s="22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21"/>
      <c r="K747" s="22"/>
      <c r="L747" s="22"/>
      <c r="M747" s="22"/>
      <c r="N747" s="22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21"/>
      <c r="K748" s="22"/>
      <c r="L748" s="22"/>
      <c r="M748" s="22"/>
      <c r="N748" s="22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21"/>
      <c r="K749" s="22"/>
      <c r="L749" s="22"/>
      <c r="M749" s="22"/>
      <c r="N749" s="22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21"/>
      <c r="K750" s="22"/>
      <c r="L750" s="22"/>
      <c r="M750" s="22"/>
      <c r="N750" s="22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21"/>
      <c r="K751" s="22"/>
      <c r="L751" s="22"/>
      <c r="M751" s="22"/>
      <c r="N751" s="22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21"/>
      <c r="K752" s="22"/>
      <c r="L752" s="22"/>
      <c r="M752" s="22"/>
      <c r="N752" s="22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21"/>
      <c r="K753" s="22"/>
      <c r="L753" s="22"/>
      <c r="M753" s="22"/>
      <c r="N753" s="22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21"/>
      <c r="K754" s="22"/>
      <c r="L754" s="22"/>
      <c r="M754" s="22"/>
      <c r="N754" s="22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21"/>
      <c r="K755" s="22"/>
      <c r="L755" s="22"/>
      <c r="M755" s="22"/>
      <c r="N755" s="22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21"/>
      <c r="K756" s="22"/>
      <c r="L756" s="22"/>
      <c r="M756" s="22"/>
      <c r="N756" s="22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21"/>
      <c r="K757" s="22"/>
      <c r="L757" s="22"/>
      <c r="M757" s="22"/>
      <c r="N757" s="22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21"/>
      <c r="K758" s="22"/>
      <c r="L758" s="22"/>
      <c r="M758" s="22"/>
      <c r="N758" s="22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21"/>
      <c r="K759" s="22"/>
      <c r="L759" s="22"/>
      <c r="M759" s="22"/>
      <c r="N759" s="22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21"/>
      <c r="K760" s="22"/>
      <c r="L760" s="22"/>
      <c r="M760" s="22"/>
      <c r="N760" s="22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21"/>
      <c r="K761" s="22"/>
      <c r="L761" s="22"/>
      <c r="M761" s="22"/>
      <c r="N761" s="22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21"/>
      <c r="K762" s="22"/>
      <c r="L762" s="22"/>
      <c r="M762" s="22"/>
      <c r="N762" s="22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21"/>
      <c r="K763" s="22"/>
      <c r="L763" s="22"/>
      <c r="M763" s="22"/>
      <c r="N763" s="22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21"/>
      <c r="K764" s="22"/>
      <c r="L764" s="22"/>
      <c r="M764" s="22"/>
      <c r="N764" s="22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21"/>
      <c r="K765" s="22"/>
      <c r="L765" s="22"/>
      <c r="M765" s="22"/>
      <c r="N765" s="22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21"/>
      <c r="K766" s="22"/>
      <c r="L766" s="22"/>
      <c r="M766" s="22"/>
      <c r="N766" s="22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21"/>
      <c r="K767" s="22"/>
      <c r="L767" s="22"/>
      <c r="M767" s="22"/>
      <c r="N767" s="22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21"/>
      <c r="K768" s="22"/>
      <c r="L768" s="22"/>
      <c r="M768" s="22"/>
      <c r="N768" s="22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21"/>
      <c r="K769" s="22"/>
      <c r="L769" s="22"/>
      <c r="M769" s="22"/>
      <c r="N769" s="22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21"/>
      <c r="K770" s="22"/>
      <c r="L770" s="22"/>
      <c r="M770" s="22"/>
      <c r="N770" s="22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21"/>
      <c r="K771" s="22"/>
      <c r="L771" s="22"/>
      <c r="M771" s="22"/>
      <c r="N771" s="22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21"/>
      <c r="K772" s="22"/>
      <c r="L772" s="22"/>
      <c r="M772" s="22"/>
      <c r="N772" s="22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21"/>
      <c r="K773" s="22"/>
      <c r="L773" s="22"/>
      <c r="M773" s="22"/>
      <c r="N773" s="22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21"/>
      <c r="K774" s="22"/>
      <c r="L774" s="22"/>
      <c r="M774" s="22"/>
      <c r="N774" s="22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21"/>
      <c r="K775" s="22"/>
      <c r="L775" s="22"/>
      <c r="M775" s="22"/>
      <c r="N775" s="22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21"/>
      <c r="K776" s="22"/>
      <c r="L776" s="22"/>
      <c r="M776" s="22"/>
      <c r="N776" s="22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21"/>
      <c r="K777" s="22"/>
      <c r="L777" s="22"/>
      <c r="M777" s="22"/>
      <c r="N777" s="22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21"/>
      <c r="K778" s="22"/>
      <c r="L778" s="22"/>
      <c r="M778" s="22"/>
      <c r="N778" s="22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21"/>
      <c r="K779" s="22"/>
      <c r="L779" s="22"/>
      <c r="M779" s="22"/>
      <c r="N779" s="22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21"/>
      <c r="K780" s="22"/>
      <c r="L780" s="22"/>
      <c r="M780" s="22"/>
      <c r="N780" s="22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21"/>
      <c r="K781" s="22"/>
      <c r="L781" s="22"/>
      <c r="M781" s="22"/>
      <c r="N781" s="22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21"/>
      <c r="K782" s="22"/>
      <c r="L782" s="22"/>
      <c r="M782" s="22"/>
      <c r="N782" s="22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21"/>
      <c r="K783" s="22"/>
      <c r="L783" s="22"/>
      <c r="M783" s="22"/>
      <c r="N783" s="22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21"/>
      <c r="K784" s="22"/>
      <c r="L784" s="22"/>
      <c r="M784" s="22"/>
      <c r="N784" s="22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21"/>
      <c r="K785" s="22"/>
      <c r="L785" s="22"/>
      <c r="M785" s="22"/>
      <c r="N785" s="22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21"/>
      <c r="K786" s="22"/>
      <c r="L786" s="22"/>
      <c r="M786" s="22"/>
      <c r="N786" s="22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21"/>
      <c r="K787" s="22"/>
      <c r="L787" s="22"/>
      <c r="M787" s="22"/>
      <c r="N787" s="22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21"/>
      <c r="K788" s="22"/>
      <c r="L788" s="22"/>
      <c r="M788" s="22"/>
      <c r="N788" s="22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21"/>
      <c r="K789" s="22"/>
      <c r="L789" s="22"/>
      <c r="M789" s="22"/>
      <c r="N789" s="22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21"/>
      <c r="K790" s="22"/>
      <c r="L790" s="22"/>
      <c r="M790" s="22"/>
      <c r="N790" s="22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21"/>
      <c r="K791" s="22"/>
      <c r="L791" s="22"/>
      <c r="M791" s="22"/>
      <c r="N791" s="22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21"/>
      <c r="K792" s="22"/>
      <c r="L792" s="22"/>
      <c r="M792" s="22"/>
      <c r="N792" s="22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21"/>
      <c r="K793" s="22"/>
      <c r="L793" s="22"/>
      <c r="M793" s="22"/>
      <c r="N793" s="22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21"/>
      <c r="K794" s="22"/>
      <c r="L794" s="22"/>
      <c r="M794" s="22"/>
      <c r="N794" s="22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21"/>
      <c r="K795" s="22"/>
      <c r="L795" s="22"/>
      <c r="M795" s="22"/>
      <c r="N795" s="22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21"/>
      <c r="K796" s="22"/>
      <c r="L796" s="22"/>
      <c r="M796" s="22"/>
      <c r="N796" s="22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21"/>
      <c r="K797" s="22"/>
      <c r="L797" s="22"/>
      <c r="M797" s="22"/>
      <c r="N797" s="22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21"/>
      <c r="K798" s="22"/>
      <c r="L798" s="22"/>
      <c r="M798" s="22"/>
      <c r="N798" s="22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21"/>
      <c r="K799" s="22"/>
      <c r="L799" s="22"/>
      <c r="M799" s="22"/>
      <c r="N799" s="22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21"/>
      <c r="K800" s="22"/>
      <c r="L800" s="22"/>
      <c r="M800" s="22"/>
      <c r="N800" s="22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21"/>
      <c r="K801" s="22"/>
      <c r="L801" s="22"/>
      <c r="M801" s="22"/>
      <c r="N801" s="22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21"/>
      <c r="K802" s="22"/>
      <c r="L802" s="22"/>
      <c r="M802" s="22"/>
      <c r="N802" s="22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21"/>
      <c r="K803" s="22"/>
      <c r="L803" s="22"/>
      <c r="M803" s="22"/>
      <c r="N803" s="22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21"/>
      <c r="K804" s="22"/>
      <c r="L804" s="22"/>
      <c r="M804" s="22"/>
      <c r="N804" s="22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21"/>
      <c r="K805" s="22"/>
      <c r="L805" s="22"/>
      <c r="M805" s="22"/>
      <c r="N805" s="22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21"/>
      <c r="K806" s="22"/>
      <c r="L806" s="22"/>
      <c r="M806" s="22"/>
      <c r="N806" s="22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21"/>
      <c r="K807" s="22"/>
      <c r="L807" s="22"/>
      <c r="M807" s="22"/>
      <c r="N807" s="22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21"/>
      <c r="K808" s="22"/>
      <c r="L808" s="22"/>
      <c r="M808" s="22"/>
      <c r="N808" s="22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21"/>
      <c r="K809" s="22"/>
      <c r="L809" s="22"/>
      <c r="M809" s="22"/>
      <c r="N809" s="22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21"/>
      <c r="K810" s="22"/>
      <c r="L810" s="22"/>
      <c r="M810" s="22"/>
      <c r="N810" s="22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21"/>
      <c r="K811" s="22"/>
      <c r="L811" s="22"/>
      <c r="M811" s="22"/>
      <c r="N811" s="22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21"/>
      <c r="K812" s="22"/>
      <c r="L812" s="22"/>
      <c r="M812" s="22"/>
      <c r="N812" s="22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21"/>
      <c r="K813" s="22"/>
      <c r="L813" s="22"/>
      <c r="M813" s="22"/>
      <c r="N813" s="22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21"/>
      <c r="K814" s="22"/>
      <c r="L814" s="22"/>
      <c r="M814" s="22"/>
      <c r="N814" s="22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21"/>
      <c r="K815" s="22"/>
      <c r="L815" s="22"/>
      <c r="M815" s="22"/>
      <c r="N815" s="22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21"/>
      <c r="K816" s="22"/>
      <c r="L816" s="22"/>
      <c r="M816" s="22"/>
      <c r="N816" s="22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21"/>
      <c r="K817" s="22"/>
      <c r="L817" s="22"/>
      <c r="M817" s="22"/>
      <c r="N817" s="22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21"/>
      <c r="K818" s="22"/>
      <c r="L818" s="22"/>
      <c r="M818" s="22"/>
      <c r="N818" s="22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21"/>
      <c r="K819" s="22"/>
      <c r="L819" s="22"/>
      <c r="M819" s="22"/>
      <c r="N819" s="22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21"/>
      <c r="K820" s="22"/>
      <c r="L820" s="22"/>
      <c r="M820" s="22"/>
      <c r="N820" s="22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21"/>
      <c r="K821" s="22"/>
      <c r="L821" s="22"/>
      <c r="M821" s="22"/>
      <c r="N821" s="22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21"/>
      <c r="K822" s="22"/>
      <c r="L822" s="22"/>
      <c r="M822" s="22"/>
      <c r="N822" s="22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21"/>
      <c r="K823" s="22"/>
      <c r="L823" s="22"/>
      <c r="M823" s="22"/>
      <c r="N823" s="22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21"/>
      <c r="K824" s="22"/>
      <c r="L824" s="22"/>
      <c r="M824" s="22"/>
      <c r="N824" s="22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21"/>
      <c r="K825" s="22"/>
      <c r="L825" s="22"/>
      <c r="M825" s="22"/>
      <c r="N825" s="22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21"/>
      <c r="K826" s="22"/>
      <c r="L826" s="22"/>
      <c r="M826" s="22"/>
      <c r="N826" s="22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21"/>
      <c r="K827" s="22"/>
      <c r="L827" s="22"/>
      <c r="M827" s="22"/>
      <c r="N827" s="22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21"/>
      <c r="K828" s="22"/>
      <c r="L828" s="22"/>
      <c r="M828" s="22"/>
      <c r="N828" s="22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21"/>
      <c r="K829" s="22"/>
      <c r="L829" s="22"/>
      <c r="M829" s="22"/>
      <c r="N829" s="22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21"/>
      <c r="K830" s="22"/>
      <c r="L830" s="22"/>
      <c r="M830" s="22"/>
      <c r="N830" s="22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21"/>
      <c r="K831" s="22"/>
      <c r="L831" s="22"/>
      <c r="M831" s="22"/>
      <c r="N831" s="22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21"/>
      <c r="K832" s="22"/>
      <c r="L832" s="22"/>
      <c r="M832" s="22"/>
      <c r="N832" s="22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21"/>
      <c r="K833" s="22"/>
      <c r="L833" s="22"/>
      <c r="M833" s="22"/>
      <c r="N833" s="22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21"/>
      <c r="K834" s="22"/>
      <c r="L834" s="22"/>
      <c r="M834" s="22"/>
      <c r="N834" s="22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21"/>
      <c r="K835" s="22"/>
      <c r="L835" s="22"/>
      <c r="M835" s="22"/>
      <c r="N835" s="22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21"/>
      <c r="K836" s="22"/>
      <c r="L836" s="22"/>
      <c r="M836" s="22"/>
      <c r="N836" s="22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21"/>
      <c r="K837" s="22"/>
      <c r="L837" s="22"/>
      <c r="M837" s="22"/>
      <c r="N837" s="22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21"/>
      <c r="K838" s="22"/>
      <c r="L838" s="22"/>
      <c r="M838" s="22"/>
      <c r="N838" s="22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21"/>
      <c r="K839" s="22"/>
      <c r="L839" s="22"/>
      <c r="M839" s="22"/>
      <c r="N839" s="22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21"/>
      <c r="K840" s="22"/>
      <c r="L840" s="22"/>
      <c r="M840" s="22"/>
      <c r="N840" s="22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21"/>
      <c r="K841" s="22"/>
      <c r="L841" s="22"/>
      <c r="M841" s="22"/>
      <c r="N841" s="22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21"/>
      <c r="K842" s="22"/>
      <c r="L842" s="22"/>
      <c r="M842" s="22"/>
      <c r="N842" s="22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21"/>
      <c r="K843" s="22"/>
      <c r="L843" s="22"/>
      <c r="M843" s="22"/>
      <c r="N843" s="22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21"/>
      <c r="K844" s="22"/>
      <c r="L844" s="22"/>
      <c r="M844" s="22"/>
      <c r="N844" s="22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21"/>
      <c r="K845" s="22"/>
      <c r="L845" s="22"/>
      <c r="M845" s="22"/>
      <c r="N845" s="22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21"/>
      <c r="K846" s="22"/>
      <c r="L846" s="22"/>
      <c r="M846" s="22"/>
      <c r="N846" s="22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21"/>
      <c r="K847" s="22"/>
      <c r="L847" s="22"/>
      <c r="M847" s="22"/>
      <c r="N847" s="22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21"/>
      <c r="K848" s="22"/>
      <c r="L848" s="22"/>
      <c r="M848" s="22"/>
      <c r="N848" s="22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21"/>
      <c r="K849" s="22"/>
      <c r="L849" s="22"/>
      <c r="M849" s="22"/>
      <c r="N849" s="22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21"/>
      <c r="K850" s="22"/>
      <c r="L850" s="22"/>
      <c r="M850" s="22"/>
      <c r="N850" s="22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21"/>
      <c r="K851" s="22"/>
      <c r="L851" s="22"/>
      <c r="M851" s="22"/>
      <c r="N851" s="22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21"/>
      <c r="K852" s="22"/>
      <c r="L852" s="22"/>
      <c r="M852" s="22"/>
      <c r="N852" s="22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21"/>
      <c r="K853" s="22"/>
      <c r="L853" s="22"/>
      <c r="M853" s="22"/>
      <c r="N853" s="22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21"/>
      <c r="K854" s="22"/>
      <c r="L854" s="22"/>
      <c r="M854" s="22"/>
      <c r="N854" s="22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21"/>
      <c r="K855" s="22"/>
      <c r="L855" s="22"/>
      <c r="M855" s="22"/>
      <c r="N855" s="22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21"/>
      <c r="K856" s="22"/>
      <c r="L856" s="22"/>
      <c r="M856" s="22"/>
      <c r="N856" s="22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21"/>
      <c r="K857" s="22"/>
      <c r="L857" s="22"/>
      <c r="M857" s="22"/>
      <c r="N857" s="22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21"/>
      <c r="K858" s="22"/>
      <c r="L858" s="22"/>
      <c r="M858" s="22"/>
      <c r="N858" s="22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21"/>
      <c r="K859" s="22"/>
      <c r="L859" s="22"/>
      <c r="M859" s="22"/>
      <c r="N859" s="22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21"/>
      <c r="K860" s="22"/>
      <c r="L860" s="22"/>
      <c r="M860" s="22"/>
      <c r="N860" s="22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21"/>
      <c r="K861" s="22"/>
      <c r="L861" s="22"/>
      <c r="M861" s="22"/>
      <c r="N861" s="22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21"/>
      <c r="K862" s="22"/>
      <c r="L862" s="22"/>
      <c r="M862" s="22"/>
      <c r="N862" s="22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21"/>
      <c r="K863" s="22"/>
      <c r="L863" s="22"/>
      <c r="M863" s="22"/>
      <c r="N863" s="22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21"/>
      <c r="K864" s="22"/>
      <c r="L864" s="22"/>
      <c r="M864" s="22"/>
      <c r="N864" s="22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21"/>
      <c r="K865" s="22"/>
      <c r="L865" s="22"/>
      <c r="M865" s="22"/>
      <c r="N865" s="22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21"/>
      <c r="K866" s="22"/>
      <c r="L866" s="22"/>
      <c r="M866" s="22"/>
      <c r="N866" s="22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21"/>
      <c r="K867" s="22"/>
      <c r="L867" s="22"/>
      <c r="M867" s="22"/>
      <c r="N867" s="22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21"/>
      <c r="K868" s="22"/>
      <c r="L868" s="22"/>
      <c r="M868" s="22"/>
      <c r="N868" s="22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21"/>
      <c r="K869" s="22"/>
      <c r="L869" s="22"/>
      <c r="M869" s="22"/>
      <c r="N869" s="22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21"/>
      <c r="K870" s="22"/>
      <c r="L870" s="22"/>
      <c r="M870" s="22"/>
      <c r="N870" s="22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21"/>
      <c r="K871" s="22"/>
      <c r="L871" s="22"/>
      <c r="M871" s="22"/>
      <c r="N871" s="22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21"/>
      <c r="K872" s="22"/>
      <c r="L872" s="22"/>
      <c r="M872" s="22"/>
      <c r="N872" s="22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21"/>
      <c r="K873" s="22"/>
      <c r="L873" s="22"/>
      <c r="M873" s="22"/>
      <c r="N873" s="22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21"/>
      <c r="K874" s="22"/>
      <c r="L874" s="22"/>
      <c r="M874" s="22"/>
      <c r="N874" s="22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21"/>
      <c r="K875" s="22"/>
      <c r="L875" s="22"/>
      <c r="M875" s="22"/>
      <c r="N875" s="22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21"/>
      <c r="K876" s="22"/>
      <c r="L876" s="22"/>
      <c r="M876" s="22"/>
      <c r="N876" s="22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21"/>
      <c r="K877" s="22"/>
      <c r="L877" s="22"/>
      <c r="M877" s="22"/>
      <c r="N877" s="22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21"/>
      <c r="K878" s="22"/>
      <c r="L878" s="22"/>
      <c r="M878" s="22"/>
      <c r="N878" s="22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21"/>
      <c r="K879" s="22"/>
      <c r="L879" s="22"/>
      <c r="M879" s="22"/>
      <c r="N879" s="22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21"/>
      <c r="K880" s="22"/>
      <c r="L880" s="22"/>
      <c r="M880" s="22"/>
      <c r="N880" s="22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21"/>
      <c r="K881" s="22"/>
      <c r="L881" s="22"/>
      <c r="M881" s="22"/>
      <c r="N881" s="22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21"/>
      <c r="K882" s="22"/>
      <c r="L882" s="22"/>
      <c r="M882" s="22"/>
      <c r="N882" s="22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21"/>
      <c r="K883" s="22"/>
      <c r="L883" s="22"/>
      <c r="M883" s="22"/>
      <c r="N883" s="22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21"/>
      <c r="K884" s="22"/>
      <c r="L884" s="22"/>
      <c r="M884" s="22"/>
      <c r="N884" s="22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21"/>
      <c r="K885" s="22"/>
      <c r="L885" s="22"/>
      <c r="M885" s="22"/>
      <c r="N885" s="22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21"/>
      <c r="K886" s="22"/>
      <c r="L886" s="22"/>
      <c r="M886" s="22"/>
      <c r="N886" s="22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21"/>
      <c r="K887" s="22"/>
      <c r="L887" s="22"/>
      <c r="M887" s="22"/>
      <c r="N887" s="22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21"/>
      <c r="K888" s="22"/>
      <c r="L888" s="22"/>
      <c r="M888" s="22"/>
      <c r="N888" s="22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21"/>
      <c r="K889" s="22"/>
      <c r="L889" s="22"/>
      <c r="M889" s="22"/>
      <c r="N889" s="22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21"/>
      <c r="K890" s="22"/>
      <c r="L890" s="22"/>
      <c r="M890" s="22"/>
      <c r="N890" s="22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21"/>
      <c r="K891" s="22"/>
      <c r="L891" s="22"/>
      <c r="M891" s="22"/>
      <c r="N891" s="22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21"/>
      <c r="K892" s="22"/>
      <c r="L892" s="22"/>
      <c r="M892" s="22"/>
      <c r="N892" s="22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21"/>
      <c r="K893" s="22"/>
      <c r="L893" s="22"/>
      <c r="M893" s="22"/>
      <c r="N893" s="22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21"/>
      <c r="K894" s="22"/>
      <c r="L894" s="22"/>
      <c r="M894" s="22"/>
      <c r="N894" s="22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21"/>
      <c r="K895" s="22"/>
      <c r="L895" s="22"/>
      <c r="M895" s="22"/>
      <c r="N895" s="22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21"/>
      <c r="K896" s="22"/>
      <c r="L896" s="22"/>
      <c r="M896" s="22"/>
      <c r="N896" s="22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21"/>
      <c r="K897" s="22"/>
      <c r="L897" s="22"/>
      <c r="M897" s="22"/>
      <c r="N897" s="22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21"/>
      <c r="K898" s="22"/>
      <c r="L898" s="22"/>
      <c r="M898" s="22"/>
      <c r="N898" s="22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21"/>
      <c r="K899" s="22"/>
      <c r="L899" s="22"/>
      <c r="M899" s="22"/>
      <c r="N899" s="22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21"/>
      <c r="K900" s="22"/>
      <c r="L900" s="22"/>
      <c r="M900" s="22"/>
      <c r="N900" s="22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21"/>
      <c r="K901" s="22"/>
      <c r="L901" s="22"/>
      <c r="M901" s="22"/>
      <c r="N901" s="22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21"/>
      <c r="K902" s="22"/>
      <c r="L902" s="22"/>
      <c r="M902" s="22"/>
      <c r="N902" s="22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21"/>
      <c r="K903" s="22"/>
      <c r="L903" s="22"/>
      <c r="M903" s="22"/>
      <c r="N903" s="22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21"/>
      <c r="K904" s="22"/>
      <c r="L904" s="22"/>
      <c r="M904" s="22"/>
      <c r="N904" s="22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21"/>
      <c r="K905" s="22"/>
      <c r="L905" s="22"/>
      <c r="M905" s="22"/>
      <c r="N905" s="22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21"/>
      <c r="K906" s="22"/>
      <c r="L906" s="22"/>
      <c r="M906" s="22"/>
      <c r="N906" s="22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21"/>
      <c r="K907" s="22"/>
      <c r="L907" s="22"/>
      <c r="M907" s="22"/>
      <c r="N907" s="22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21"/>
      <c r="K908" s="22"/>
      <c r="L908" s="22"/>
      <c r="M908" s="22"/>
      <c r="N908" s="22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21"/>
      <c r="K909" s="22"/>
      <c r="L909" s="22"/>
      <c r="M909" s="22"/>
      <c r="N909" s="22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21"/>
      <c r="K910" s="22"/>
      <c r="L910" s="22"/>
      <c r="M910" s="22"/>
      <c r="N910" s="22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21"/>
      <c r="K911" s="22"/>
      <c r="L911" s="22"/>
      <c r="M911" s="22"/>
      <c r="N911" s="22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21"/>
      <c r="K912" s="22"/>
      <c r="L912" s="22"/>
      <c r="M912" s="22"/>
      <c r="N912" s="22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21"/>
      <c r="K913" s="22"/>
      <c r="L913" s="22"/>
      <c r="M913" s="22"/>
      <c r="N913" s="22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21"/>
      <c r="K914" s="22"/>
      <c r="L914" s="22"/>
      <c r="M914" s="22"/>
      <c r="N914" s="22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21"/>
      <c r="K915" s="22"/>
      <c r="L915" s="22"/>
      <c r="M915" s="22"/>
      <c r="N915" s="22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21"/>
      <c r="K916" s="22"/>
      <c r="L916" s="22"/>
      <c r="M916" s="22"/>
      <c r="N916" s="22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21"/>
      <c r="K917" s="22"/>
      <c r="L917" s="22"/>
      <c r="M917" s="22"/>
      <c r="N917" s="22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21"/>
      <c r="K918" s="22"/>
      <c r="L918" s="22"/>
      <c r="M918" s="22"/>
      <c r="N918" s="22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21"/>
      <c r="K919" s="22"/>
      <c r="L919" s="22"/>
      <c r="M919" s="22"/>
      <c r="N919" s="22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21"/>
      <c r="K920" s="22"/>
      <c r="L920" s="22"/>
      <c r="M920" s="22"/>
      <c r="N920" s="22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21"/>
      <c r="K921" s="22"/>
      <c r="L921" s="22"/>
      <c r="M921" s="22"/>
      <c r="N921" s="22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21"/>
      <c r="K922" s="22"/>
      <c r="L922" s="22"/>
      <c r="M922" s="22"/>
      <c r="N922" s="22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21"/>
      <c r="K923" s="22"/>
      <c r="L923" s="22"/>
      <c r="M923" s="22"/>
      <c r="N923" s="22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21"/>
      <c r="K924" s="22"/>
      <c r="L924" s="22"/>
      <c r="M924" s="22"/>
      <c r="N924" s="22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21"/>
      <c r="K925" s="22"/>
      <c r="L925" s="22"/>
      <c r="M925" s="22"/>
      <c r="N925" s="22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21"/>
      <c r="K926" s="22"/>
      <c r="L926" s="22"/>
      <c r="M926" s="22"/>
      <c r="N926" s="22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21"/>
      <c r="K927" s="22"/>
      <c r="L927" s="22"/>
      <c r="M927" s="22"/>
      <c r="N927" s="22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21"/>
      <c r="K928" s="22"/>
      <c r="L928" s="22"/>
      <c r="M928" s="22"/>
      <c r="N928" s="22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21"/>
      <c r="K929" s="22"/>
      <c r="L929" s="22"/>
      <c r="M929" s="22"/>
      <c r="N929" s="22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21"/>
      <c r="K930" s="22"/>
      <c r="L930" s="22"/>
      <c r="M930" s="22"/>
      <c r="N930" s="22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21"/>
      <c r="K931" s="22"/>
      <c r="L931" s="22"/>
      <c r="M931" s="22"/>
      <c r="N931" s="22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21"/>
      <c r="K932" s="22"/>
      <c r="L932" s="22"/>
      <c r="M932" s="22"/>
      <c r="N932" s="22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21"/>
      <c r="K933" s="22"/>
      <c r="L933" s="22"/>
      <c r="M933" s="22"/>
      <c r="N933" s="22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21"/>
      <c r="K934" s="22"/>
      <c r="L934" s="22"/>
      <c r="M934" s="22"/>
      <c r="N934" s="22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21"/>
      <c r="K935" s="22"/>
      <c r="L935" s="22"/>
      <c r="M935" s="22"/>
      <c r="N935" s="22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21"/>
      <c r="K936" s="22"/>
      <c r="L936" s="22"/>
      <c r="M936" s="22"/>
      <c r="N936" s="22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21"/>
      <c r="K937" s="22"/>
      <c r="L937" s="22"/>
      <c r="M937" s="22"/>
      <c r="N937" s="22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21"/>
      <c r="K938" s="22"/>
      <c r="L938" s="22"/>
      <c r="M938" s="22"/>
      <c r="N938" s="22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21"/>
      <c r="K939" s="22"/>
      <c r="L939" s="22"/>
      <c r="M939" s="22"/>
      <c r="N939" s="22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21"/>
      <c r="K940" s="22"/>
      <c r="L940" s="22"/>
      <c r="M940" s="22"/>
      <c r="N940" s="22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21"/>
      <c r="K941" s="22"/>
      <c r="L941" s="22"/>
      <c r="M941" s="22"/>
      <c r="N941" s="22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21"/>
      <c r="K942" s="22"/>
      <c r="L942" s="22"/>
      <c r="M942" s="22"/>
      <c r="N942" s="22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21"/>
      <c r="K943" s="22"/>
      <c r="L943" s="22"/>
      <c r="M943" s="22"/>
      <c r="N943" s="22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21"/>
      <c r="K944" s="22"/>
      <c r="L944" s="22"/>
      <c r="M944" s="22"/>
      <c r="N944" s="22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21"/>
      <c r="K945" s="22"/>
      <c r="L945" s="22"/>
      <c r="M945" s="22"/>
      <c r="N945" s="22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21"/>
      <c r="K946" s="22"/>
      <c r="L946" s="22"/>
      <c r="M946" s="22"/>
      <c r="N946" s="22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21"/>
      <c r="K947" s="22"/>
      <c r="L947" s="22"/>
      <c r="M947" s="22"/>
      <c r="N947" s="22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21"/>
      <c r="K948" s="22"/>
      <c r="L948" s="22"/>
      <c r="M948" s="22"/>
      <c r="N948" s="22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21"/>
      <c r="K949" s="22"/>
      <c r="L949" s="22"/>
      <c r="M949" s="22"/>
      <c r="N949" s="22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21"/>
      <c r="K950" s="22"/>
      <c r="L950" s="22"/>
      <c r="M950" s="22"/>
      <c r="N950" s="22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21"/>
      <c r="K951" s="22"/>
      <c r="L951" s="22"/>
      <c r="M951" s="22"/>
      <c r="N951" s="22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21"/>
      <c r="K952" s="22"/>
      <c r="L952" s="22"/>
      <c r="M952" s="22"/>
      <c r="N952" s="22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21"/>
      <c r="K953" s="22"/>
      <c r="L953" s="22"/>
      <c r="M953" s="22"/>
      <c r="N953" s="22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21"/>
      <c r="K954" s="22"/>
      <c r="L954" s="22"/>
      <c r="M954" s="22"/>
      <c r="N954" s="22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21"/>
      <c r="K955" s="22"/>
      <c r="L955" s="22"/>
      <c r="M955" s="22"/>
      <c r="N955" s="22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21"/>
      <c r="K956" s="22"/>
      <c r="L956" s="22"/>
      <c r="M956" s="22"/>
      <c r="N956" s="22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21"/>
      <c r="K957" s="22"/>
      <c r="L957" s="22"/>
      <c r="M957" s="22"/>
      <c r="N957" s="22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21"/>
      <c r="K958" s="22"/>
      <c r="L958" s="22"/>
      <c r="M958" s="22"/>
      <c r="N958" s="22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21"/>
      <c r="K959" s="22"/>
      <c r="L959" s="22"/>
      <c r="M959" s="22"/>
      <c r="N959" s="22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21"/>
      <c r="K960" s="22"/>
      <c r="L960" s="22"/>
      <c r="M960" s="22"/>
      <c r="N960" s="22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21"/>
      <c r="K961" s="22"/>
      <c r="L961" s="22"/>
      <c r="M961" s="22"/>
      <c r="N961" s="22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21"/>
      <c r="K962" s="22"/>
      <c r="L962" s="22"/>
      <c r="M962" s="22"/>
      <c r="N962" s="22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21"/>
      <c r="K963" s="22"/>
      <c r="L963" s="22"/>
      <c r="M963" s="22"/>
      <c r="N963" s="22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21"/>
      <c r="K964" s="22"/>
      <c r="L964" s="22"/>
      <c r="M964" s="22"/>
      <c r="N964" s="22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21"/>
      <c r="K965" s="22"/>
      <c r="L965" s="22"/>
      <c r="M965" s="22"/>
      <c r="N965" s="22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21"/>
      <c r="K966" s="22"/>
      <c r="L966" s="22"/>
      <c r="M966" s="22"/>
      <c r="N966" s="22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21"/>
      <c r="K967" s="22"/>
      <c r="L967" s="22"/>
      <c r="M967" s="22"/>
      <c r="N967" s="22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21"/>
      <c r="K968" s="22"/>
      <c r="L968" s="22"/>
      <c r="M968" s="22"/>
      <c r="N968" s="22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21"/>
      <c r="K969" s="22"/>
      <c r="L969" s="22"/>
      <c r="M969" s="22"/>
      <c r="N969" s="22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21"/>
      <c r="K970" s="22"/>
      <c r="L970" s="22"/>
      <c r="M970" s="22"/>
      <c r="N970" s="22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21"/>
      <c r="K971" s="22"/>
      <c r="L971" s="22"/>
      <c r="M971" s="22"/>
      <c r="N971" s="22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21"/>
      <c r="K972" s="22"/>
      <c r="L972" s="22"/>
      <c r="M972" s="22"/>
      <c r="N972" s="22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21"/>
      <c r="K973" s="22"/>
      <c r="L973" s="22"/>
      <c r="M973" s="22"/>
      <c r="N973" s="22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21"/>
      <c r="K974" s="22"/>
      <c r="L974" s="22"/>
      <c r="M974" s="22"/>
      <c r="N974" s="22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21"/>
      <c r="K975" s="22"/>
      <c r="L975" s="22"/>
      <c r="M975" s="22"/>
      <c r="N975" s="22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21"/>
      <c r="K976" s="22"/>
      <c r="L976" s="22"/>
      <c r="M976" s="22"/>
      <c r="N976" s="22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21"/>
      <c r="K977" s="22"/>
      <c r="L977" s="22"/>
      <c r="M977" s="22"/>
      <c r="N977" s="22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21"/>
      <c r="K978" s="22"/>
      <c r="L978" s="22"/>
      <c r="M978" s="22"/>
      <c r="N978" s="22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21"/>
      <c r="K979" s="22"/>
      <c r="L979" s="22"/>
      <c r="M979" s="22"/>
      <c r="N979" s="22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21"/>
      <c r="K980" s="22"/>
      <c r="L980" s="22"/>
      <c r="M980" s="22"/>
      <c r="N980" s="22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21"/>
      <c r="K981" s="22"/>
      <c r="L981" s="22"/>
      <c r="M981" s="22"/>
      <c r="N981" s="22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21"/>
      <c r="K982" s="22"/>
      <c r="L982" s="22"/>
      <c r="M982" s="22"/>
      <c r="N982" s="22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21"/>
      <c r="K983" s="22"/>
      <c r="L983" s="22"/>
      <c r="M983" s="22"/>
      <c r="N983" s="22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21"/>
      <c r="K984" s="22"/>
      <c r="L984" s="22"/>
      <c r="M984" s="22"/>
      <c r="N984" s="22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21"/>
      <c r="K985" s="22"/>
      <c r="L985" s="22"/>
      <c r="M985" s="22"/>
      <c r="N985" s="22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21"/>
      <c r="K986" s="22"/>
      <c r="L986" s="22"/>
      <c r="M986" s="22"/>
      <c r="N986" s="22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21"/>
      <c r="K987" s="22"/>
      <c r="L987" s="22"/>
      <c r="M987" s="22"/>
      <c r="N987" s="22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21"/>
      <c r="K988" s="22"/>
      <c r="L988" s="22"/>
      <c r="M988" s="22"/>
      <c r="N988" s="22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21"/>
      <c r="K989" s="22"/>
      <c r="L989" s="22"/>
      <c r="M989" s="22"/>
      <c r="N989" s="22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21"/>
      <c r="K990" s="22"/>
      <c r="L990" s="22"/>
      <c r="M990" s="22"/>
      <c r="N990" s="22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21"/>
      <c r="K991" s="22"/>
      <c r="L991" s="22"/>
      <c r="M991" s="22"/>
      <c r="N991" s="22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21"/>
      <c r="K992" s="22"/>
      <c r="L992" s="22"/>
      <c r="M992" s="22"/>
      <c r="N992" s="22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21"/>
      <c r="K993" s="22"/>
      <c r="L993" s="22"/>
      <c r="M993" s="22"/>
      <c r="N993" s="22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21"/>
      <c r="K994" s="22"/>
      <c r="L994" s="22"/>
      <c r="M994" s="22"/>
      <c r="N994" s="22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21"/>
      <c r="K995" s="22"/>
      <c r="L995" s="22"/>
      <c r="M995" s="22"/>
      <c r="N995" s="22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21"/>
      <c r="K996" s="22"/>
      <c r="L996" s="22"/>
      <c r="M996" s="22"/>
      <c r="N996" s="22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21"/>
      <c r="K997" s="22"/>
      <c r="L997" s="22"/>
      <c r="M997" s="22"/>
      <c r="N997" s="22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21"/>
      <c r="K998" s="22"/>
      <c r="L998" s="22"/>
      <c r="M998" s="22"/>
      <c r="N998" s="22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21"/>
      <c r="K999" s="22"/>
      <c r="L999" s="22"/>
      <c r="M999" s="22"/>
      <c r="N999" s="22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21"/>
      <c r="K1000" s="22"/>
      <c r="L1000" s="22"/>
      <c r="M1000" s="22"/>
      <c r="N1000" s="22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sheetData>
    <row r="1">
      <c r="A1" s="76" t="str">
        <f>IFERROR(__xludf.DUMMYFUNCTION("QUERY(Dataset!A:F, ""SELECT A,B,C,D,E,F WHERE A='Chile' AND F=0"",1)"),"País")</f>
        <v>País</v>
      </c>
      <c r="B1" s="76" t="str">
        <f>IFERROR(__xludf.DUMMYFUNCTION("""COMPUTED_VALUE"""),"Fecha inicio")</f>
        <v>Fecha inicio</v>
      </c>
      <c r="C1" s="76" t="str">
        <f>IFERROR(__xludf.DUMMYFUNCTION("""COMPUTED_VALUE"""),"Fecha fin")</f>
        <v>Fecha fin</v>
      </c>
      <c r="D1" s="76" t="str">
        <f>IFERROR(__xludf.DUMMYFUNCTION("""COMPUTED_VALUE"""),"Semana")</f>
        <v>Semana</v>
      </c>
      <c r="E1" s="76" t="str">
        <f>IFERROR(__xludf.DUMMYFUNCTION("""COMPUTED_VALUE"""),"Total muertes reportadas")</f>
        <v>Total muertes reportadas</v>
      </c>
      <c r="F1" s="76" t="str">
        <f>IFERROR(__xludf.DUMMYFUNCTION("""COMPUTED_VALUE"""),"Total muertes reportadas por covid")</f>
        <v>Total muertes reportadas por covid</v>
      </c>
      <c r="G1" s="77" t="s">
        <v>8</v>
      </c>
      <c r="H1" s="77" t="s">
        <v>19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17" t="str">
        <f>IFERROR(__xludf.DUMMYFUNCTION("""COMPUTED_VALUE"""),"Chile")</f>
        <v>Chile</v>
      </c>
      <c r="B2" s="54">
        <f>IFERROR(__xludf.DUMMYFUNCTION("""COMPUTED_VALUE"""),42373.0)</f>
        <v>42373</v>
      </c>
      <c r="C2" s="19">
        <f>IFERROR(__xludf.DUMMYFUNCTION("""COMPUTED_VALUE"""),42379.0)</f>
        <v>42379</v>
      </c>
      <c r="D2" s="17">
        <f>IFERROR(__xludf.DUMMYFUNCTION("""COMPUTED_VALUE"""),1.0)</f>
        <v>1</v>
      </c>
      <c r="E2" s="17">
        <f>IFERROR(__xludf.DUMMYFUNCTION("""COMPUTED_VALUE"""),1884.0)</f>
        <v>1884</v>
      </c>
      <c r="F2" s="17">
        <f>IFERROR(__xludf.DUMMYFUNCTION("""COMPUTED_VALUE"""),0.0)</f>
        <v>0</v>
      </c>
      <c r="G2" s="55">
        <v>1.0</v>
      </c>
      <c r="H2" s="21">
        <f t="shared" ref="H2:H53" si="1">AVERAGEIFS($E$2:$E$273,$D$2:$D$273,G2)</f>
        <v>1967.2</v>
      </c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tr">
        <f>IFERROR(__xludf.DUMMYFUNCTION("""COMPUTED_VALUE"""),"Chile")</f>
        <v>Chile</v>
      </c>
      <c r="B3" s="54">
        <f>IFERROR(__xludf.DUMMYFUNCTION("""COMPUTED_VALUE"""),42380.0)</f>
        <v>42380</v>
      </c>
      <c r="C3" s="19">
        <f>IFERROR(__xludf.DUMMYFUNCTION("""COMPUTED_VALUE"""),42386.0)</f>
        <v>42386</v>
      </c>
      <c r="D3" s="17">
        <f>IFERROR(__xludf.DUMMYFUNCTION("""COMPUTED_VALUE"""),2.0)</f>
        <v>2</v>
      </c>
      <c r="E3" s="17">
        <f>IFERROR(__xludf.DUMMYFUNCTION("""COMPUTED_VALUE"""),1885.0)</f>
        <v>1885</v>
      </c>
      <c r="F3" s="17">
        <f>IFERROR(__xludf.DUMMYFUNCTION("""COMPUTED_VALUE"""),0.0)</f>
        <v>0</v>
      </c>
      <c r="G3" s="55">
        <v>2.0</v>
      </c>
      <c r="H3" s="21">
        <f t="shared" si="1"/>
        <v>1885.6</v>
      </c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tr">
        <f>IFERROR(__xludf.DUMMYFUNCTION("""COMPUTED_VALUE"""),"Chile")</f>
        <v>Chile</v>
      </c>
      <c r="B4" s="54">
        <f>IFERROR(__xludf.DUMMYFUNCTION("""COMPUTED_VALUE"""),42387.0)</f>
        <v>42387</v>
      </c>
      <c r="C4" s="19">
        <f>IFERROR(__xludf.DUMMYFUNCTION("""COMPUTED_VALUE"""),42393.0)</f>
        <v>42393</v>
      </c>
      <c r="D4" s="17">
        <f>IFERROR(__xludf.DUMMYFUNCTION("""COMPUTED_VALUE"""),3.0)</f>
        <v>3</v>
      </c>
      <c r="E4" s="17">
        <f>IFERROR(__xludf.DUMMYFUNCTION("""COMPUTED_VALUE"""),1916.0)</f>
        <v>1916</v>
      </c>
      <c r="F4" s="17">
        <f>IFERROR(__xludf.DUMMYFUNCTION("""COMPUTED_VALUE"""),0.0)</f>
        <v>0</v>
      </c>
      <c r="G4" s="55">
        <v>3.0</v>
      </c>
      <c r="H4" s="21">
        <f t="shared" si="1"/>
        <v>1926</v>
      </c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tr">
        <f>IFERROR(__xludf.DUMMYFUNCTION("""COMPUTED_VALUE"""),"Chile")</f>
        <v>Chile</v>
      </c>
      <c r="B5" s="54">
        <f>IFERROR(__xludf.DUMMYFUNCTION("""COMPUTED_VALUE"""),42394.0)</f>
        <v>42394</v>
      </c>
      <c r="C5" s="19">
        <f>IFERROR(__xludf.DUMMYFUNCTION("""COMPUTED_VALUE"""),42400.0)</f>
        <v>42400</v>
      </c>
      <c r="D5" s="17">
        <f>IFERROR(__xludf.DUMMYFUNCTION("""COMPUTED_VALUE"""),4.0)</f>
        <v>4</v>
      </c>
      <c r="E5" s="17">
        <f>IFERROR(__xludf.DUMMYFUNCTION("""COMPUTED_VALUE"""),1837.0)</f>
        <v>1837</v>
      </c>
      <c r="F5" s="17">
        <f>IFERROR(__xludf.DUMMYFUNCTION("""COMPUTED_VALUE"""),0.0)</f>
        <v>0</v>
      </c>
      <c r="G5" s="55">
        <v>4.0</v>
      </c>
      <c r="H5" s="21">
        <f t="shared" si="1"/>
        <v>1920.8</v>
      </c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tr">
        <f>IFERROR(__xludf.DUMMYFUNCTION("""COMPUTED_VALUE"""),"Chile")</f>
        <v>Chile</v>
      </c>
      <c r="B6" s="54">
        <f>IFERROR(__xludf.DUMMYFUNCTION("""COMPUTED_VALUE"""),42401.0)</f>
        <v>42401</v>
      </c>
      <c r="C6" s="19">
        <f>IFERROR(__xludf.DUMMYFUNCTION("""COMPUTED_VALUE"""),42407.0)</f>
        <v>42407</v>
      </c>
      <c r="D6" s="17">
        <f>IFERROR(__xludf.DUMMYFUNCTION("""COMPUTED_VALUE"""),5.0)</f>
        <v>5</v>
      </c>
      <c r="E6" s="17">
        <f>IFERROR(__xludf.DUMMYFUNCTION("""COMPUTED_VALUE"""),1912.0)</f>
        <v>1912</v>
      </c>
      <c r="F6" s="17">
        <f>IFERROR(__xludf.DUMMYFUNCTION("""COMPUTED_VALUE"""),0.0)</f>
        <v>0</v>
      </c>
      <c r="G6" s="55">
        <v>5.0</v>
      </c>
      <c r="H6" s="21">
        <f t="shared" si="1"/>
        <v>1925.8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tr">
        <f>IFERROR(__xludf.DUMMYFUNCTION("""COMPUTED_VALUE"""),"Chile")</f>
        <v>Chile</v>
      </c>
      <c r="B7" s="54">
        <f>IFERROR(__xludf.DUMMYFUNCTION("""COMPUTED_VALUE"""),42408.0)</f>
        <v>42408</v>
      </c>
      <c r="C7" s="19">
        <f>IFERROR(__xludf.DUMMYFUNCTION("""COMPUTED_VALUE"""),42414.0)</f>
        <v>42414</v>
      </c>
      <c r="D7" s="17">
        <f>IFERROR(__xludf.DUMMYFUNCTION("""COMPUTED_VALUE"""),6.0)</f>
        <v>6</v>
      </c>
      <c r="E7" s="17">
        <f>IFERROR(__xludf.DUMMYFUNCTION("""COMPUTED_VALUE"""),1718.0)</f>
        <v>1718</v>
      </c>
      <c r="F7" s="17">
        <f>IFERROR(__xludf.DUMMYFUNCTION("""COMPUTED_VALUE"""),0.0)</f>
        <v>0</v>
      </c>
      <c r="G7" s="55">
        <v>6.0</v>
      </c>
      <c r="H7" s="21">
        <f t="shared" si="1"/>
        <v>1868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tr">
        <f>IFERROR(__xludf.DUMMYFUNCTION("""COMPUTED_VALUE"""),"Chile")</f>
        <v>Chile</v>
      </c>
      <c r="B8" s="54">
        <f>IFERROR(__xludf.DUMMYFUNCTION("""COMPUTED_VALUE"""),42415.0)</f>
        <v>42415</v>
      </c>
      <c r="C8" s="19">
        <f>IFERROR(__xludf.DUMMYFUNCTION("""COMPUTED_VALUE"""),42421.0)</f>
        <v>42421</v>
      </c>
      <c r="D8" s="17">
        <f>IFERROR(__xludf.DUMMYFUNCTION("""COMPUTED_VALUE"""),7.0)</f>
        <v>7</v>
      </c>
      <c r="E8" s="17">
        <f>IFERROR(__xludf.DUMMYFUNCTION("""COMPUTED_VALUE"""),1760.0)</f>
        <v>1760</v>
      </c>
      <c r="F8" s="17">
        <f>IFERROR(__xludf.DUMMYFUNCTION("""COMPUTED_VALUE"""),0.0)</f>
        <v>0</v>
      </c>
      <c r="G8" s="55">
        <v>7.0</v>
      </c>
      <c r="H8" s="21">
        <f t="shared" si="1"/>
        <v>1848.4</v>
      </c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tr">
        <f>IFERROR(__xludf.DUMMYFUNCTION("""COMPUTED_VALUE"""),"Chile")</f>
        <v>Chile</v>
      </c>
      <c r="B9" s="54">
        <f>IFERROR(__xludf.DUMMYFUNCTION("""COMPUTED_VALUE"""),42422.0)</f>
        <v>42422</v>
      </c>
      <c r="C9" s="19">
        <f>IFERROR(__xludf.DUMMYFUNCTION("""COMPUTED_VALUE"""),42428.0)</f>
        <v>42428</v>
      </c>
      <c r="D9" s="17">
        <f>IFERROR(__xludf.DUMMYFUNCTION("""COMPUTED_VALUE"""),8.0)</f>
        <v>8</v>
      </c>
      <c r="E9" s="17">
        <f>IFERROR(__xludf.DUMMYFUNCTION("""COMPUTED_VALUE"""),1813.0)</f>
        <v>1813</v>
      </c>
      <c r="F9" s="17">
        <f>IFERROR(__xludf.DUMMYFUNCTION("""COMPUTED_VALUE"""),0.0)</f>
        <v>0</v>
      </c>
      <c r="G9" s="55">
        <v>8.0</v>
      </c>
      <c r="H9" s="21">
        <f t="shared" si="1"/>
        <v>1884.2</v>
      </c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tr">
        <f>IFERROR(__xludf.DUMMYFUNCTION("""COMPUTED_VALUE"""),"Chile")</f>
        <v>Chile</v>
      </c>
      <c r="B10" s="54">
        <f>IFERROR(__xludf.DUMMYFUNCTION("""COMPUTED_VALUE"""),42429.0)</f>
        <v>42429</v>
      </c>
      <c r="C10" s="19">
        <f>IFERROR(__xludf.DUMMYFUNCTION("""COMPUTED_VALUE"""),42435.0)</f>
        <v>42435</v>
      </c>
      <c r="D10" s="17">
        <f>IFERROR(__xludf.DUMMYFUNCTION("""COMPUTED_VALUE"""),9.0)</f>
        <v>9</v>
      </c>
      <c r="E10" s="17">
        <f>IFERROR(__xludf.DUMMYFUNCTION("""COMPUTED_VALUE"""),1756.0)</f>
        <v>1756</v>
      </c>
      <c r="F10" s="17">
        <f>IFERROR(__xludf.DUMMYFUNCTION("""COMPUTED_VALUE"""),0.0)</f>
        <v>0</v>
      </c>
      <c r="G10" s="55">
        <v>9.0</v>
      </c>
      <c r="H10" s="21">
        <f t="shared" si="1"/>
        <v>1802.8</v>
      </c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tr">
        <f>IFERROR(__xludf.DUMMYFUNCTION("""COMPUTED_VALUE"""),"Chile")</f>
        <v>Chile</v>
      </c>
      <c r="B11" s="54">
        <f>IFERROR(__xludf.DUMMYFUNCTION("""COMPUTED_VALUE"""),42436.0)</f>
        <v>42436</v>
      </c>
      <c r="C11" s="19">
        <f>IFERROR(__xludf.DUMMYFUNCTION("""COMPUTED_VALUE"""),42442.0)</f>
        <v>42442</v>
      </c>
      <c r="D11" s="17">
        <f>IFERROR(__xludf.DUMMYFUNCTION("""COMPUTED_VALUE"""),10.0)</f>
        <v>10</v>
      </c>
      <c r="E11" s="17">
        <f>IFERROR(__xludf.DUMMYFUNCTION("""COMPUTED_VALUE"""),1753.0)</f>
        <v>1753</v>
      </c>
      <c r="F11" s="17">
        <f>IFERROR(__xludf.DUMMYFUNCTION("""COMPUTED_VALUE"""),0.0)</f>
        <v>0</v>
      </c>
      <c r="G11" s="55">
        <v>10.0</v>
      </c>
      <c r="H11" s="21">
        <f t="shared" si="1"/>
        <v>1808.4</v>
      </c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tr">
        <f>IFERROR(__xludf.DUMMYFUNCTION("""COMPUTED_VALUE"""),"Chile")</f>
        <v>Chile</v>
      </c>
      <c r="B12" s="54">
        <f>IFERROR(__xludf.DUMMYFUNCTION("""COMPUTED_VALUE"""),42443.0)</f>
        <v>42443</v>
      </c>
      <c r="C12" s="19">
        <f>IFERROR(__xludf.DUMMYFUNCTION("""COMPUTED_VALUE"""),42449.0)</f>
        <v>42449</v>
      </c>
      <c r="D12" s="17">
        <f>IFERROR(__xludf.DUMMYFUNCTION("""COMPUTED_VALUE"""),11.0)</f>
        <v>11</v>
      </c>
      <c r="E12" s="17">
        <f>IFERROR(__xludf.DUMMYFUNCTION("""COMPUTED_VALUE"""),1771.0)</f>
        <v>1771</v>
      </c>
      <c r="F12" s="17">
        <f>IFERROR(__xludf.DUMMYFUNCTION("""COMPUTED_VALUE"""),0.0)</f>
        <v>0</v>
      </c>
      <c r="G12" s="55">
        <v>11.0</v>
      </c>
      <c r="H12" s="21">
        <f t="shared" si="1"/>
        <v>1821.8</v>
      </c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tr">
        <f>IFERROR(__xludf.DUMMYFUNCTION("""COMPUTED_VALUE"""),"Chile")</f>
        <v>Chile</v>
      </c>
      <c r="B13" s="54">
        <f>IFERROR(__xludf.DUMMYFUNCTION("""COMPUTED_VALUE"""),42450.0)</f>
        <v>42450</v>
      </c>
      <c r="C13" s="19">
        <f>IFERROR(__xludf.DUMMYFUNCTION("""COMPUTED_VALUE"""),42456.0)</f>
        <v>42456</v>
      </c>
      <c r="D13" s="17">
        <f>IFERROR(__xludf.DUMMYFUNCTION("""COMPUTED_VALUE"""),12.0)</f>
        <v>12</v>
      </c>
      <c r="E13" s="17">
        <f>IFERROR(__xludf.DUMMYFUNCTION("""COMPUTED_VALUE"""),1758.0)</f>
        <v>1758</v>
      </c>
      <c r="F13" s="17">
        <f>IFERROR(__xludf.DUMMYFUNCTION("""COMPUTED_VALUE"""),0.0)</f>
        <v>0</v>
      </c>
      <c r="G13" s="55">
        <v>12.0</v>
      </c>
      <c r="H13" s="21">
        <f t="shared" si="1"/>
        <v>1806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tr">
        <f>IFERROR(__xludf.DUMMYFUNCTION("""COMPUTED_VALUE"""),"Chile")</f>
        <v>Chile</v>
      </c>
      <c r="B14" s="54">
        <f>IFERROR(__xludf.DUMMYFUNCTION("""COMPUTED_VALUE"""),42457.0)</f>
        <v>42457</v>
      </c>
      <c r="C14" s="19">
        <f>IFERROR(__xludf.DUMMYFUNCTION("""COMPUTED_VALUE"""),42463.0)</f>
        <v>42463</v>
      </c>
      <c r="D14" s="17">
        <f>IFERROR(__xludf.DUMMYFUNCTION("""COMPUTED_VALUE"""),13.0)</f>
        <v>13</v>
      </c>
      <c r="E14" s="17">
        <f>IFERROR(__xludf.DUMMYFUNCTION("""COMPUTED_VALUE"""),1757.0)</f>
        <v>1757</v>
      </c>
      <c r="F14" s="17">
        <f>IFERROR(__xludf.DUMMYFUNCTION("""COMPUTED_VALUE"""),0.0)</f>
        <v>0</v>
      </c>
      <c r="G14" s="55">
        <v>13.0</v>
      </c>
      <c r="H14" s="21">
        <f t="shared" si="1"/>
        <v>1841.5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tr">
        <f>IFERROR(__xludf.DUMMYFUNCTION("""COMPUTED_VALUE"""),"Chile")</f>
        <v>Chile</v>
      </c>
      <c r="B15" s="54">
        <f>IFERROR(__xludf.DUMMYFUNCTION("""COMPUTED_VALUE"""),42464.0)</f>
        <v>42464</v>
      </c>
      <c r="C15" s="19">
        <f>IFERROR(__xludf.DUMMYFUNCTION("""COMPUTED_VALUE"""),42470.0)</f>
        <v>42470</v>
      </c>
      <c r="D15" s="17">
        <f>IFERROR(__xludf.DUMMYFUNCTION("""COMPUTED_VALUE"""),14.0)</f>
        <v>14</v>
      </c>
      <c r="E15" s="17">
        <f>IFERROR(__xludf.DUMMYFUNCTION("""COMPUTED_VALUE"""),1789.0)</f>
        <v>1789</v>
      </c>
      <c r="F15" s="17">
        <f>IFERROR(__xludf.DUMMYFUNCTION("""COMPUTED_VALUE"""),0.0)</f>
        <v>0</v>
      </c>
      <c r="G15" s="55">
        <v>14.0</v>
      </c>
      <c r="H15" s="21">
        <f t="shared" si="1"/>
        <v>1886.5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tr">
        <f>IFERROR(__xludf.DUMMYFUNCTION("""COMPUTED_VALUE"""),"Chile")</f>
        <v>Chile</v>
      </c>
      <c r="B16" s="54">
        <f>IFERROR(__xludf.DUMMYFUNCTION("""COMPUTED_VALUE"""),42471.0)</f>
        <v>42471</v>
      </c>
      <c r="C16" s="19">
        <f>IFERROR(__xludf.DUMMYFUNCTION("""COMPUTED_VALUE"""),42477.0)</f>
        <v>42477</v>
      </c>
      <c r="D16" s="17">
        <f>IFERROR(__xludf.DUMMYFUNCTION("""COMPUTED_VALUE"""),15.0)</f>
        <v>15</v>
      </c>
      <c r="E16" s="17">
        <f>IFERROR(__xludf.DUMMYFUNCTION("""COMPUTED_VALUE"""),1945.0)</f>
        <v>1945</v>
      </c>
      <c r="F16" s="17">
        <f>IFERROR(__xludf.DUMMYFUNCTION("""COMPUTED_VALUE"""),0.0)</f>
        <v>0</v>
      </c>
      <c r="G16" s="55">
        <v>15.0</v>
      </c>
      <c r="H16" s="21">
        <f t="shared" si="1"/>
        <v>1951.5</v>
      </c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tr">
        <f>IFERROR(__xludf.DUMMYFUNCTION("""COMPUTED_VALUE"""),"Chile")</f>
        <v>Chile</v>
      </c>
      <c r="B17" s="54">
        <f>IFERROR(__xludf.DUMMYFUNCTION("""COMPUTED_VALUE"""),42478.0)</f>
        <v>42478</v>
      </c>
      <c r="C17" s="19">
        <f>IFERROR(__xludf.DUMMYFUNCTION("""COMPUTED_VALUE"""),42484.0)</f>
        <v>42484</v>
      </c>
      <c r="D17" s="17">
        <f>IFERROR(__xludf.DUMMYFUNCTION("""COMPUTED_VALUE"""),16.0)</f>
        <v>16</v>
      </c>
      <c r="E17" s="17">
        <f>IFERROR(__xludf.DUMMYFUNCTION("""COMPUTED_VALUE"""),1889.0)</f>
        <v>1889</v>
      </c>
      <c r="F17" s="17">
        <f>IFERROR(__xludf.DUMMYFUNCTION("""COMPUTED_VALUE"""),0.0)</f>
        <v>0</v>
      </c>
      <c r="G17" s="55">
        <v>16.0</v>
      </c>
      <c r="H17" s="21">
        <f t="shared" si="1"/>
        <v>1909</v>
      </c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tr">
        <f>IFERROR(__xludf.DUMMYFUNCTION("""COMPUTED_VALUE"""),"Chile")</f>
        <v>Chile</v>
      </c>
      <c r="B18" s="54">
        <f>IFERROR(__xludf.DUMMYFUNCTION("""COMPUTED_VALUE"""),42485.0)</f>
        <v>42485</v>
      </c>
      <c r="C18" s="19">
        <f>IFERROR(__xludf.DUMMYFUNCTION("""COMPUTED_VALUE"""),42491.0)</f>
        <v>42491</v>
      </c>
      <c r="D18" s="17">
        <f>IFERROR(__xludf.DUMMYFUNCTION("""COMPUTED_VALUE"""),17.0)</f>
        <v>17</v>
      </c>
      <c r="E18" s="17">
        <f>IFERROR(__xludf.DUMMYFUNCTION("""COMPUTED_VALUE"""),2018.0)</f>
        <v>2018</v>
      </c>
      <c r="F18" s="17">
        <f>IFERROR(__xludf.DUMMYFUNCTION("""COMPUTED_VALUE"""),0.0)</f>
        <v>0</v>
      </c>
      <c r="G18" s="55">
        <v>17.0</v>
      </c>
      <c r="H18" s="21">
        <f t="shared" si="1"/>
        <v>1984.5</v>
      </c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tr">
        <f>IFERROR(__xludf.DUMMYFUNCTION("""COMPUTED_VALUE"""),"Chile")</f>
        <v>Chile</v>
      </c>
      <c r="B19" s="54">
        <f>IFERROR(__xludf.DUMMYFUNCTION("""COMPUTED_VALUE"""),42492.0)</f>
        <v>42492</v>
      </c>
      <c r="C19" s="19">
        <f>IFERROR(__xludf.DUMMYFUNCTION("""COMPUTED_VALUE"""),42498.0)</f>
        <v>42498</v>
      </c>
      <c r="D19" s="17">
        <f>IFERROR(__xludf.DUMMYFUNCTION("""COMPUTED_VALUE"""),18.0)</f>
        <v>18</v>
      </c>
      <c r="E19" s="17">
        <f>IFERROR(__xludf.DUMMYFUNCTION("""COMPUTED_VALUE"""),1882.0)</f>
        <v>1882</v>
      </c>
      <c r="F19" s="17">
        <f>IFERROR(__xludf.DUMMYFUNCTION("""COMPUTED_VALUE"""),0.0)</f>
        <v>0</v>
      </c>
      <c r="G19" s="55">
        <v>18.0</v>
      </c>
      <c r="H19" s="21">
        <f t="shared" si="1"/>
        <v>1979.25</v>
      </c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tr">
        <f>IFERROR(__xludf.DUMMYFUNCTION("""COMPUTED_VALUE"""),"Chile")</f>
        <v>Chile</v>
      </c>
      <c r="B20" s="54">
        <f>IFERROR(__xludf.DUMMYFUNCTION("""COMPUTED_VALUE"""),42499.0)</f>
        <v>42499</v>
      </c>
      <c r="C20" s="19">
        <f>IFERROR(__xludf.DUMMYFUNCTION("""COMPUTED_VALUE"""),42505.0)</f>
        <v>42505</v>
      </c>
      <c r="D20" s="17">
        <f>IFERROR(__xludf.DUMMYFUNCTION("""COMPUTED_VALUE"""),19.0)</f>
        <v>19</v>
      </c>
      <c r="E20" s="17">
        <f>IFERROR(__xludf.DUMMYFUNCTION("""COMPUTED_VALUE"""),1965.0)</f>
        <v>1965</v>
      </c>
      <c r="F20" s="17">
        <f>IFERROR(__xludf.DUMMYFUNCTION("""COMPUTED_VALUE"""),0.0)</f>
        <v>0</v>
      </c>
      <c r="G20" s="55">
        <v>19.0</v>
      </c>
      <c r="H20" s="21">
        <f t="shared" si="1"/>
        <v>1955.5</v>
      </c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tr">
        <f>IFERROR(__xludf.DUMMYFUNCTION("""COMPUTED_VALUE"""),"Chile")</f>
        <v>Chile</v>
      </c>
      <c r="B21" s="54">
        <f>IFERROR(__xludf.DUMMYFUNCTION("""COMPUTED_VALUE"""),42506.0)</f>
        <v>42506</v>
      </c>
      <c r="C21" s="19">
        <f>IFERROR(__xludf.DUMMYFUNCTION("""COMPUTED_VALUE"""),42512.0)</f>
        <v>42512</v>
      </c>
      <c r="D21" s="17">
        <f>IFERROR(__xludf.DUMMYFUNCTION("""COMPUTED_VALUE"""),20.0)</f>
        <v>20</v>
      </c>
      <c r="E21" s="17">
        <f>IFERROR(__xludf.DUMMYFUNCTION("""COMPUTED_VALUE"""),1953.0)</f>
        <v>1953</v>
      </c>
      <c r="F21" s="17">
        <f>IFERROR(__xludf.DUMMYFUNCTION("""COMPUTED_VALUE"""),0.0)</f>
        <v>0</v>
      </c>
      <c r="G21" s="55">
        <v>20.0</v>
      </c>
      <c r="H21" s="21">
        <f t="shared" si="1"/>
        <v>2037.25</v>
      </c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tr">
        <f>IFERROR(__xludf.DUMMYFUNCTION("""COMPUTED_VALUE"""),"Chile")</f>
        <v>Chile</v>
      </c>
      <c r="B22" s="54">
        <f>IFERROR(__xludf.DUMMYFUNCTION("""COMPUTED_VALUE"""),42513.0)</f>
        <v>42513</v>
      </c>
      <c r="C22" s="19">
        <f>IFERROR(__xludf.DUMMYFUNCTION("""COMPUTED_VALUE"""),42519.0)</f>
        <v>42519</v>
      </c>
      <c r="D22" s="17">
        <f>IFERROR(__xludf.DUMMYFUNCTION("""COMPUTED_VALUE"""),21.0)</f>
        <v>21</v>
      </c>
      <c r="E22" s="17">
        <f>IFERROR(__xludf.DUMMYFUNCTION("""COMPUTED_VALUE"""),2044.0)</f>
        <v>2044</v>
      </c>
      <c r="F22" s="17">
        <f>IFERROR(__xludf.DUMMYFUNCTION("""COMPUTED_VALUE"""),0.0)</f>
        <v>0</v>
      </c>
      <c r="G22" s="55">
        <v>21.0</v>
      </c>
      <c r="H22" s="21">
        <f t="shared" si="1"/>
        <v>2176.5</v>
      </c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tr">
        <f>IFERROR(__xludf.DUMMYFUNCTION("""COMPUTED_VALUE"""),"Chile")</f>
        <v>Chile</v>
      </c>
      <c r="B23" s="54">
        <f>IFERROR(__xludf.DUMMYFUNCTION("""COMPUTED_VALUE"""),42520.0)</f>
        <v>42520</v>
      </c>
      <c r="C23" s="19">
        <f>IFERROR(__xludf.DUMMYFUNCTION("""COMPUTED_VALUE"""),42526.0)</f>
        <v>42526</v>
      </c>
      <c r="D23" s="17">
        <f>IFERROR(__xludf.DUMMYFUNCTION("""COMPUTED_VALUE"""),22.0)</f>
        <v>22</v>
      </c>
      <c r="E23" s="17">
        <f>IFERROR(__xludf.DUMMYFUNCTION("""COMPUTED_VALUE"""),2021.0)</f>
        <v>2021</v>
      </c>
      <c r="F23" s="17">
        <f>IFERROR(__xludf.DUMMYFUNCTION("""COMPUTED_VALUE"""),0.0)</f>
        <v>0</v>
      </c>
      <c r="G23" s="55">
        <v>22.0</v>
      </c>
      <c r="H23" s="21">
        <f t="shared" si="1"/>
        <v>2208</v>
      </c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tr">
        <f>IFERROR(__xludf.DUMMYFUNCTION("""COMPUTED_VALUE"""),"Chile")</f>
        <v>Chile</v>
      </c>
      <c r="B24" s="54">
        <f>IFERROR(__xludf.DUMMYFUNCTION("""COMPUTED_VALUE"""),42527.0)</f>
        <v>42527</v>
      </c>
      <c r="C24" s="19">
        <f>IFERROR(__xludf.DUMMYFUNCTION("""COMPUTED_VALUE"""),42533.0)</f>
        <v>42533</v>
      </c>
      <c r="D24" s="17">
        <f>IFERROR(__xludf.DUMMYFUNCTION("""COMPUTED_VALUE"""),23.0)</f>
        <v>23</v>
      </c>
      <c r="E24" s="17">
        <f>IFERROR(__xludf.DUMMYFUNCTION("""COMPUTED_VALUE"""),2175.0)</f>
        <v>2175</v>
      </c>
      <c r="F24" s="17">
        <f>IFERROR(__xludf.DUMMYFUNCTION("""COMPUTED_VALUE"""),0.0)</f>
        <v>0</v>
      </c>
      <c r="G24" s="55">
        <v>23.0</v>
      </c>
      <c r="H24" s="21">
        <f t="shared" si="1"/>
        <v>2310.75</v>
      </c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tr">
        <f>IFERROR(__xludf.DUMMYFUNCTION("""COMPUTED_VALUE"""),"Chile")</f>
        <v>Chile</v>
      </c>
      <c r="B25" s="54">
        <f>IFERROR(__xludf.DUMMYFUNCTION("""COMPUTED_VALUE"""),42534.0)</f>
        <v>42534</v>
      </c>
      <c r="C25" s="19">
        <f>IFERROR(__xludf.DUMMYFUNCTION("""COMPUTED_VALUE"""),42540.0)</f>
        <v>42540</v>
      </c>
      <c r="D25" s="17">
        <f>IFERROR(__xludf.DUMMYFUNCTION("""COMPUTED_VALUE"""),24.0)</f>
        <v>24</v>
      </c>
      <c r="E25" s="17">
        <f>IFERROR(__xludf.DUMMYFUNCTION("""COMPUTED_VALUE"""),2161.0)</f>
        <v>2161</v>
      </c>
      <c r="F25" s="17">
        <f>IFERROR(__xludf.DUMMYFUNCTION("""COMPUTED_VALUE"""),0.0)</f>
        <v>0</v>
      </c>
      <c r="G25" s="55">
        <v>24.0</v>
      </c>
      <c r="H25" s="21">
        <f t="shared" si="1"/>
        <v>2415.25</v>
      </c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tr">
        <f>IFERROR(__xludf.DUMMYFUNCTION("""COMPUTED_VALUE"""),"Chile")</f>
        <v>Chile</v>
      </c>
      <c r="B26" s="54">
        <f>IFERROR(__xludf.DUMMYFUNCTION("""COMPUTED_VALUE"""),42541.0)</f>
        <v>42541</v>
      </c>
      <c r="C26" s="19">
        <f>IFERROR(__xludf.DUMMYFUNCTION("""COMPUTED_VALUE"""),42547.0)</f>
        <v>42547</v>
      </c>
      <c r="D26" s="17">
        <f>IFERROR(__xludf.DUMMYFUNCTION("""COMPUTED_VALUE"""),25.0)</f>
        <v>25</v>
      </c>
      <c r="E26" s="17">
        <f>IFERROR(__xludf.DUMMYFUNCTION("""COMPUTED_VALUE"""),2339.0)</f>
        <v>2339</v>
      </c>
      <c r="F26" s="17">
        <f>IFERROR(__xludf.DUMMYFUNCTION("""COMPUTED_VALUE"""),0.0)</f>
        <v>0</v>
      </c>
      <c r="G26" s="55">
        <v>25.0</v>
      </c>
      <c r="H26" s="21">
        <f t="shared" si="1"/>
        <v>2425.5</v>
      </c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tr">
        <f>IFERROR(__xludf.DUMMYFUNCTION("""COMPUTED_VALUE"""),"Chile")</f>
        <v>Chile</v>
      </c>
      <c r="B27" s="54">
        <f>IFERROR(__xludf.DUMMYFUNCTION("""COMPUTED_VALUE"""),42548.0)</f>
        <v>42548</v>
      </c>
      <c r="C27" s="19">
        <f>IFERROR(__xludf.DUMMYFUNCTION("""COMPUTED_VALUE"""),42554.0)</f>
        <v>42554</v>
      </c>
      <c r="D27" s="17">
        <f>IFERROR(__xludf.DUMMYFUNCTION("""COMPUTED_VALUE"""),26.0)</f>
        <v>26</v>
      </c>
      <c r="E27" s="17">
        <f>IFERROR(__xludf.DUMMYFUNCTION("""COMPUTED_VALUE"""),2375.0)</f>
        <v>2375</v>
      </c>
      <c r="F27" s="17">
        <f>IFERROR(__xludf.DUMMYFUNCTION("""COMPUTED_VALUE"""),0.0)</f>
        <v>0</v>
      </c>
      <c r="G27" s="55">
        <v>26.0</v>
      </c>
      <c r="H27" s="21">
        <f t="shared" si="1"/>
        <v>2440.75</v>
      </c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tr">
        <f>IFERROR(__xludf.DUMMYFUNCTION("""COMPUTED_VALUE"""),"Chile")</f>
        <v>Chile</v>
      </c>
      <c r="B28" s="54">
        <f>IFERROR(__xludf.DUMMYFUNCTION("""COMPUTED_VALUE"""),42555.0)</f>
        <v>42555</v>
      </c>
      <c r="C28" s="19">
        <f>IFERROR(__xludf.DUMMYFUNCTION("""COMPUTED_VALUE"""),42561.0)</f>
        <v>42561</v>
      </c>
      <c r="D28" s="17">
        <f>IFERROR(__xludf.DUMMYFUNCTION("""COMPUTED_VALUE"""),27.0)</f>
        <v>27</v>
      </c>
      <c r="E28" s="17">
        <f>IFERROR(__xludf.DUMMYFUNCTION("""COMPUTED_VALUE"""),2381.0)</f>
        <v>2381</v>
      </c>
      <c r="F28" s="17">
        <f>IFERROR(__xludf.DUMMYFUNCTION("""COMPUTED_VALUE"""),0.0)</f>
        <v>0</v>
      </c>
      <c r="G28" s="55">
        <v>27.0</v>
      </c>
      <c r="H28" s="21">
        <f t="shared" si="1"/>
        <v>2390</v>
      </c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tr">
        <f>IFERROR(__xludf.DUMMYFUNCTION("""COMPUTED_VALUE"""),"Chile")</f>
        <v>Chile</v>
      </c>
      <c r="B29" s="54">
        <f>IFERROR(__xludf.DUMMYFUNCTION("""COMPUTED_VALUE"""),42562.0)</f>
        <v>42562</v>
      </c>
      <c r="C29" s="19">
        <f>IFERROR(__xludf.DUMMYFUNCTION("""COMPUTED_VALUE"""),42568.0)</f>
        <v>42568</v>
      </c>
      <c r="D29" s="17">
        <f>IFERROR(__xludf.DUMMYFUNCTION("""COMPUTED_VALUE"""),28.0)</f>
        <v>28</v>
      </c>
      <c r="E29" s="17">
        <f>IFERROR(__xludf.DUMMYFUNCTION("""COMPUTED_VALUE"""),2483.0)</f>
        <v>2483</v>
      </c>
      <c r="F29" s="17">
        <f>IFERROR(__xludf.DUMMYFUNCTION("""COMPUTED_VALUE"""),0.0)</f>
        <v>0</v>
      </c>
      <c r="G29" s="55">
        <v>28.0</v>
      </c>
      <c r="H29" s="21">
        <f t="shared" si="1"/>
        <v>2360.75</v>
      </c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tr">
        <f>IFERROR(__xludf.DUMMYFUNCTION("""COMPUTED_VALUE"""),"Chile")</f>
        <v>Chile</v>
      </c>
      <c r="B30" s="54">
        <f>IFERROR(__xludf.DUMMYFUNCTION("""COMPUTED_VALUE"""),42569.0)</f>
        <v>42569</v>
      </c>
      <c r="C30" s="19">
        <f>IFERROR(__xludf.DUMMYFUNCTION("""COMPUTED_VALUE"""),42575.0)</f>
        <v>42575</v>
      </c>
      <c r="D30" s="17">
        <f>IFERROR(__xludf.DUMMYFUNCTION("""COMPUTED_VALUE"""),29.0)</f>
        <v>29</v>
      </c>
      <c r="E30" s="17">
        <f>IFERROR(__xludf.DUMMYFUNCTION("""COMPUTED_VALUE"""),2526.0)</f>
        <v>2526</v>
      </c>
      <c r="F30" s="17">
        <f>IFERROR(__xludf.DUMMYFUNCTION("""COMPUTED_VALUE"""),0.0)</f>
        <v>0</v>
      </c>
      <c r="G30" s="55">
        <v>29.0</v>
      </c>
      <c r="H30" s="21">
        <f t="shared" si="1"/>
        <v>2424.75</v>
      </c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tr">
        <f>IFERROR(__xludf.DUMMYFUNCTION("""COMPUTED_VALUE"""),"Chile")</f>
        <v>Chile</v>
      </c>
      <c r="B31" s="54">
        <f>IFERROR(__xludf.DUMMYFUNCTION("""COMPUTED_VALUE"""),42576.0)</f>
        <v>42576</v>
      </c>
      <c r="C31" s="19">
        <f>IFERROR(__xludf.DUMMYFUNCTION("""COMPUTED_VALUE"""),42582.0)</f>
        <v>42582</v>
      </c>
      <c r="D31" s="17">
        <f>IFERROR(__xludf.DUMMYFUNCTION("""COMPUTED_VALUE"""),30.0)</f>
        <v>30</v>
      </c>
      <c r="E31" s="17">
        <f>IFERROR(__xludf.DUMMYFUNCTION("""COMPUTED_VALUE"""),2301.0)</f>
        <v>2301</v>
      </c>
      <c r="F31" s="17">
        <f>IFERROR(__xludf.DUMMYFUNCTION("""COMPUTED_VALUE"""),0.0)</f>
        <v>0</v>
      </c>
      <c r="G31" s="55">
        <v>30.0</v>
      </c>
      <c r="H31" s="21">
        <f t="shared" si="1"/>
        <v>2369.75</v>
      </c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tr">
        <f>IFERROR(__xludf.DUMMYFUNCTION("""COMPUTED_VALUE"""),"Chile")</f>
        <v>Chile</v>
      </c>
      <c r="B32" s="54">
        <f>IFERROR(__xludf.DUMMYFUNCTION("""COMPUTED_VALUE"""),42583.0)</f>
        <v>42583</v>
      </c>
      <c r="C32" s="19">
        <f>IFERROR(__xludf.DUMMYFUNCTION("""COMPUTED_VALUE"""),42589.0)</f>
        <v>42589</v>
      </c>
      <c r="D32" s="17">
        <f>IFERROR(__xludf.DUMMYFUNCTION("""COMPUTED_VALUE"""),31.0)</f>
        <v>31</v>
      </c>
      <c r="E32" s="17">
        <f>IFERROR(__xludf.DUMMYFUNCTION("""COMPUTED_VALUE"""),2232.0)</f>
        <v>2232</v>
      </c>
      <c r="F32" s="17">
        <f>IFERROR(__xludf.DUMMYFUNCTION("""COMPUTED_VALUE"""),0.0)</f>
        <v>0</v>
      </c>
      <c r="G32" s="55">
        <v>31.0</v>
      </c>
      <c r="H32" s="21">
        <f t="shared" si="1"/>
        <v>2344</v>
      </c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tr">
        <f>IFERROR(__xludf.DUMMYFUNCTION("""COMPUTED_VALUE"""),"Chile")</f>
        <v>Chile</v>
      </c>
      <c r="B33" s="54">
        <f>IFERROR(__xludf.DUMMYFUNCTION("""COMPUTED_VALUE"""),42590.0)</f>
        <v>42590</v>
      </c>
      <c r="C33" s="19">
        <f>IFERROR(__xludf.DUMMYFUNCTION("""COMPUTED_VALUE"""),42596.0)</f>
        <v>42596</v>
      </c>
      <c r="D33" s="17">
        <f>IFERROR(__xludf.DUMMYFUNCTION("""COMPUTED_VALUE"""),32.0)</f>
        <v>32</v>
      </c>
      <c r="E33" s="17">
        <f>IFERROR(__xludf.DUMMYFUNCTION("""COMPUTED_VALUE"""),2201.0)</f>
        <v>2201</v>
      </c>
      <c r="F33" s="17">
        <f>IFERROR(__xludf.DUMMYFUNCTION("""COMPUTED_VALUE"""),0.0)</f>
        <v>0</v>
      </c>
      <c r="G33" s="55">
        <v>32.0</v>
      </c>
      <c r="H33" s="21">
        <f t="shared" si="1"/>
        <v>2277.75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tr">
        <f>IFERROR(__xludf.DUMMYFUNCTION("""COMPUTED_VALUE"""),"Chile")</f>
        <v>Chile</v>
      </c>
      <c r="B34" s="54">
        <f>IFERROR(__xludf.DUMMYFUNCTION("""COMPUTED_VALUE"""),42597.0)</f>
        <v>42597</v>
      </c>
      <c r="C34" s="19">
        <f>IFERROR(__xludf.DUMMYFUNCTION("""COMPUTED_VALUE"""),42603.0)</f>
        <v>42603</v>
      </c>
      <c r="D34" s="17">
        <f>IFERROR(__xludf.DUMMYFUNCTION("""COMPUTED_VALUE"""),33.0)</f>
        <v>33</v>
      </c>
      <c r="E34" s="17">
        <f>IFERROR(__xludf.DUMMYFUNCTION("""COMPUTED_VALUE"""),2203.0)</f>
        <v>2203</v>
      </c>
      <c r="F34" s="17">
        <f>IFERROR(__xludf.DUMMYFUNCTION("""COMPUTED_VALUE"""),0.0)</f>
        <v>0</v>
      </c>
      <c r="G34" s="55">
        <v>33.0</v>
      </c>
      <c r="H34" s="21">
        <f t="shared" si="1"/>
        <v>2245</v>
      </c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tr">
        <f>IFERROR(__xludf.DUMMYFUNCTION("""COMPUTED_VALUE"""),"Chile")</f>
        <v>Chile</v>
      </c>
      <c r="B35" s="54">
        <f>IFERROR(__xludf.DUMMYFUNCTION("""COMPUTED_VALUE"""),42604.0)</f>
        <v>42604</v>
      </c>
      <c r="C35" s="19">
        <f>IFERROR(__xludf.DUMMYFUNCTION("""COMPUTED_VALUE"""),42610.0)</f>
        <v>42610</v>
      </c>
      <c r="D35" s="17">
        <f>IFERROR(__xludf.DUMMYFUNCTION("""COMPUTED_VALUE"""),34.0)</f>
        <v>34</v>
      </c>
      <c r="E35" s="17">
        <f>IFERROR(__xludf.DUMMYFUNCTION("""COMPUTED_VALUE"""),2144.0)</f>
        <v>2144</v>
      </c>
      <c r="F35" s="17">
        <f>IFERROR(__xludf.DUMMYFUNCTION("""COMPUTED_VALUE"""),0.0)</f>
        <v>0</v>
      </c>
      <c r="G35" s="55">
        <v>34.0</v>
      </c>
      <c r="H35" s="21">
        <f t="shared" si="1"/>
        <v>2223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tr">
        <f>IFERROR(__xludf.DUMMYFUNCTION("""COMPUTED_VALUE"""),"Chile")</f>
        <v>Chile</v>
      </c>
      <c r="B36" s="54">
        <f>IFERROR(__xludf.DUMMYFUNCTION("""COMPUTED_VALUE"""),42611.0)</f>
        <v>42611</v>
      </c>
      <c r="C36" s="19">
        <f>IFERROR(__xludf.DUMMYFUNCTION("""COMPUTED_VALUE"""),42617.0)</f>
        <v>42617</v>
      </c>
      <c r="D36" s="17">
        <f>IFERROR(__xludf.DUMMYFUNCTION("""COMPUTED_VALUE"""),35.0)</f>
        <v>35</v>
      </c>
      <c r="E36" s="17">
        <f>IFERROR(__xludf.DUMMYFUNCTION("""COMPUTED_VALUE"""),2115.0)</f>
        <v>2115</v>
      </c>
      <c r="F36" s="17">
        <f>IFERROR(__xludf.DUMMYFUNCTION("""COMPUTED_VALUE"""),0.0)</f>
        <v>0</v>
      </c>
      <c r="G36" s="55">
        <v>35.0</v>
      </c>
      <c r="H36" s="21">
        <f t="shared" si="1"/>
        <v>2155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tr">
        <f>IFERROR(__xludf.DUMMYFUNCTION("""COMPUTED_VALUE"""),"Chile")</f>
        <v>Chile</v>
      </c>
      <c r="B37" s="54">
        <f>IFERROR(__xludf.DUMMYFUNCTION("""COMPUTED_VALUE"""),42618.0)</f>
        <v>42618</v>
      </c>
      <c r="C37" s="19">
        <f>IFERROR(__xludf.DUMMYFUNCTION("""COMPUTED_VALUE"""),42624.0)</f>
        <v>42624</v>
      </c>
      <c r="D37" s="17">
        <f>IFERROR(__xludf.DUMMYFUNCTION("""COMPUTED_VALUE"""),36.0)</f>
        <v>36</v>
      </c>
      <c r="E37" s="17">
        <f>IFERROR(__xludf.DUMMYFUNCTION("""COMPUTED_VALUE"""),2328.0)</f>
        <v>2328</v>
      </c>
      <c r="F37" s="17">
        <f>IFERROR(__xludf.DUMMYFUNCTION("""COMPUTED_VALUE"""),0.0)</f>
        <v>0</v>
      </c>
      <c r="G37" s="55">
        <v>36.0</v>
      </c>
      <c r="H37" s="21">
        <f t="shared" si="1"/>
        <v>2213.25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tr">
        <f>IFERROR(__xludf.DUMMYFUNCTION("""COMPUTED_VALUE"""),"Chile")</f>
        <v>Chile</v>
      </c>
      <c r="B38" s="54">
        <f>IFERROR(__xludf.DUMMYFUNCTION("""COMPUTED_VALUE"""),42625.0)</f>
        <v>42625</v>
      </c>
      <c r="C38" s="19">
        <f>IFERROR(__xludf.DUMMYFUNCTION("""COMPUTED_VALUE"""),42631.0)</f>
        <v>42631</v>
      </c>
      <c r="D38" s="17">
        <f>IFERROR(__xludf.DUMMYFUNCTION("""COMPUTED_VALUE"""),37.0)</f>
        <v>37</v>
      </c>
      <c r="E38" s="17">
        <f>IFERROR(__xludf.DUMMYFUNCTION("""COMPUTED_VALUE"""),2086.0)</f>
        <v>2086</v>
      </c>
      <c r="F38" s="17">
        <f>IFERROR(__xludf.DUMMYFUNCTION("""COMPUTED_VALUE"""),0.0)</f>
        <v>0</v>
      </c>
      <c r="G38" s="55">
        <v>37.0</v>
      </c>
      <c r="H38" s="21">
        <f t="shared" si="1"/>
        <v>2154.25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tr">
        <f>IFERROR(__xludf.DUMMYFUNCTION("""COMPUTED_VALUE"""),"Chile")</f>
        <v>Chile</v>
      </c>
      <c r="B39" s="54">
        <f>IFERROR(__xludf.DUMMYFUNCTION("""COMPUTED_VALUE"""),42632.0)</f>
        <v>42632</v>
      </c>
      <c r="C39" s="19">
        <f>IFERROR(__xludf.DUMMYFUNCTION("""COMPUTED_VALUE"""),42638.0)</f>
        <v>42638</v>
      </c>
      <c r="D39" s="17">
        <f>IFERROR(__xludf.DUMMYFUNCTION("""COMPUTED_VALUE"""),38.0)</f>
        <v>38</v>
      </c>
      <c r="E39" s="17">
        <f>IFERROR(__xludf.DUMMYFUNCTION("""COMPUTED_VALUE"""),2156.0)</f>
        <v>2156</v>
      </c>
      <c r="F39" s="17">
        <f>IFERROR(__xludf.DUMMYFUNCTION("""COMPUTED_VALUE"""),0.0)</f>
        <v>0</v>
      </c>
      <c r="G39" s="55">
        <v>38.0</v>
      </c>
      <c r="H39" s="21">
        <f t="shared" si="1"/>
        <v>2213.75</v>
      </c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tr">
        <f>IFERROR(__xludf.DUMMYFUNCTION("""COMPUTED_VALUE"""),"Chile")</f>
        <v>Chile</v>
      </c>
      <c r="B40" s="54">
        <f>IFERROR(__xludf.DUMMYFUNCTION("""COMPUTED_VALUE"""),42639.0)</f>
        <v>42639</v>
      </c>
      <c r="C40" s="19">
        <f>IFERROR(__xludf.DUMMYFUNCTION("""COMPUTED_VALUE"""),42645.0)</f>
        <v>42645</v>
      </c>
      <c r="D40" s="17">
        <f>IFERROR(__xludf.DUMMYFUNCTION("""COMPUTED_VALUE"""),39.0)</f>
        <v>39</v>
      </c>
      <c r="E40" s="17">
        <f>IFERROR(__xludf.DUMMYFUNCTION("""COMPUTED_VALUE"""),2072.0)</f>
        <v>2072</v>
      </c>
      <c r="F40" s="17">
        <f>IFERROR(__xludf.DUMMYFUNCTION("""COMPUTED_VALUE"""),0.0)</f>
        <v>0</v>
      </c>
      <c r="G40" s="55">
        <v>39.0</v>
      </c>
      <c r="H40" s="21">
        <f t="shared" si="1"/>
        <v>2122.5</v>
      </c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tr">
        <f>IFERROR(__xludf.DUMMYFUNCTION("""COMPUTED_VALUE"""),"Chile")</f>
        <v>Chile</v>
      </c>
      <c r="B41" s="54">
        <f>IFERROR(__xludf.DUMMYFUNCTION("""COMPUTED_VALUE"""),42646.0)</f>
        <v>42646</v>
      </c>
      <c r="C41" s="19">
        <f>IFERROR(__xludf.DUMMYFUNCTION("""COMPUTED_VALUE"""),42652.0)</f>
        <v>42652</v>
      </c>
      <c r="D41" s="17">
        <f>IFERROR(__xludf.DUMMYFUNCTION("""COMPUTED_VALUE"""),40.0)</f>
        <v>40</v>
      </c>
      <c r="E41" s="17">
        <f>IFERROR(__xludf.DUMMYFUNCTION("""COMPUTED_VALUE"""),1968.0)</f>
        <v>1968</v>
      </c>
      <c r="F41" s="17">
        <f>IFERROR(__xludf.DUMMYFUNCTION("""COMPUTED_VALUE"""),0.0)</f>
        <v>0</v>
      </c>
      <c r="G41" s="55">
        <v>40.0</v>
      </c>
      <c r="H41" s="21">
        <f t="shared" si="1"/>
        <v>2069.25</v>
      </c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tr">
        <f>IFERROR(__xludf.DUMMYFUNCTION("""COMPUTED_VALUE"""),"Chile")</f>
        <v>Chile</v>
      </c>
      <c r="B42" s="54">
        <f>IFERROR(__xludf.DUMMYFUNCTION("""COMPUTED_VALUE"""),42653.0)</f>
        <v>42653</v>
      </c>
      <c r="C42" s="19">
        <f>IFERROR(__xludf.DUMMYFUNCTION("""COMPUTED_VALUE"""),42659.0)</f>
        <v>42659</v>
      </c>
      <c r="D42" s="17">
        <f>IFERROR(__xludf.DUMMYFUNCTION("""COMPUTED_VALUE"""),41.0)</f>
        <v>41</v>
      </c>
      <c r="E42" s="17">
        <f>IFERROR(__xludf.DUMMYFUNCTION("""COMPUTED_VALUE"""),1926.0)</f>
        <v>1926</v>
      </c>
      <c r="F42" s="17">
        <f>IFERROR(__xludf.DUMMYFUNCTION("""COMPUTED_VALUE"""),0.0)</f>
        <v>0</v>
      </c>
      <c r="G42" s="55">
        <v>41.0</v>
      </c>
      <c r="H42" s="21">
        <f t="shared" si="1"/>
        <v>2005.5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tr">
        <f>IFERROR(__xludf.DUMMYFUNCTION("""COMPUTED_VALUE"""),"Chile")</f>
        <v>Chile</v>
      </c>
      <c r="B43" s="54">
        <f>IFERROR(__xludf.DUMMYFUNCTION("""COMPUTED_VALUE"""),42660.0)</f>
        <v>42660</v>
      </c>
      <c r="C43" s="19">
        <f>IFERROR(__xludf.DUMMYFUNCTION("""COMPUTED_VALUE"""),42666.0)</f>
        <v>42666</v>
      </c>
      <c r="D43" s="17">
        <f>IFERROR(__xludf.DUMMYFUNCTION("""COMPUTED_VALUE"""),42.0)</f>
        <v>42</v>
      </c>
      <c r="E43" s="17">
        <f>IFERROR(__xludf.DUMMYFUNCTION("""COMPUTED_VALUE"""),1891.0)</f>
        <v>1891</v>
      </c>
      <c r="F43" s="17">
        <f>IFERROR(__xludf.DUMMYFUNCTION("""COMPUTED_VALUE"""),0.0)</f>
        <v>0</v>
      </c>
      <c r="G43" s="55">
        <v>42.0</v>
      </c>
      <c r="H43" s="21">
        <f t="shared" si="1"/>
        <v>1981.25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tr">
        <f>IFERROR(__xludf.DUMMYFUNCTION("""COMPUTED_VALUE"""),"Chile")</f>
        <v>Chile</v>
      </c>
      <c r="B44" s="54">
        <f>IFERROR(__xludf.DUMMYFUNCTION("""COMPUTED_VALUE"""),42667.0)</f>
        <v>42667</v>
      </c>
      <c r="C44" s="19">
        <f>IFERROR(__xludf.DUMMYFUNCTION("""COMPUTED_VALUE"""),42673.0)</f>
        <v>42673</v>
      </c>
      <c r="D44" s="17">
        <f>IFERROR(__xludf.DUMMYFUNCTION("""COMPUTED_VALUE"""),43.0)</f>
        <v>43</v>
      </c>
      <c r="E44" s="17">
        <f>IFERROR(__xludf.DUMMYFUNCTION("""COMPUTED_VALUE"""),1906.0)</f>
        <v>1906</v>
      </c>
      <c r="F44" s="17">
        <f>IFERROR(__xludf.DUMMYFUNCTION("""COMPUTED_VALUE"""),0.0)</f>
        <v>0</v>
      </c>
      <c r="G44" s="55">
        <v>43.0</v>
      </c>
      <c r="H44" s="21">
        <f t="shared" si="1"/>
        <v>1958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tr">
        <f>IFERROR(__xludf.DUMMYFUNCTION("""COMPUTED_VALUE"""),"Chile")</f>
        <v>Chile</v>
      </c>
      <c r="B45" s="54">
        <f>IFERROR(__xludf.DUMMYFUNCTION("""COMPUTED_VALUE"""),42674.0)</f>
        <v>42674</v>
      </c>
      <c r="C45" s="19">
        <f>IFERROR(__xludf.DUMMYFUNCTION("""COMPUTED_VALUE"""),42680.0)</f>
        <v>42680</v>
      </c>
      <c r="D45" s="17">
        <f>IFERROR(__xludf.DUMMYFUNCTION("""COMPUTED_VALUE"""),44.0)</f>
        <v>44</v>
      </c>
      <c r="E45" s="17">
        <f>IFERROR(__xludf.DUMMYFUNCTION("""COMPUTED_VALUE"""),1954.0)</f>
        <v>1954</v>
      </c>
      <c r="F45" s="17">
        <f>IFERROR(__xludf.DUMMYFUNCTION("""COMPUTED_VALUE"""),0.0)</f>
        <v>0</v>
      </c>
      <c r="G45" s="55">
        <v>44.0</v>
      </c>
      <c r="H45" s="21">
        <f t="shared" si="1"/>
        <v>1942</v>
      </c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tr">
        <f>IFERROR(__xludf.DUMMYFUNCTION("""COMPUTED_VALUE"""),"Chile")</f>
        <v>Chile</v>
      </c>
      <c r="B46" s="54">
        <f>IFERROR(__xludf.DUMMYFUNCTION("""COMPUTED_VALUE"""),42681.0)</f>
        <v>42681</v>
      </c>
      <c r="C46" s="19">
        <f>IFERROR(__xludf.DUMMYFUNCTION("""COMPUTED_VALUE"""),42687.0)</f>
        <v>42687</v>
      </c>
      <c r="D46" s="17">
        <f>IFERROR(__xludf.DUMMYFUNCTION("""COMPUTED_VALUE"""),45.0)</f>
        <v>45</v>
      </c>
      <c r="E46" s="17">
        <f>IFERROR(__xludf.DUMMYFUNCTION("""COMPUTED_VALUE"""),1810.0)</f>
        <v>1810</v>
      </c>
      <c r="F46" s="17">
        <f>IFERROR(__xludf.DUMMYFUNCTION("""COMPUTED_VALUE"""),0.0)</f>
        <v>0</v>
      </c>
      <c r="G46" s="55">
        <v>45.0</v>
      </c>
      <c r="H46" s="21">
        <f t="shared" si="1"/>
        <v>1946.5</v>
      </c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tr">
        <f>IFERROR(__xludf.DUMMYFUNCTION("""COMPUTED_VALUE"""),"Chile")</f>
        <v>Chile</v>
      </c>
      <c r="B47" s="54">
        <f>IFERROR(__xludf.DUMMYFUNCTION("""COMPUTED_VALUE"""),42688.0)</f>
        <v>42688</v>
      </c>
      <c r="C47" s="19">
        <f>IFERROR(__xludf.DUMMYFUNCTION("""COMPUTED_VALUE"""),42694.0)</f>
        <v>42694</v>
      </c>
      <c r="D47" s="17">
        <f>IFERROR(__xludf.DUMMYFUNCTION("""COMPUTED_VALUE"""),46.0)</f>
        <v>46</v>
      </c>
      <c r="E47" s="17">
        <f>IFERROR(__xludf.DUMMYFUNCTION("""COMPUTED_VALUE"""),1808.0)</f>
        <v>1808</v>
      </c>
      <c r="F47" s="17">
        <f>IFERROR(__xludf.DUMMYFUNCTION("""COMPUTED_VALUE"""),0.0)</f>
        <v>0</v>
      </c>
      <c r="G47" s="55">
        <v>46.0</v>
      </c>
      <c r="H47" s="21">
        <f t="shared" si="1"/>
        <v>1898</v>
      </c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tr">
        <f>IFERROR(__xludf.DUMMYFUNCTION("""COMPUTED_VALUE"""),"Chile")</f>
        <v>Chile</v>
      </c>
      <c r="B48" s="54">
        <f>IFERROR(__xludf.DUMMYFUNCTION("""COMPUTED_VALUE"""),42695.0)</f>
        <v>42695</v>
      </c>
      <c r="C48" s="19">
        <f>IFERROR(__xludf.DUMMYFUNCTION("""COMPUTED_VALUE"""),42701.0)</f>
        <v>42701</v>
      </c>
      <c r="D48" s="17">
        <f>IFERROR(__xludf.DUMMYFUNCTION("""COMPUTED_VALUE"""),47.0)</f>
        <v>47</v>
      </c>
      <c r="E48" s="17">
        <f>IFERROR(__xludf.DUMMYFUNCTION("""COMPUTED_VALUE"""),1838.0)</f>
        <v>1838</v>
      </c>
      <c r="F48" s="17">
        <f>IFERROR(__xludf.DUMMYFUNCTION("""COMPUTED_VALUE"""),0.0)</f>
        <v>0</v>
      </c>
      <c r="G48" s="55">
        <v>47.0</v>
      </c>
      <c r="H48" s="21">
        <f t="shared" si="1"/>
        <v>1942.25</v>
      </c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tr">
        <f>IFERROR(__xludf.DUMMYFUNCTION("""COMPUTED_VALUE"""),"Chile")</f>
        <v>Chile</v>
      </c>
      <c r="B49" s="54">
        <f>IFERROR(__xludf.DUMMYFUNCTION("""COMPUTED_VALUE"""),42702.0)</f>
        <v>42702</v>
      </c>
      <c r="C49" s="19">
        <f>IFERROR(__xludf.DUMMYFUNCTION("""COMPUTED_VALUE"""),42708.0)</f>
        <v>42708</v>
      </c>
      <c r="D49" s="17">
        <f>IFERROR(__xludf.DUMMYFUNCTION("""COMPUTED_VALUE"""),48.0)</f>
        <v>48</v>
      </c>
      <c r="E49" s="17">
        <f>IFERROR(__xludf.DUMMYFUNCTION("""COMPUTED_VALUE"""),1829.0)</f>
        <v>1829</v>
      </c>
      <c r="F49" s="17">
        <f>IFERROR(__xludf.DUMMYFUNCTION("""COMPUTED_VALUE"""),0.0)</f>
        <v>0</v>
      </c>
      <c r="G49" s="55">
        <v>48.0</v>
      </c>
      <c r="H49" s="21">
        <f t="shared" si="1"/>
        <v>1895.75</v>
      </c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tr">
        <f>IFERROR(__xludf.DUMMYFUNCTION("""COMPUTED_VALUE"""),"Chile")</f>
        <v>Chile</v>
      </c>
      <c r="B50" s="54">
        <f>IFERROR(__xludf.DUMMYFUNCTION("""COMPUTED_VALUE"""),42709.0)</f>
        <v>42709</v>
      </c>
      <c r="C50" s="19">
        <f>IFERROR(__xludf.DUMMYFUNCTION("""COMPUTED_VALUE"""),42715.0)</f>
        <v>42715</v>
      </c>
      <c r="D50" s="17">
        <f>IFERROR(__xludf.DUMMYFUNCTION("""COMPUTED_VALUE"""),49.0)</f>
        <v>49</v>
      </c>
      <c r="E50" s="17">
        <f>IFERROR(__xludf.DUMMYFUNCTION("""COMPUTED_VALUE"""),1809.0)</f>
        <v>1809</v>
      </c>
      <c r="F50" s="17">
        <f>IFERROR(__xludf.DUMMYFUNCTION("""COMPUTED_VALUE"""),0.0)</f>
        <v>0</v>
      </c>
      <c r="G50" s="55">
        <v>49.0</v>
      </c>
      <c r="H50" s="21">
        <f t="shared" si="1"/>
        <v>1850.25</v>
      </c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tr">
        <f>IFERROR(__xludf.DUMMYFUNCTION("""COMPUTED_VALUE"""),"Chile")</f>
        <v>Chile</v>
      </c>
      <c r="B51" s="54">
        <f>IFERROR(__xludf.DUMMYFUNCTION("""COMPUTED_VALUE"""),42716.0)</f>
        <v>42716</v>
      </c>
      <c r="C51" s="19">
        <f>IFERROR(__xludf.DUMMYFUNCTION("""COMPUTED_VALUE"""),42722.0)</f>
        <v>42722</v>
      </c>
      <c r="D51" s="17">
        <f>IFERROR(__xludf.DUMMYFUNCTION("""COMPUTED_VALUE"""),50.0)</f>
        <v>50</v>
      </c>
      <c r="E51" s="17">
        <f>IFERROR(__xludf.DUMMYFUNCTION("""COMPUTED_VALUE"""),1863.0)</f>
        <v>1863</v>
      </c>
      <c r="F51" s="17">
        <f>IFERROR(__xludf.DUMMYFUNCTION("""COMPUTED_VALUE"""),0.0)</f>
        <v>0</v>
      </c>
      <c r="G51" s="55">
        <v>50.0</v>
      </c>
      <c r="H51" s="21">
        <f t="shared" si="1"/>
        <v>1890</v>
      </c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tr">
        <f>IFERROR(__xludf.DUMMYFUNCTION("""COMPUTED_VALUE"""),"Chile")</f>
        <v>Chile</v>
      </c>
      <c r="B52" s="54">
        <f>IFERROR(__xludf.DUMMYFUNCTION("""COMPUTED_VALUE"""),42723.0)</f>
        <v>42723</v>
      </c>
      <c r="C52" s="19">
        <f>IFERROR(__xludf.DUMMYFUNCTION("""COMPUTED_VALUE"""),42729.0)</f>
        <v>42729</v>
      </c>
      <c r="D52" s="17">
        <f>IFERROR(__xludf.DUMMYFUNCTION("""COMPUTED_VALUE"""),51.0)</f>
        <v>51</v>
      </c>
      <c r="E52" s="17">
        <f>IFERROR(__xludf.DUMMYFUNCTION("""COMPUTED_VALUE"""),1827.0)</f>
        <v>1827</v>
      </c>
      <c r="F52" s="17">
        <f>IFERROR(__xludf.DUMMYFUNCTION("""COMPUTED_VALUE"""),0.0)</f>
        <v>0</v>
      </c>
      <c r="G52" s="55">
        <v>51.0</v>
      </c>
      <c r="H52" s="21">
        <f t="shared" si="1"/>
        <v>1883.75</v>
      </c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tr">
        <f>IFERROR(__xludf.DUMMYFUNCTION("""COMPUTED_VALUE"""),"Chile")</f>
        <v>Chile</v>
      </c>
      <c r="B53" s="54">
        <f>IFERROR(__xludf.DUMMYFUNCTION("""COMPUTED_VALUE"""),42730.0)</f>
        <v>42730</v>
      </c>
      <c r="C53" s="19">
        <f>IFERROR(__xludf.DUMMYFUNCTION("""COMPUTED_VALUE"""),42736.0)</f>
        <v>42736</v>
      </c>
      <c r="D53" s="17">
        <f>IFERROR(__xludf.DUMMYFUNCTION("""COMPUTED_VALUE"""),52.0)</f>
        <v>52</v>
      </c>
      <c r="E53" s="17">
        <f>IFERROR(__xludf.DUMMYFUNCTION("""COMPUTED_VALUE"""),1642.0)</f>
        <v>1642</v>
      </c>
      <c r="F53" s="17">
        <f>IFERROR(__xludf.DUMMYFUNCTION("""COMPUTED_VALUE"""),0.0)</f>
        <v>0</v>
      </c>
      <c r="G53" s="55">
        <v>52.0</v>
      </c>
      <c r="H53" s="21">
        <f t="shared" si="1"/>
        <v>1811.5</v>
      </c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tr">
        <f>IFERROR(__xludf.DUMMYFUNCTION("""COMPUTED_VALUE"""),"Chile")</f>
        <v>Chile</v>
      </c>
      <c r="B54" s="54">
        <f>IFERROR(__xludf.DUMMYFUNCTION("""COMPUTED_VALUE"""),42737.0)</f>
        <v>42737</v>
      </c>
      <c r="C54" s="19">
        <f>IFERROR(__xludf.DUMMYFUNCTION("""COMPUTED_VALUE"""),42743.0)</f>
        <v>42743</v>
      </c>
      <c r="D54" s="17">
        <f>IFERROR(__xludf.DUMMYFUNCTION("""COMPUTED_VALUE"""),1.0)</f>
        <v>1</v>
      </c>
      <c r="E54" s="17">
        <f>IFERROR(__xludf.DUMMYFUNCTION("""COMPUTED_VALUE"""),1878.0)</f>
        <v>1878</v>
      </c>
      <c r="F54" s="17">
        <f>IFERROR(__xludf.DUMMYFUNCTION("""COMPUTED_VALUE"""),0.0)</f>
        <v>0</v>
      </c>
      <c r="G54" s="55">
        <v>53.0</v>
      </c>
      <c r="H54" s="71">
        <v>0.0</v>
      </c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tr">
        <f>IFERROR(__xludf.DUMMYFUNCTION("""COMPUTED_VALUE"""),"Chile")</f>
        <v>Chile</v>
      </c>
      <c r="B55" s="54">
        <f>IFERROR(__xludf.DUMMYFUNCTION("""COMPUTED_VALUE"""),42744.0)</f>
        <v>42744</v>
      </c>
      <c r="C55" s="19">
        <f>IFERROR(__xludf.DUMMYFUNCTION("""COMPUTED_VALUE"""),42750.0)</f>
        <v>42750</v>
      </c>
      <c r="D55" s="17">
        <f>IFERROR(__xludf.DUMMYFUNCTION("""COMPUTED_VALUE"""),2.0)</f>
        <v>2</v>
      </c>
      <c r="E55" s="17">
        <f>IFERROR(__xludf.DUMMYFUNCTION("""COMPUTED_VALUE"""),1868.0)</f>
        <v>1868</v>
      </c>
      <c r="F55" s="17">
        <f>IFERROR(__xludf.DUMMYFUNCTION("""COMPUTED_VALUE"""),0.0)</f>
        <v>0</v>
      </c>
      <c r="G55" s="17"/>
      <c r="H55" s="21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tr">
        <f>IFERROR(__xludf.DUMMYFUNCTION("""COMPUTED_VALUE"""),"Chile")</f>
        <v>Chile</v>
      </c>
      <c r="B56" s="54">
        <f>IFERROR(__xludf.DUMMYFUNCTION("""COMPUTED_VALUE"""),42751.0)</f>
        <v>42751</v>
      </c>
      <c r="C56" s="19">
        <f>IFERROR(__xludf.DUMMYFUNCTION("""COMPUTED_VALUE"""),42757.0)</f>
        <v>42757</v>
      </c>
      <c r="D56" s="17">
        <f>IFERROR(__xludf.DUMMYFUNCTION("""COMPUTED_VALUE"""),3.0)</f>
        <v>3</v>
      </c>
      <c r="E56" s="17">
        <f>IFERROR(__xludf.DUMMYFUNCTION("""COMPUTED_VALUE"""),2034.0)</f>
        <v>2034</v>
      </c>
      <c r="F56" s="17">
        <f>IFERROR(__xludf.DUMMYFUNCTION("""COMPUTED_VALUE"""),0.0)</f>
        <v>0</v>
      </c>
      <c r="G56" s="17"/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tr">
        <f>IFERROR(__xludf.DUMMYFUNCTION("""COMPUTED_VALUE"""),"Chile")</f>
        <v>Chile</v>
      </c>
      <c r="B57" s="54">
        <f>IFERROR(__xludf.DUMMYFUNCTION("""COMPUTED_VALUE"""),42758.0)</f>
        <v>42758</v>
      </c>
      <c r="C57" s="19">
        <f>IFERROR(__xludf.DUMMYFUNCTION("""COMPUTED_VALUE"""),42764.0)</f>
        <v>42764</v>
      </c>
      <c r="D57" s="17">
        <f>IFERROR(__xludf.DUMMYFUNCTION("""COMPUTED_VALUE"""),4.0)</f>
        <v>4</v>
      </c>
      <c r="E57" s="17">
        <f>IFERROR(__xludf.DUMMYFUNCTION("""COMPUTED_VALUE"""),2082.0)</f>
        <v>2082</v>
      </c>
      <c r="F57" s="17">
        <f>IFERROR(__xludf.DUMMYFUNCTION("""COMPUTED_VALUE"""),0.0)</f>
        <v>0</v>
      </c>
      <c r="G57" s="17"/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tr">
        <f>IFERROR(__xludf.DUMMYFUNCTION("""COMPUTED_VALUE"""),"Chile")</f>
        <v>Chile</v>
      </c>
      <c r="B58" s="54">
        <f>IFERROR(__xludf.DUMMYFUNCTION("""COMPUTED_VALUE"""),42765.0)</f>
        <v>42765</v>
      </c>
      <c r="C58" s="19">
        <f>IFERROR(__xludf.DUMMYFUNCTION("""COMPUTED_VALUE"""),42771.0)</f>
        <v>42771</v>
      </c>
      <c r="D58" s="17">
        <f>IFERROR(__xludf.DUMMYFUNCTION("""COMPUTED_VALUE"""),5.0)</f>
        <v>5</v>
      </c>
      <c r="E58" s="17">
        <f>IFERROR(__xludf.DUMMYFUNCTION("""COMPUTED_VALUE"""),1891.0)</f>
        <v>1891</v>
      </c>
      <c r="F58" s="17">
        <f>IFERROR(__xludf.DUMMYFUNCTION("""COMPUTED_VALUE"""),0.0)</f>
        <v>0</v>
      </c>
      <c r="G58" s="17"/>
      <c r="H58" s="21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tr">
        <f>IFERROR(__xludf.DUMMYFUNCTION("""COMPUTED_VALUE"""),"Chile")</f>
        <v>Chile</v>
      </c>
      <c r="B59" s="54">
        <f>IFERROR(__xludf.DUMMYFUNCTION("""COMPUTED_VALUE"""),42772.0)</f>
        <v>42772</v>
      </c>
      <c r="C59" s="19">
        <f>IFERROR(__xludf.DUMMYFUNCTION("""COMPUTED_VALUE"""),42778.0)</f>
        <v>42778</v>
      </c>
      <c r="D59" s="17">
        <f>IFERROR(__xludf.DUMMYFUNCTION("""COMPUTED_VALUE"""),6.0)</f>
        <v>6</v>
      </c>
      <c r="E59" s="17">
        <f>IFERROR(__xludf.DUMMYFUNCTION("""COMPUTED_VALUE"""),1788.0)</f>
        <v>1788</v>
      </c>
      <c r="F59" s="17">
        <f>IFERROR(__xludf.DUMMYFUNCTION("""COMPUTED_VALUE"""),0.0)</f>
        <v>0</v>
      </c>
      <c r="G59" s="17"/>
      <c r="H59" s="21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tr">
        <f>IFERROR(__xludf.DUMMYFUNCTION("""COMPUTED_VALUE"""),"Chile")</f>
        <v>Chile</v>
      </c>
      <c r="B60" s="54">
        <f>IFERROR(__xludf.DUMMYFUNCTION("""COMPUTED_VALUE"""),42779.0)</f>
        <v>42779</v>
      </c>
      <c r="C60" s="19">
        <f>IFERROR(__xludf.DUMMYFUNCTION("""COMPUTED_VALUE"""),42785.0)</f>
        <v>42785</v>
      </c>
      <c r="D60" s="17">
        <f>IFERROR(__xludf.DUMMYFUNCTION("""COMPUTED_VALUE"""),7.0)</f>
        <v>7</v>
      </c>
      <c r="E60" s="17">
        <f>IFERROR(__xludf.DUMMYFUNCTION("""COMPUTED_VALUE"""),1813.0)</f>
        <v>1813</v>
      </c>
      <c r="F60" s="17">
        <f>IFERROR(__xludf.DUMMYFUNCTION("""COMPUTED_VALUE"""),0.0)</f>
        <v>0</v>
      </c>
      <c r="G60" s="17"/>
      <c r="H60" s="21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tr">
        <f>IFERROR(__xludf.DUMMYFUNCTION("""COMPUTED_VALUE"""),"Chile")</f>
        <v>Chile</v>
      </c>
      <c r="B61" s="54">
        <f>IFERROR(__xludf.DUMMYFUNCTION("""COMPUTED_VALUE"""),42786.0)</f>
        <v>42786</v>
      </c>
      <c r="C61" s="19">
        <f>IFERROR(__xludf.DUMMYFUNCTION("""COMPUTED_VALUE"""),42792.0)</f>
        <v>42792</v>
      </c>
      <c r="D61" s="17">
        <f>IFERROR(__xludf.DUMMYFUNCTION("""COMPUTED_VALUE"""),8.0)</f>
        <v>8</v>
      </c>
      <c r="E61" s="17">
        <f>IFERROR(__xludf.DUMMYFUNCTION("""COMPUTED_VALUE"""),1969.0)</f>
        <v>1969</v>
      </c>
      <c r="F61" s="17">
        <f>IFERROR(__xludf.DUMMYFUNCTION("""COMPUTED_VALUE"""),0.0)</f>
        <v>0</v>
      </c>
      <c r="G61" s="17"/>
      <c r="H61" s="21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tr">
        <f>IFERROR(__xludf.DUMMYFUNCTION("""COMPUTED_VALUE"""),"Chile")</f>
        <v>Chile</v>
      </c>
      <c r="B62" s="54">
        <f>IFERROR(__xludf.DUMMYFUNCTION("""COMPUTED_VALUE"""),42793.0)</f>
        <v>42793</v>
      </c>
      <c r="C62" s="19">
        <f>IFERROR(__xludf.DUMMYFUNCTION("""COMPUTED_VALUE"""),42799.0)</f>
        <v>42799</v>
      </c>
      <c r="D62" s="17">
        <f>IFERROR(__xludf.DUMMYFUNCTION("""COMPUTED_VALUE"""),9.0)</f>
        <v>9</v>
      </c>
      <c r="E62" s="17">
        <f>IFERROR(__xludf.DUMMYFUNCTION("""COMPUTED_VALUE"""),1730.0)</f>
        <v>1730</v>
      </c>
      <c r="F62" s="17">
        <f>IFERROR(__xludf.DUMMYFUNCTION("""COMPUTED_VALUE"""),0.0)</f>
        <v>0</v>
      </c>
      <c r="G62" s="17"/>
      <c r="H62" s="21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tr">
        <f>IFERROR(__xludf.DUMMYFUNCTION("""COMPUTED_VALUE"""),"Chile")</f>
        <v>Chile</v>
      </c>
      <c r="B63" s="54">
        <f>IFERROR(__xludf.DUMMYFUNCTION("""COMPUTED_VALUE"""),42800.0)</f>
        <v>42800</v>
      </c>
      <c r="C63" s="19">
        <f>IFERROR(__xludf.DUMMYFUNCTION("""COMPUTED_VALUE"""),42806.0)</f>
        <v>42806</v>
      </c>
      <c r="D63" s="17">
        <f>IFERROR(__xludf.DUMMYFUNCTION("""COMPUTED_VALUE"""),10.0)</f>
        <v>10</v>
      </c>
      <c r="E63" s="17">
        <f>IFERROR(__xludf.DUMMYFUNCTION("""COMPUTED_VALUE"""),1739.0)</f>
        <v>1739</v>
      </c>
      <c r="F63" s="17">
        <f>IFERROR(__xludf.DUMMYFUNCTION("""COMPUTED_VALUE"""),0.0)</f>
        <v>0</v>
      </c>
      <c r="G63" s="17"/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tr">
        <f>IFERROR(__xludf.DUMMYFUNCTION("""COMPUTED_VALUE"""),"Chile")</f>
        <v>Chile</v>
      </c>
      <c r="B64" s="54">
        <f>IFERROR(__xludf.DUMMYFUNCTION("""COMPUTED_VALUE"""),42807.0)</f>
        <v>42807</v>
      </c>
      <c r="C64" s="19">
        <f>IFERROR(__xludf.DUMMYFUNCTION("""COMPUTED_VALUE"""),42813.0)</f>
        <v>42813</v>
      </c>
      <c r="D64" s="17">
        <f>IFERROR(__xludf.DUMMYFUNCTION("""COMPUTED_VALUE"""),11.0)</f>
        <v>11</v>
      </c>
      <c r="E64" s="17">
        <f>IFERROR(__xludf.DUMMYFUNCTION("""COMPUTED_VALUE"""),1754.0)</f>
        <v>1754</v>
      </c>
      <c r="F64" s="17">
        <f>IFERROR(__xludf.DUMMYFUNCTION("""COMPUTED_VALUE"""),0.0)</f>
        <v>0</v>
      </c>
      <c r="G64" s="17"/>
      <c r="H64" s="21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tr">
        <f>IFERROR(__xludf.DUMMYFUNCTION("""COMPUTED_VALUE"""),"Chile")</f>
        <v>Chile</v>
      </c>
      <c r="B65" s="54">
        <f>IFERROR(__xludf.DUMMYFUNCTION("""COMPUTED_VALUE"""),42814.0)</f>
        <v>42814</v>
      </c>
      <c r="C65" s="19">
        <f>IFERROR(__xludf.DUMMYFUNCTION("""COMPUTED_VALUE"""),42820.0)</f>
        <v>42820</v>
      </c>
      <c r="D65" s="17">
        <f>IFERROR(__xludf.DUMMYFUNCTION("""COMPUTED_VALUE"""),12.0)</f>
        <v>12</v>
      </c>
      <c r="E65" s="17">
        <f>IFERROR(__xludf.DUMMYFUNCTION("""COMPUTED_VALUE"""),1770.0)</f>
        <v>1770</v>
      </c>
      <c r="F65" s="17">
        <f>IFERROR(__xludf.DUMMYFUNCTION("""COMPUTED_VALUE"""),0.0)</f>
        <v>0</v>
      </c>
      <c r="G65" s="17"/>
      <c r="H65" s="21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tr">
        <f>IFERROR(__xludf.DUMMYFUNCTION("""COMPUTED_VALUE"""),"Chile")</f>
        <v>Chile</v>
      </c>
      <c r="B66" s="54">
        <f>IFERROR(__xludf.DUMMYFUNCTION("""COMPUTED_VALUE"""),42821.0)</f>
        <v>42821</v>
      </c>
      <c r="C66" s="19">
        <f>IFERROR(__xludf.DUMMYFUNCTION("""COMPUTED_VALUE"""),42827.0)</f>
        <v>42827</v>
      </c>
      <c r="D66" s="17">
        <f>IFERROR(__xludf.DUMMYFUNCTION("""COMPUTED_VALUE"""),13.0)</f>
        <v>13</v>
      </c>
      <c r="E66" s="17">
        <f>IFERROR(__xludf.DUMMYFUNCTION("""COMPUTED_VALUE"""),1800.0)</f>
        <v>1800</v>
      </c>
      <c r="F66" s="17">
        <f>IFERROR(__xludf.DUMMYFUNCTION("""COMPUTED_VALUE"""),0.0)</f>
        <v>0</v>
      </c>
      <c r="G66" s="17"/>
      <c r="H66" s="21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tr">
        <f>IFERROR(__xludf.DUMMYFUNCTION("""COMPUTED_VALUE"""),"Chile")</f>
        <v>Chile</v>
      </c>
      <c r="B67" s="54">
        <f>IFERROR(__xludf.DUMMYFUNCTION("""COMPUTED_VALUE"""),42828.0)</f>
        <v>42828</v>
      </c>
      <c r="C67" s="19">
        <f>IFERROR(__xludf.DUMMYFUNCTION("""COMPUTED_VALUE"""),42834.0)</f>
        <v>42834</v>
      </c>
      <c r="D67" s="17">
        <f>IFERROR(__xludf.DUMMYFUNCTION("""COMPUTED_VALUE"""),14.0)</f>
        <v>14</v>
      </c>
      <c r="E67" s="17">
        <f>IFERROR(__xludf.DUMMYFUNCTION("""COMPUTED_VALUE"""),1895.0)</f>
        <v>1895</v>
      </c>
      <c r="F67" s="17">
        <f>IFERROR(__xludf.DUMMYFUNCTION("""COMPUTED_VALUE"""),0.0)</f>
        <v>0</v>
      </c>
      <c r="G67" s="17"/>
      <c r="H67" s="21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tr">
        <f>IFERROR(__xludf.DUMMYFUNCTION("""COMPUTED_VALUE"""),"Chile")</f>
        <v>Chile</v>
      </c>
      <c r="B68" s="54">
        <f>IFERROR(__xludf.DUMMYFUNCTION("""COMPUTED_VALUE"""),42835.0)</f>
        <v>42835</v>
      </c>
      <c r="C68" s="19">
        <f>IFERROR(__xludf.DUMMYFUNCTION("""COMPUTED_VALUE"""),42841.0)</f>
        <v>42841</v>
      </c>
      <c r="D68" s="17">
        <f>IFERROR(__xludf.DUMMYFUNCTION("""COMPUTED_VALUE"""),15.0)</f>
        <v>15</v>
      </c>
      <c r="E68" s="17">
        <f>IFERROR(__xludf.DUMMYFUNCTION("""COMPUTED_VALUE"""),1949.0)</f>
        <v>1949</v>
      </c>
      <c r="F68" s="17">
        <f>IFERROR(__xludf.DUMMYFUNCTION("""COMPUTED_VALUE"""),0.0)</f>
        <v>0</v>
      </c>
      <c r="G68" s="17"/>
      <c r="H68" s="21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tr">
        <f>IFERROR(__xludf.DUMMYFUNCTION("""COMPUTED_VALUE"""),"Chile")</f>
        <v>Chile</v>
      </c>
      <c r="B69" s="54">
        <f>IFERROR(__xludf.DUMMYFUNCTION("""COMPUTED_VALUE"""),42842.0)</f>
        <v>42842</v>
      </c>
      <c r="C69" s="19">
        <f>IFERROR(__xludf.DUMMYFUNCTION("""COMPUTED_VALUE"""),42848.0)</f>
        <v>42848</v>
      </c>
      <c r="D69" s="17">
        <f>IFERROR(__xludf.DUMMYFUNCTION("""COMPUTED_VALUE"""),16.0)</f>
        <v>16</v>
      </c>
      <c r="E69" s="17">
        <f>IFERROR(__xludf.DUMMYFUNCTION("""COMPUTED_VALUE"""),1847.0)</f>
        <v>1847</v>
      </c>
      <c r="F69" s="17">
        <f>IFERROR(__xludf.DUMMYFUNCTION("""COMPUTED_VALUE"""),0.0)</f>
        <v>0</v>
      </c>
      <c r="G69" s="17"/>
      <c r="H69" s="21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tr">
        <f>IFERROR(__xludf.DUMMYFUNCTION("""COMPUTED_VALUE"""),"Chile")</f>
        <v>Chile</v>
      </c>
      <c r="B70" s="54">
        <f>IFERROR(__xludf.DUMMYFUNCTION("""COMPUTED_VALUE"""),42849.0)</f>
        <v>42849</v>
      </c>
      <c r="C70" s="19">
        <f>IFERROR(__xludf.DUMMYFUNCTION("""COMPUTED_VALUE"""),42855.0)</f>
        <v>42855</v>
      </c>
      <c r="D70" s="17">
        <f>IFERROR(__xludf.DUMMYFUNCTION("""COMPUTED_VALUE"""),17.0)</f>
        <v>17</v>
      </c>
      <c r="E70" s="17">
        <f>IFERROR(__xludf.DUMMYFUNCTION("""COMPUTED_VALUE"""),1970.0)</f>
        <v>1970</v>
      </c>
      <c r="F70" s="17">
        <f>IFERROR(__xludf.DUMMYFUNCTION("""COMPUTED_VALUE"""),0.0)</f>
        <v>0</v>
      </c>
      <c r="G70" s="17"/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tr">
        <f>IFERROR(__xludf.DUMMYFUNCTION("""COMPUTED_VALUE"""),"Chile")</f>
        <v>Chile</v>
      </c>
      <c r="B71" s="54">
        <f>IFERROR(__xludf.DUMMYFUNCTION("""COMPUTED_VALUE"""),42856.0)</f>
        <v>42856</v>
      </c>
      <c r="C71" s="19">
        <f>IFERROR(__xludf.DUMMYFUNCTION("""COMPUTED_VALUE"""),42862.0)</f>
        <v>42862</v>
      </c>
      <c r="D71" s="17">
        <f>IFERROR(__xludf.DUMMYFUNCTION("""COMPUTED_VALUE"""),18.0)</f>
        <v>18</v>
      </c>
      <c r="E71" s="17">
        <f>IFERROR(__xludf.DUMMYFUNCTION("""COMPUTED_VALUE"""),1964.0)</f>
        <v>1964</v>
      </c>
      <c r="F71" s="17">
        <f>IFERROR(__xludf.DUMMYFUNCTION("""COMPUTED_VALUE"""),0.0)</f>
        <v>0</v>
      </c>
      <c r="G71" s="17"/>
      <c r="H71" s="21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tr">
        <f>IFERROR(__xludf.DUMMYFUNCTION("""COMPUTED_VALUE"""),"Chile")</f>
        <v>Chile</v>
      </c>
      <c r="B72" s="54">
        <f>IFERROR(__xludf.DUMMYFUNCTION("""COMPUTED_VALUE"""),42863.0)</f>
        <v>42863</v>
      </c>
      <c r="C72" s="19">
        <f>IFERROR(__xludf.DUMMYFUNCTION("""COMPUTED_VALUE"""),42869.0)</f>
        <v>42869</v>
      </c>
      <c r="D72" s="17">
        <f>IFERROR(__xludf.DUMMYFUNCTION("""COMPUTED_VALUE"""),19.0)</f>
        <v>19</v>
      </c>
      <c r="E72" s="17">
        <f>IFERROR(__xludf.DUMMYFUNCTION("""COMPUTED_VALUE"""),1921.0)</f>
        <v>1921</v>
      </c>
      <c r="F72" s="17">
        <f>IFERROR(__xludf.DUMMYFUNCTION("""COMPUTED_VALUE"""),0.0)</f>
        <v>0</v>
      </c>
      <c r="G72" s="17"/>
      <c r="H72" s="21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tr">
        <f>IFERROR(__xludf.DUMMYFUNCTION("""COMPUTED_VALUE"""),"Chile")</f>
        <v>Chile</v>
      </c>
      <c r="B73" s="54">
        <f>IFERROR(__xludf.DUMMYFUNCTION("""COMPUTED_VALUE"""),42870.0)</f>
        <v>42870</v>
      </c>
      <c r="C73" s="19">
        <f>IFERROR(__xludf.DUMMYFUNCTION("""COMPUTED_VALUE"""),42876.0)</f>
        <v>42876</v>
      </c>
      <c r="D73" s="17">
        <f>IFERROR(__xludf.DUMMYFUNCTION("""COMPUTED_VALUE"""),20.0)</f>
        <v>20</v>
      </c>
      <c r="E73" s="17">
        <f>IFERROR(__xludf.DUMMYFUNCTION("""COMPUTED_VALUE"""),2025.0)</f>
        <v>2025</v>
      </c>
      <c r="F73" s="17">
        <f>IFERROR(__xludf.DUMMYFUNCTION("""COMPUTED_VALUE"""),0.0)</f>
        <v>0</v>
      </c>
      <c r="G73" s="17"/>
      <c r="H73" s="21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tr">
        <f>IFERROR(__xludf.DUMMYFUNCTION("""COMPUTED_VALUE"""),"Chile")</f>
        <v>Chile</v>
      </c>
      <c r="B74" s="54">
        <f>IFERROR(__xludf.DUMMYFUNCTION("""COMPUTED_VALUE"""),42877.0)</f>
        <v>42877</v>
      </c>
      <c r="C74" s="19">
        <f>IFERROR(__xludf.DUMMYFUNCTION("""COMPUTED_VALUE"""),42883.0)</f>
        <v>42883</v>
      </c>
      <c r="D74" s="17">
        <f>IFERROR(__xludf.DUMMYFUNCTION("""COMPUTED_VALUE"""),21.0)</f>
        <v>21</v>
      </c>
      <c r="E74" s="17">
        <f>IFERROR(__xludf.DUMMYFUNCTION("""COMPUTED_VALUE"""),2210.0)</f>
        <v>2210</v>
      </c>
      <c r="F74" s="17">
        <f>IFERROR(__xludf.DUMMYFUNCTION("""COMPUTED_VALUE"""),0.0)</f>
        <v>0</v>
      </c>
      <c r="G74" s="17"/>
      <c r="H74" s="21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tr">
        <f>IFERROR(__xludf.DUMMYFUNCTION("""COMPUTED_VALUE"""),"Chile")</f>
        <v>Chile</v>
      </c>
      <c r="B75" s="54">
        <f>IFERROR(__xludf.DUMMYFUNCTION("""COMPUTED_VALUE"""),42884.0)</f>
        <v>42884</v>
      </c>
      <c r="C75" s="19">
        <f>IFERROR(__xludf.DUMMYFUNCTION("""COMPUTED_VALUE"""),42890.0)</f>
        <v>42890</v>
      </c>
      <c r="D75" s="17">
        <f>IFERROR(__xludf.DUMMYFUNCTION("""COMPUTED_VALUE"""),22.0)</f>
        <v>22</v>
      </c>
      <c r="E75" s="17">
        <f>IFERROR(__xludf.DUMMYFUNCTION("""COMPUTED_VALUE"""),2334.0)</f>
        <v>2334</v>
      </c>
      <c r="F75" s="17">
        <f>IFERROR(__xludf.DUMMYFUNCTION("""COMPUTED_VALUE"""),0.0)</f>
        <v>0</v>
      </c>
      <c r="G75" s="17"/>
      <c r="H75" s="21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tr">
        <f>IFERROR(__xludf.DUMMYFUNCTION("""COMPUTED_VALUE"""),"Chile")</f>
        <v>Chile</v>
      </c>
      <c r="B76" s="54">
        <f>IFERROR(__xludf.DUMMYFUNCTION("""COMPUTED_VALUE"""),42891.0)</f>
        <v>42891</v>
      </c>
      <c r="C76" s="19">
        <f>IFERROR(__xludf.DUMMYFUNCTION("""COMPUTED_VALUE"""),42897.0)</f>
        <v>42897</v>
      </c>
      <c r="D76" s="17">
        <f>IFERROR(__xludf.DUMMYFUNCTION("""COMPUTED_VALUE"""),23.0)</f>
        <v>23</v>
      </c>
      <c r="E76" s="17">
        <f>IFERROR(__xludf.DUMMYFUNCTION("""COMPUTED_VALUE"""),2376.0)</f>
        <v>2376</v>
      </c>
      <c r="F76" s="17">
        <f>IFERROR(__xludf.DUMMYFUNCTION("""COMPUTED_VALUE"""),0.0)</f>
        <v>0</v>
      </c>
      <c r="G76" s="17"/>
      <c r="H76" s="21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tr">
        <f>IFERROR(__xludf.DUMMYFUNCTION("""COMPUTED_VALUE"""),"Chile")</f>
        <v>Chile</v>
      </c>
      <c r="B77" s="54">
        <f>IFERROR(__xludf.DUMMYFUNCTION("""COMPUTED_VALUE"""),42898.0)</f>
        <v>42898</v>
      </c>
      <c r="C77" s="19">
        <f>IFERROR(__xludf.DUMMYFUNCTION("""COMPUTED_VALUE"""),42904.0)</f>
        <v>42904</v>
      </c>
      <c r="D77" s="17">
        <f>IFERROR(__xludf.DUMMYFUNCTION("""COMPUTED_VALUE"""),24.0)</f>
        <v>24</v>
      </c>
      <c r="E77" s="17">
        <f>IFERROR(__xludf.DUMMYFUNCTION("""COMPUTED_VALUE"""),2640.0)</f>
        <v>2640</v>
      </c>
      <c r="F77" s="17">
        <f>IFERROR(__xludf.DUMMYFUNCTION("""COMPUTED_VALUE"""),0.0)</f>
        <v>0</v>
      </c>
      <c r="G77" s="17"/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tr">
        <f>IFERROR(__xludf.DUMMYFUNCTION("""COMPUTED_VALUE"""),"Chile")</f>
        <v>Chile</v>
      </c>
      <c r="B78" s="54">
        <f>IFERROR(__xludf.DUMMYFUNCTION("""COMPUTED_VALUE"""),42905.0)</f>
        <v>42905</v>
      </c>
      <c r="C78" s="19">
        <f>IFERROR(__xludf.DUMMYFUNCTION("""COMPUTED_VALUE"""),42911.0)</f>
        <v>42911</v>
      </c>
      <c r="D78" s="17">
        <f>IFERROR(__xludf.DUMMYFUNCTION("""COMPUTED_VALUE"""),25.0)</f>
        <v>25</v>
      </c>
      <c r="E78" s="17">
        <f>IFERROR(__xludf.DUMMYFUNCTION("""COMPUTED_VALUE"""),2639.0)</f>
        <v>2639</v>
      </c>
      <c r="F78" s="17">
        <f>IFERROR(__xludf.DUMMYFUNCTION("""COMPUTED_VALUE"""),0.0)</f>
        <v>0</v>
      </c>
      <c r="G78" s="17"/>
      <c r="H78" s="21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tr">
        <f>IFERROR(__xludf.DUMMYFUNCTION("""COMPUTED_VALUE"""),"Chile")</f>
        <v>Chile</v>
      </c>
      <c r="B79" s="54">
        <f>IFERROR(__xludf.DUMMYFUNCTION("""COMPUTED_VALUE"""),42912.0)</f>
        <v>42912</v>
      </c>
      <c r="C79" s="19">
        <f>IFERROR(__xludf.DUMMYFUNCTION("""COMPUTED_VALUE"""),42918.0)</f>
        <v>42918</v>
      </c>
      <c r="D79" s="17">
        <f>IFERROR(__xludf.DUMMYFUNCTION("""COMPUTED_VALUE"""),26.0)</f>
        <v>26</v>
      </c>
      <c r="E79" s="17">
        <f>IFERROR(__xludf.DUMMYFUNCTION("""COMPUTED_VALUE"""),2525.0)</f>
        <v>2525</v>
      </c>
      <c r="F79" s="17">
        <f>IFERROR(__xludf.DUMMYFUNCTION("""COMPUTED_VALUE"""),0.0)</f>
        <v>0</v>
      </c>
      <c r="G79" s="17"/>
      <c r="H79" s="21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tr">
        <f>IFERROR(__xludf.DUMMYFUNCTION("""COMPUTED_VALUE"""),"Chile")</f>
        <v>Chile</v>
      </c>
      <c r="B80" s="54">
        <f>IFERROR(__xludf.DUMMYFUNCTION("""COMPUTED_VALUE"""),42919.0)</f>
        <v>42919</v>
      </c>
      <c r="C80" s="19">
        <f>IFERROR(__xludf.DUMMYFUNCTION("""COMPUTED_VALUE"""),42925.0)</f>
        <v>42925</v>
      </c>
      <c r="D80" s="17">
        <f>IFERROR(__xludf.DUMMYFUNCTION("""COMPUTED_VALUE"""),27.0)</f>
        <v>27</v>
      </c>
      <c r="E80" s="17">
        <f>IFERROR(__xludf.DUMMYFUNCTION("""COMPUTED_VALUE"""),2387.0)</f>
        <v>2387</v>
      </c>
      <c r="F80" s="17">
        <f>IFERROR(__xludf.DUMMYFUNCTION("""COMPUTED_VALUE"""),0.0)</f>
        <v>0</v>
      </c>
      <c r="G80" s="17"/>
      <c r="H80" s="21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tr">
        <f>IFERROR(__xludf.DUMMYFUNCTION("""COMPUTED_VALUE"""),"Chile")</f>
        <v>Chile</v>
      </c>
      <c r="B81" s="54">
        <f>IFERROR(__xludf.DUMMYFUNCTION("""COMPUTED_VALUE"""),42926.0)</f>
        <v>42926</v>
      </c>
      <c r="C81" s="19">
        <f>IFERROR(__xludf.DUMMYFUNCTION("""COMPUTED_VALUE"""),42932.0)</f>
        <v>42932</v>
      </c>
      <c r="D81" s="17">
        <f>IFERROR(__xludf.DUMMYFUNCTION("""COMPUTED_VALUE"""),28.0)</f>
        <v>28</v>
      </c>
      <c r="E81" s="17">
        <f>IFERROR(__xludf.DUMMYFUNCTION("""COMPUTED_VALUE"""),2308.0)</f>
        <v>2308</v>
      </c>
      <c r="F81" s="17">
        <f>IFERROR(__xludf.DUMMYFUNCTION("""COMPUTED_VALUE"""),0.0)</f>
        <v>0</v>
      </c>
      <c r="G81" s="17"/>
      <c r="H81" s="21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tr">
        <f>IFERROR(__xludf.DUMMYFUNCTION("""COMPUTED_VALUE"""),"Chile")</f>
        <v>Chile</v>
      </c>
      <c r="B82" s="54">
        <f>IFERROR(__xludf.DUMMYFUNCTION("""COMPUTED_VALUE"""),42933.0)</f>
        <v>42933</v>
      </c>
      <c r="C82" s="19">
        <f>IFERROR(__xludf.DUMMYFUNCTION("""COMPUTED_VALUE"""),42939.0)</f>
        <v>42939</v>
      </c>
      <c r="D82" s="17">
        <f>IFERROR(__xludf.DUMMYFUNCTION("""COMPUTED_VALUE"""),29.0)</f>
        <v>29</v>
      </c>
      <c r="E82" s="17">
        <f>IFERROR(__xludf.DUMMYFUNCTION("""COMPUTED_VALUE"""),2419.0)</f>
        <v>2419</v>
      </c>
      <c r="F82" s="17">
        <f>IFERROR(__xludf.DUMMYFUNCTION("""COMPUTED_VALUE"""),0.0)</f>
        <v>0</v>
      </c>
      <c r="G82" s="17"/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tr">
        <f>IFERROR(__xludf.DUMMYFUNCTION("""COMPUTED_VALUE"""),"Chile")</f>
        <v>Chile</v>
      </c>
      <c r="B83" s="54">
        <f>IFERROR(__xludf.DUMMYFUNCTION("""COMPUTED_VALUE"""),42940.0)</f>
        <v>42940</v>
      </c>
      <c r="C83" s="19">
        <f>IFERROR(__xludf.DUMMYFUNCTION("""COMPUTED_VALUE"""),42946.0)</f>
        <v>42946</v>
      </c>
      <c r="D83" s="17">
        <f>IFERROR(__xludf.DUMMYFUNCTION("""COMPUTED_VALUE"""),30.0)</f>
        <v>30</v>
      </c>
      <c r="E83" s="17">
        <f>IFERROR(__xludf.DUMMYFUNCTION("""COMPUTED_VALUE"""),2339.0)</f>
        <v>2339</v>
      </c>
      <c r="F83" s="17">
        <f>IFERROR(__xludf.DUMMYFUNCTION("""COMPUTED_VALUE"""),0.0)</f>
        <v>0</v>
      </c>
      <c r="G83" s="17"/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tr">
        <f>IFERROR(__xludf.DUMMYFUNCTION("""COMPUTED_VALUE"""),"Chile")</f>
        <v>Chile</v>
      </c>
      <c r="B84" s="54">
        <f>IFERROR(__xludf.DUMMYFUNCTION("""COMPUTED_VALUE"""),42947.0)</f>
        <v>42947</v>
      </c>
      <c r="C84" s="19">
        <f>IFERROR(__xludf.DUMMYFUNCTION("""COMPUTED_VALUE"""),42953.0)</f>
        <v>42953</v>
      </c>
      <c r="D84" s="17">
        <f>IFERROR(__xludf.DUMMYFUNCTION("""COMPUTED_VALUE"""),31.0)</f>
        <v>31</v>
      </c>
      <c r="E84" s="17">
        <f>IFERROR(__xludf.DUMMYFUNCTION("""COMPUTED_VALUE"""),2289.0)</f>
        <v>2289</v>
      </c>
      <c r="F84" s="17">
        <f>IFERROR(__xludf.DUMMYFUNCTION("""COMPUTED_VALUE"""),0.0)</f>
        <v>0</v>
      </c>
      <c r="G84" s="17"/>
      <c r="H84" s="21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tr">
        <f>IFERROR(__xludf.DUMMYFUNCTION("""COMPUTED_VALUE"""),"Chile")</f>
        <v>Chile</v>
      </c>
      <c r="B85" s="54">
        <f>IFERROR(__xludf.DUMMYFUNCTION("""COMPUTED_VALUE"""),42954.0)</f>
        <v>42954</v>
      </c>
      <c r="C85" s="19">
        <f>IFERROR(__xludf.DUMMYFUNCTION("""COMPUTED_VALUE"""),42960.0)</f>
        <v>42960</v>
      </c>
      <c r="D85" s="17">
        <f>IFERROR(__xludf.DUMMYFUNCTION("""COMPUTED_VALUE"""),32.0)</f>
        <v>32</v>
      </c>
      <c r="E85" s="17">
        <f>IFERROR(__xludf.DUMMYFUNCTION("""COMPUTED_VALUE"""),2197.0)</f>
        <v>2197</v>
      </c>
      <c r="F85" s="17">
        <f>IFERROR(__xludf.DUMMYFUNCTION("""COMPUTED_VALUE"""),0.0)</f>
        <v>0</v>
      </c>
      <c r="G85" s="17"/>
      <c r="H85" s="21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tr">
        <f>IFERROR(__xludf.DUMMYFUNCTION("""COMPUTED_VALUE"""),"Chile")</f>
        <v>Chile</v>
      </c>
      <c r="B86" s="54">
        <f>IFERROR(__xludf.DUMMYFUNCTION("""COMPUTED_VALUE"""),42961.0)</f>
        <v>42961</v>
      </c>
      <c r="C86" s="19">
        <f>IFERROR(__xludf.DUMMYFUNCTION("""COMPUTED_VALUE"""),42967.0)</f>
        <v>42967</v>
      </c>
      <c r="D86" s="17">
        <f>IFERROR(__xludf.DUMMYFUNCTION("""COMPUTED_VALUE"""),33.0)</f>
        <v>33</v>
      </c>
      <c r="E86" s="17">
        <f>IFERROR(__xludf.DUMMYFUNCTION("""COMPUTED_VALUE"""),2175.0)</f>
        <v>2175</v>
      </c>
      <c r="F86" s="17">
        <f>IFERROR(__xludf.DUMMYFUNCTION("""COMPUTED_VALUE"""),0.0)</f>
        <v>0</v>
      </c>
      <c r="G86" s="17"/>
      <c r="H86" s="21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tr">
        <f>IFERROR(__xludf.DUMMYFUNCTION("""COMPUTED_VALUE"""),"Chile")</f>
        <v>Chile</v>
      </c>
      <c r="B87" s="54">
        <f>IFERROR(__xludf.DUMMYFUNCTION("""COMPUTED_VALUE"""),42968.0)</f>
        <v>42968</v>
      </c>
      <c r="C87" s="19">
        <f>IFERROR(__xludf.DUMMYFUNCTION("""COMPUTED_VALUE"""),42974.0)</f>
        <v>42974</v>
      </c>
      <c r="D87" s="17">
        <f>IFERROR(__xludf.DUMMYFUNCTION("""COMPUTED_VALUE"""),34.0)</f>
        <v>34</v>
      </c>
      <c r="E87" s="17">
        <f>IFERROR(__xludf.DUMMYFUNCTION("""COMPUTED_VALUE"""),2121.0)</f>
        <v>2121</v>
      </c>
      <c r="F87" s="17">
        <f>IFERROR(__xludf.DUMMYFUNCTION("""COMPUTED_VALUE"""),0.0)</f>
        <v>0</v>
      </c>
      <c r="G87" s="17"/>
      <c r="H87" s="21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tr">
        <f>IFERROR(__xludf.DUMMYFUNCTION("""COMPUTED_VALUE"""),"Chile")</f>
        <v>Chile</v>
      </c>
      <c r="B88" s="54">
        <f>IFERROR(__xludf.DUMMYFUNCTION("""COMPUTED_VALUE"""),42975.0)</f>
        <v>42975</v>
      </c>
      <c r="C88" s="19">
        <f>IFERROR(__xludf.DUMMYFUNCTION("""COMPUTED_VALUE"""),42981.0)</f>
        <v>42981</v>
      </c>
      <c r="D88" s="17">
        <f>IFERROR(__xludf.DUMMYFUNCTION("""COMPUTED_VALUE"""),35.0)</f>
        <v>35</v>
      </c>
      <c r="E88" s="17">
        <f>IFERROR(__xludf.DUMMYFUNCTION("""COMPUTED_VALUE"""),2146.0)</f>
        <v>2146</v>
      </c>
      <c r="F88" s="17">
        <f>IFERROR(__xludf.DUMMYFUNCTION("""COMPUTED_VALUE"""),0.0)</f>
        <v>0</v>
      </c>
      <c r="G88" s="17"/>
      <c r="H88" s="21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tr">
        <f>IFERROR(__xludf.DUMMYFUNCTION("""COMPUTED_VALUE"""),"Chile")</f>
        <v>Chile</v>
      </c>
      <c r="B89" s="54">
        <f>IFERROR(__xludf.DUMMYFUNCTION("""COMPUTED_VALUE"""),42982.0)</f>
        <v>42982</v>
      </c>
      <c r="C89" s="19">
        <f>IFERROR(__xludf.DUMMYFUNCTION("""COMPUTED_VALUE"""),42988.0)</f>
        <v>42988</v>
      </c>
      <c r="D89" s="17">
        <f>IFERROR(__xludf.DUMMYFUNCTION("""COMPUTED_VALUE"""),36.0)</f>
        <v>36</v>
      </c>
      <c r="E89" s="17">
        <f>IFERROR(__xludf.DUMMYFUNCTION("""COMPUTED_VALUE"""),2106.0)</f>
        <v>2106</v>
      </c>
      <c r="F89" s="17">
        <f>IFERROR(__xludf.DUMMYFUNCTION("""COMPUTED_VALUE"""),0.0)</f>
        <v>0</v>
      </c>
      <c r="G89" s="17"/>
      <c r="H89" s="21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tr">
        <f>IFERROR(__xludf.DUMMYFUNCTION("""COMPUTED_VALUE"""),"Chile")</f>
        <v>Chile</v>
      </c>
      <c r="B90" s="54">
        <f>IFERROR(__xludf.DUMMYFUNCTION("""COMPUTED_VALUE"""),42989.0)</f>
        <v>42989</v>
      </c>
      <c r="C90" s="19">
        <f>IFERROR(__xludf.DUMMYFUNCTION("""COMPUTED_VALUE"""),42995.0)</f>
        <v>42995</v>
      </c>
      <c r="D90" s="17">
        <f>IFERROR(__xludf.DUMMYFUNCTION("""COMPUTED_VALUE"""),37.0)</f>
        <v>37</v>
      </c>
      <c r="E90" s="17">
        <f>IFERROR(__xludf.DUMMYFUNCTION("""COMPUTED_VALUE"""),2181.0)</f>
        <v>2181</v>
      </c>
      <c r="F90" s="17">
        <f>IFERROR(__xludf.DUMMYFUNCTION("""COMPUTED_VALUE"""),0.0)</f>
        <v>0</v>
      </c>
      <c r="G90" s="17"/>
      <c r="H90" s="21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tr">
        <f>IFERROR(__xludf.DUMMYFUNCTION("""COMPUTED_VALUE"""),"Chile")</f>
        <v>Chile</v>
      </c>
      <c r="B91" s="54">
        <f>IFERROR(__xludf.DUMMYFUNCTION("""COMPUTED_VALUE"""),42996.0)</f>
        <v>42996</v>
      </c>
      <c r="C91" s="19">
        <f>IFERROR(__xludf.DUMMYFUNCTION("""COMPUTED_VALUE"""),43002.0)</f>
        <v>43002</v>
      </c>
      <c r="D91" s="17">
        <f>IFERROR(__xludf.DUMMYFUNCTION("""COMPUTED_VALUE"""),38.0)</f>
        <v>38</v>
      </c>
      <c r="E91" s="17">
        <f>IFERROR(__xludf.DUMMYFUNCTION("""COMPUTED_VALUE"""),2258.0)</f>
        <v>2258</v>
      </c>
      <c r="F91" s="17">
        <f>IFERROR(__xludf.DUMMYFUNCTION("""COMPUTED_VALUE"""),0.0)</f>
        <v>0</v>
      </c>
      <c r="G91" s="17"/>
      <c r="H91" s="21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tr">
        <f>IFERROR(__xludf.DUMMYFUNCTION("""COMPUTED_VALUE"""),"Chile")</f>
        <v>Chile</v>
      </c>
      <c r="B92" s="54">
        <f>IFERROR(__xludf.DUMMYFUNCTION("""COMPUTED_VALUE"""),43003.0)</f>
        <v>43003</v>
      </c>
      <c r="C92" s="19">
        <f>IFERROR(__xludf.DUMMYFUNCTION("""COMPUTED_VALUE"""),43009.0)</f>
        <v>43009</v>
      </c>
      <c r="D92" s="17">
        <f>IFERROR(__xludf.DUMMYFUNCTION("""COMPUTED_VALUE"""),39.0)</f>
        <v>39</v>
      </c>
      <c r="E92" s="17">
        <f>IFERROR(__xludf.DUMMYFUNCTION("""COMPUTED_VALUE"""),2102.0)</f>
        <v>2102</v>
      </c>
      <c r="F92" s="17">
        <f>IFERROR(__xludf.DUMMYFUNCTION("""COMPUTED_VALUE"""),0.0)</f>
        <v>0</v>
      </c>
      <c r="G92" s="17"/>
      <c r="H92" s="21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tr">
        <f>IFERROR(__xludf.DUMMYFUNCTION("""COMPUTED_VALUE"""),"Chile")</f>
        <v>Chile</v>
      </c>
      <c r="B93" s="54">
        <f>IFERROR(__xludf.DUMMYFUNCTION("""COMPUTED_VALUE"""),43010.0)</f>
        <v>43010</v>
      </c>
      <c r="C93" s="19">
        <f>IFERROR(__xludf.DUMMYFUNCTION("""COMPUTED_VALUE"""),43016.0)</f>
        <v>43016</v>
      </c>
      <c r="D93" s="17">
        <f>IFERROR(__xludf.DUMMYFUNCTION("""COMPUTED_VALUE"""),40.0)</f>
        <v>40</v>
      </c>
      <c r="E93" s="17">
        <f>IFERROR(__xludf.DUMMYFUNCTION("""COMPUTED_VALUE"""),2088.0)</f>
        <v>2088</v>
      </c>
      <c r="F93" s="17">
        <f>IFERROR(__xludf.DUMMYFUNCTION("""COMPUTED_VALUE"""),0.0)</f>
        <v>0</v>
      </c>
      <c r="G93" s="17"/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tr">
        <f>IFERROR(__xludf.DUMMYFUNCTION("""COMPUTED_VALUE"""),"Chile")</f>
        <v>Chile</v>
      </c>
      <c r="B94" s="54">
        <f>IFERROR(__xludf.DUMMYFUNCTION("""COMPUTED_VALUE"""),43017.0)</f>
        <v>43017</v>
      </c>
      <c r="C94" s="19">
        <f>IFERROR(__xludf.DUMMYFUNCTION("""COMPUTED_VALUE"""),43023.0)</f>
        <v>43023</v>
      </c>
      <c r="D94" s="17">
        <f>IFERROR(__xludf.DUMMYFUNCTION("""COMPUTED_VALUE"""),41.0)</f>
        <v>41</v>
      </c>
      <c r="E94" s="17">
        <f>IFERROR(__xludf.DUMMYFUNCTION("""COMPUTED_VALUE"""),1987.0)</f>
        <v>1987</v>
      </c>
      <c r="F94" s="17">
        <f>IFERROR(__xludf.DUMMYFUNCTION("""COMPUTED_VALUE"""),0.0)</f>
        <v>0</v>
      </c>
      <c r="G94" s="17"/>
      <c r="H94" s="21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tr">
        <f>IFERROR(__xludf.DUMMYFUNCTION("""COMPUTED_VALUE"""),"Chile")</f>
        <v>Chile</v>
      </c>
      <c r="B95" s="54">
        <f>IFERROR(__xludf.DUMMYFUNCTION("""COMPUTED_VALUE"""),43024.0)</f>
        <v>43024</v>
      </c>
      <c r="C95" s="19">
        <f>IFERROR(__xludf.DUMMYFUNCTION("""COMPUTED_VALUE"""),43030.0)</f>
        <v>43030</v>
      </c>
      <c r="D95" s="17">
        <f>IFERROR(__xludf.DUMMYFUNCTION("""COMPUTED_VALUE"""),42.0)</f>
        <v>42</v>
      </c>
      <c r="E95" s="17">
        <f>IFERROR(__xludf.DUMMYFUNCTION("""COMPUTED_VALUE"""),1965.0)</f>
        <v>1965</v>
      </c>
      <c r="F95" s="17">
        <f>IFERROR(__xludf.DUMMYFUNCTION("""COMPUTED_VALUE"""),0.0)</f>
        <v>0</v>
      </c>
      <c r="G95" s="17"/>
      <c r="H95" s="21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tr">
        <f>IFERROR(__xludf.DUMMYFUNCTION("""COMPUTED_VALUE"""),"Chile")</f>
        <v>Chile</v>
      </c>
      <c r="B96" s="54">
        <f>IFERROR(__xludf.DUMMYFUNCTION("""COMPUTED_VALUE"""),43031.0)</f>
        <v>43031</v>
      </c>
      <c r="C96" s="19">
        <f>IFERROR(__xludf.DUMMYFUNCTION("""COMPUTED_VALUE"""),43037.0)</f>
        <v>43037</v>
      </c>
      <c r="D96" s="17">
        <f>IFERROR(__xludf.DUMMYFUNCTION("""COMPUTED_VALUE"""),43.0)</f>
        <v>43</v>
      </c>
      <c r="E96" s="17">
        <f>IFERROR(__xludf.DUMMYFUNCTION("""COMPUTED_VALUE"""),1871.0)</f>
        <v>1871</v>
      </c>
      <c r="F96" s="17">
        <f>IFERROR(__xludf.DUMMYFUNCTION("""COMPUTED_VALUE"""),0.0)</f>
        <v>0</v>
      </c>
      <c r="G96" s="17"/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tr">
        <f>IFERROR(__xludf.DUMMYFUNCTION("""COMPUTED_VALUE"""),"Chile")</f>
        <v>Chile</v>
      </c>
      <c r="B97" s="54">
        <f>IFERROR(__xludf.DUMMYFUNCTION("""COMPUTED_VALUE"""),43038.0)</f>
        <v>43038</v>
      </c>
      <c r="C97" s="19">
        <f>IFERROR(__xludf.DUMMYFUNCTION("""COMPUTED_VALUE"""),43044.0)</f>
        <v>43044</v>
      </c>
      <c r="D97" s="17">
        <f>IFERROR(__xludf.DUMMYFUNCTION("""COMPUTED_VALUE"""),44.0)</f>
        <v>44</v>
      </c>
      <c r="E97" s="17">
        <f>IFERROR(__xludf.DUMMYFUNCTION("""COMPUTED_VALUE"""),1836.0)</f>
        <v>1836</v>
      </c>
      <c r="F97" s="17">
        <f>IFERROR(__xludf.DUMMYFUNCTION("""COMPUTED_VALUE"""),0.0)</f>
        <v>0</v>
      </c>
      <c r="G97" s="17"/>
      <c r="H97" s="21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tr">
        <f>IFERROR(__xludf.DUMMYFUNCTION("""COMPUTED_VALUE"""),"Chile")</f>
        <v>Chile</v>
      </c>
      <c r="B98" s="54">
        <f>IFERROR(__xludf.DUMMYFUNCTION("""COMPUTED_VALUE"""),43045.0)</f>
        <v>43045</v>
      </c>
      <c r="C98" s="19">
        <f>IFERROR(__xludf.DUMMYFUNCTION("""COMPUTED_VALUE"""),43051.0)</f>
        <v>43051</v>
      </c>
      <c r="D98" s="17">
        <f>IFERROR(__xludf.DUMMYFUNCTION("""COMPUTED_VALUE"""),45.0)</f>
        <v>45</v>
      </c>
      <c r="E98" s="17">
        <f>IFERROR(__xludf.DUMMYFUNCTION("""COMPUTED_VALUE"""),1977.0)</f>
        <v>1977</v>
      </c>
      <c r="F98" s="17">
        <f>IFERROR(__xludf.DUMMYFUNCTION("""COMPUTED_VALUE"""),0.0)</f>
        <v>0</v>
      </c>
      <c r="G98" s="17"/>
      <c r="H98" s="21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tr">
        <f>IFERROR(__xludf.DUMMYFUNCTION("""COMPUTED_VALUE"""),"Chile")</f>
        <v>Chile</v>
      </c>
      <c r="B99" s="54">
        <f>IFERROR(__xludf.DUMMYFUNCTION("""COMPUTED_VALUE"""),43052.0)</f>
        <v>43052</v>
      </c>
      <c r="C99" s="19">
        <f>IFERROR(__xludf.DUMMYFUNCTION("""COMPUTED_VALUE"""),43058.0)</f>
        <v>43058</v>
      </c>
      <c r="D99" s="17">
        <f>IFERROR(__xludf.DUMMYFUNCTION("""COMPUTED_VALUE"""),46.0)</f>
        <v>46</v>
      </c>
      <c r="E99" s="17">
        <f>IFERROR(__xludf.DUMMYFUNCTION("""COMPUTED_VALUE"""),1826.0)</f>
        <v>1826</v>
      </c>
      <c r="F99" s="17">
        <f>IFERROR(__xludf.DUMMYFUNCTION("""COMPUTED_VALUE"""),0.0)</f>
        <v>0</v>
      </c>
      <c r="G99" s="17"/>
      <c r="H99" s="21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tr">
        <f>IFERROR(__xludf.DUMMYFUNCTION("""COMPUTED_VALUE"""),"Chile")</f>
        <v>Chile</v>
      </c>
      <c r="B100" s="54">
        <f>IFERROR(__xludf.DUMMYFUNCTION("""COMPUTED_VALUE"""),43059.0)</f>
        <v>43059</v>
      </c>
      <c r="C100" s="19">
        <f>IFERROR(__xludf.DUMMYFUNCTION("""COMPUTED_VALUE"""),43065.0)</f>
        <v>43065</v>
      </c>
      <c r="D100" s="17">
        <f>IFERROR(__xludf.DUMMYFUNCTION("""COMPUTED_VALUE"""),47.0)</f>
        <v>47</v>
      </c>
      <c r="E100" s="17">
        <f>IFERROR(__xludf.DUMMYFUNCTION("""COMPUTED_VALUE"""),1936.0)</f>
        <v>1936</v>
      </c>
      <c r="F100" s="17">
        <f>IFERROR(__xludf.DUMMYFUNCTION("""COMPUTED_VALUE"""),0.0)</f>
        <v>0</v>
      </c>
      <c r="G100" s="17"/>
      <c r="H100" s="21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tr">
        <f>IFERROR(__xludf.DUMMYFUNCTION("""COMPUTED_VALUE"""),"Chile")</f>
        <v>Chile</v>
      </c>
      <c r="B101" s="54">
        <f>IFERROR(__xludf.DUMMYFUNCTION("""COMPUTED_VALUE"""),43066.0)</f>
        <v>43066</v>
      </c>
      <c r="C101" s="19">
        <f>IFERROR(__xludf.DUMMYFUNCTION("""COMPUTED_VALUE"""),43072.0)</f>
        <v>43072</v>
      </c>
      <c r="D101" s="17">
        <f>IFERROR(__xludf.DUMMYFUNCTION("""COMPUTED_VALUE"""),48.0)</f>
        <v>48</v>
      </c>
      <c r="E101" s="17">
        <f>IFERROR(__xludf.DUMMYFUNCTION("""COMPUTED_VALUE"""),1852.0)</f>
        <v>1852</v>
      </c>
      <c r="F101" s="17">
        <f>IFERROR(__xludf.DUMMYFUNCTION("""COMPUTED_VALUE"""),0.0)</f>
        <v>0</v>
      </c>
      <c r="G101" s="17"/>
      <c r="H101" s="21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tr">
        <f>IFERROR(__xludf.DUMMYFUNCTION("""COMPUTED_VALUE"""),"Chile")</f>
        <v>Chile</v>
      </c>
      <c r="B102" s="54">
        <f>IFERROR(__xludf.DUMMYFUNCTION("""COMPUTED_VALUE"""),43073.0)</f>
        <v>43073</v>
      </c>
      <c r="C102" s="19">
        <f>IFERROR(__xludf.DUMMYFUNCTION("""COMPUTED_VALUE"""),43079.0)</f>
        <v>43079</v>
      </c>
      <c r="D102" s="17">
        <f>IFERROR(__xludf.DUMMYFUNCTION("""COMPUTED_VALUE"""),49.0)</f>
        <v>49</v>
      </c>
      <c r="E102" s="17">
        <f>IFERROR(__xludf.DUMMYFUNCTION("""COMPUTED_VALUE"""),1862.0)</f>
        <v>1862</v>
      </c>
      <c r="F102" s="17">
        <f>IFERROR(__xludf.DUMMYFUNCTION("""COMPUTED_VALUE"""),0.0)</f>
        <v>0</v>
      </c>
      <c r="G102" s="17"/>
      <c r="H102" s="21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tr">
        <f>IFERROR(__xludf.DUMMYFUNCTION("""COMPUTED_VALUE"""),"Chile")</f>
        <v>Chile</v>
      </c>
      <c r="B103" s="54">
        <f>IFERROR(__xludf.DUMMYFUNCTION("""COMPUTED_VALUE"""),43080.0)</f>
        <v>43080</v>
      </c>
      <c r="C103" s="19">
        <f>IFERROR(__xludf.DUMMYFUNCTION("""COMPUTED_VALUE"""),43086.0)</f>
        <v>43086</v>
      </c>
      <c r="D103" s="17">
        <f>IFERROR(__xludf.DUMMYFUNCTION("""COMPUTED_VALUE"""),50.0)</f>
        <v>50</v>
      </c>
      <c r="E103" s="17">
        <f>IFERROR(__xludf.DUMMYFUNCTION("""COMPUTED_VALUE"""),1895.0)</f>
        <v>1895</v>
      </c>
      <c r="F103" s="17">
        <f>IFERROR(__xludf.DUMMYFUNCTION("""COMPUTED_VALUE"""),0.0)</f>
        <v>0</v>
      </c>
      <c r="G103" s="17"/>
      <c r="H103" s="21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tr">
        <f>IFERROR(__xludf.DUMMYFUNCTION("""COMPUTED_VALUE"""),"Chile")</f>
        <v>Chile</v>
      </c>
      <c r="B104" s="54">
        <f>IFERROR(__xludf.DUMMYFUNCTION("""COMPUTED_VALUE"""),43087.0)</f>
        <v>43087</v>
      </c>
      <c r="C104" s="19">
        <f>IFERROR(__xludf.DUMMYFUNCTION("""COMPUTED_VALUE"""),43093.0)</f>
        <v>43093</v>
      </c>
      <c r="D104" s="17">
        <f>IFERROR(__xludf.DUMMYFUNCTION("""COMPUTED_VALUE"""),51.0)</f>
        <v>51</v>
      </c>
      <c r="E104" s="17">
        <f>IFERROR(__xludf.DUMMYFUNCTION("""COMPUTED_VALUE"""),1804.0)</f>
        <v>1804</v>
      </c>
      <c r="F104" s="17">
        <f>IFERROR(__xludf.DUMMYFUNCTION("""COMPUTED_VALUE"""),0.0)</f>
        <v>0</v>
      </c>
      <c r="G104" s="17"/>
      <c r="H104" s="21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tr">
        <f>IFERROR(__xludf.DUMMYFUNCTION("""COMPUTED_VALUE"""),"Chile")</f>
        <v>Chile</v>
      </c>
      <c r="B105" s="54">
        <f>IFERROR(__xludf.DUMMYFUNCTION("""COMPUTED_VALUE"""),43094.0)</f>
        <v>43094</v>
      </c>
      <c r="C105" s="19">
        <f>IFERROR(__xludf.DUMMYFUNCTION("""COMPUTED_VALUE"""),43100.0)</f>
        <v>43100</v>
      </c>
      <c r="D105" s="17">
        <f>IFERROR(__xludf.DUMMYFUNCTION("""COMPUTED_VALUE"""),52.0)</f>
        <v>52</v>
      </c>
      <c r="E105" s="17">
        <f>IFERROR(__xludf.DUMMYFUNCTION("""COMPUTED_VALUE"""),1707.0)</f>
        <v>1707</v>
      </c>
      <c r="F105" s="17">
        <f>IFERROR(__xludf.DUMMYFUNCTION("""COMPUTED_VALUE"""),0.0)</f>
        <v>0</v>
      </c>
      <c r="G105" s="17"/>
      <c r="H105" s="21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tr">
        <f>IFERROR(__xludf.DUMMYFUNCTION("""COMPUTED_VALUE"""),"Chile")</f>
        <v>Chile</v>
      </c>
      <c r="B106" s="54">
        <f>IFERROR(__xludf.DUMMYFUNCTION("""COMPUTED_VALUE"""),43101.0)</f>
        <v>43101</v>
      </c>
      <c r="C106" s="19">
        <f>IFERROR(__xludf.DUMMYFUNCTION("""COMPUTED_VALUE"""),43107.0)</f>
        <v>43107</v>
      </c>
      <c r="D106" s="17">
        <f>IFERROR(__xludf.DUMMYFUNCTION("""COMPUTED_VALUE"""),1.0)</f>
        <v>1</v>
      </c>
      <c r="E106" s="17">
        <f>IFERROR(__xludf.DUMMYFUNCTION("""COMPUTED_VALUE"""),1946.0)</f>
        <v>1946</v>
      </c>
      <c r="F106" s="17">
        <f>IFERROR(__xludf.DUMMYFUNCTION("""COMPUTED_VALUE"""),0.0)</f>
        <v>0</v>
      </c>
      <c r="G106" s="17"/>
      <c r="H106" s="21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tr">
        <f>IFERROR(__xludf.DUMMYFUNCTION("""COMPUTED_VALUE"""),"Chile")</f>
        <v>Chile</v>
      </c>
      <c r="B107" s="54">
        <f>IFERROR(__xludf.DUMMYFUNCTION("""COMPUTED_VALUE"""),43108.0)</f>
        <v>43108</v>
      </c>
      <c r="C107" s="19">
        <f>IFERROR(__xludf.DUMMYFUNCTION("""COMPUTED_VALUE"""),43114.0)</f>
        <v>43114</v>
      </c>
      <c r="D107" s="17">
        <f>IFERROR(__xludf.DUMMYFUNCTION("""COMPUTED_VALUE"""),2.0)</f>
        <v>2</v>
      </c>
      <c r="E107" s="17">
        <f>IFERROR(__xludf.DUMMYFUNCTION("""COMPUTED_VALUE"""),1804.0)</f>
        <v>1804</v>
      </c>
      <c r="F107" s="17">
        <f>IFERROR(__xludf.DUMMYFUNCTION("""COMPUTED_VALUE"""),0.0)</f>
        <v>0</v>
      </c>
      <c r="G107" s="17"/>
      <c r="H107" s="21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tr">
        <f>IFERROR(__xludf.DUMMYFUNCTION("""COMPUTED_VALUE"""),"Chile")</f>
        <v>Chile</v>
      </c>
      <c r="B108" s="54">
        <f>IFERROR(__xludf.DUMMYFUNCTION("""COMPUTED_VALUE"""),43115.0)</f>
        <v>43115</v>
      </c>
      <c r="C108" s="19">
        <f>IFERROR(__xludf.DUMMYFUNCTION("""COMPUTED_VALUE"""),43121.0)</f>
        <v>43121</v>
      </c>
      <c r="D108" s="17">
        <f>IFERROR(__xludf.DUMMYFUNCTION("""COMPUTED_VALUE"""),3.0)</f>
        <v>3</v>
      </c>
      <c r="E108" s="17">
        <f>IFERROR(__xludf.DUMMYFUNCTION("""COMPUTED_VALUE"""),1804.0)</f>
        <v>1804</v>
      </c>
      <c r="F108" s="17">
        <f>IFERROR(__xludf.DUMMYFUNCTION("""COMPUTED_VALUE"""),0.0)</f>
        <v>0</v>
      </c>
      <c r="G108" s="17"/>
      <c r="H108" s="21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tr">
        <f>IFERROR(__xludf.DUMMYFUNCTION("""COMPUTED_VALUE"""),"Chile")</f>
        <v>Chile</v>
      </c>
      <c r="B109" s="54">
        <f>IFERROR(__xludf.DUMMYFUNCTION("""COMPUTED_VALUE"""),43122.0)</f>
        <v>43122</v>
      </c>
      <c r="C109" s="19">
        <f>IFERROR(__xludf.DUMMYFUNCTION("""COMPUTED_VALUE"""),43128.0)</f>
        <v>43128</v>
      </c>
      <c r="D109" s="17">
        <f>IFERROR(__xludf.DUMMYFUNCTION("""COMPUTED_VALUE"""),4.0)</f>
        <v>4</v>
      </c>
      <c r="E109" s="17">
        <f>IFERROR(__xludf.DUMMYFUNCTION("""COMPUTED_VALUE"""),1776.0)</f>
        <v>1776</v>
      </c>
      <c r="F109" s="17">
        <f>IFERROR(__xludf.DUMMYFUNCTION("""COMPUTED_VALUE"""),0.0)</f>
        <v>0</v>
      </c>
      <c r="G109" s="17"/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tr">
        <f>IFERROR(__xludf.DUMMYFUNCTION("""COMPUTED_VALUE"""),"Chile")</f>
        <v>Chile</v>
      </c>
      <c r="B110" s="54">
        <f>IFERROR(__xludf.DUMMYFUNCTION("""COMPUTED_VALUE"""),43129.0)</f>
        <v>43129</v>
      </c>
      <c r="C110" s="19">
        <f>IFERROR(__xludf.DUMMYFUNCTION("""COMPUTED_VALUE"""),43135.0)</f>
        <v>43135</v>
      </c>
      <c r="D110" s="17">
        <f>IFERROR(__xludf.DUMMYFUNCTION("""COMPUTED_VALUE"""),5.0)</f>
        <v>5</v>
      </c>
      <c r="E110" s="17">
        <f>IFERROR(__xludf.DUMMYFUNCTION("""COMPUTED_VALUE"""),1895.0)</f>
        <v>1895</v>
      </c>
      <c r="F110" s="17">
        <f>IFERROR(__xludf.DUMMYFUNCTION("""COMPUTED_VALUE"""),0.0)</f>
        <v>0</v>
      </c>
      <c r="G110" s="17"/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tr">
        <f>IFERROR(__xludf.DUMMYFUNCTION("""COMPUTED_VALUE"""),"Chile")</f>
        <v>Chile</v>
      </c>
      <c r="B111" s="54">
        <f>IFERROR(__xludf.DUMMYFUNCTION("""COMPUTED_VALUE"""),43136.0)</f>
        <v>43136</v>
      </c>
      <c r="C111" s="19">
        <f>IFERROR(__xludf.DUMMYFUNCTION("""COMPUTED_VALUE"""),43142.0)</f>
        <v>43142</v>
      </c>
      <c r="D111" s="17">
        <f>IFERROR(__xludf.DUMMYFUNCTION("""COMPUTED_VALUE"""),6.0)</f>
        <v>6</v>
      </c>
      <c r="E111" s="17">
        <f>IFERROR(__xludf.DUMMYFUNCTION("""COMPUTED_VALUE"""),1817.0)</f>
        <v>1817</v>
      </c>
      <c r="F111" s="17">
        <f>IFERROR(__xludf.DUMMYFUNCTION("""COMPUTED_VALUE"""),0.0)</f>
        <v>0</v>
      </c>
      <c r="G111" s="17"/>
      <c r="H111" s="21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tr">
        <f>IFERROR(__xludf.DUMMYFUNCTION("""COMPUTED_VALUE"""),"Chile")</f>
        <v>Chile</v>
      </c>
      <c r="B112" s="54">
        <f>IFERROR(__xludf.DUMMYFUNCTION("""COMPUTED_VALUE"""),43143.0)</f>
        <v>43143</v>
      </c>
      <c r="C112" s="19">
        <f>IFERROR(__xludf.DUMMYFUNCTION("""COMPUTED_VALUE"""),43149.0)</f>
        <v>43149</v>
      </c>
      <c r="D112" s="17">
        <f>IFERROR(__xludf.DUMMYFUNCTION("""COMPUTED_VALUE"""),7.0)</f>
        <v>7</v>
      </c>
      <c r="E112" s="17">
        <f>IFERROR(__xludf.DUMMYFUNCTION("""COMPUTED_VALUE"""),1885.0)</f>
        <v>1885</v>
      </c>
      <c r="F112" s="17">
        <f>IFERROR(__xludf.DUMMYFUNCTION("""COMPUTED_VALUE"""),0.0)</f>
        <v>0</v>
      </c>
      <c r="G112" s="17"/>
      <c r="H112" s="21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tr">
        <f>IFERROR(__xludf.DUMMYFUNCTION("""COMPUTED_VALUE"""),"Chile")</f>
        <v>Chile</v>
      </c>
      <c r="B113" s="54">
        <f>IFERROR(__xludf.DUMMYFUNCTION("""COMPUTED_VALUE"""),43150.0)</f>
        <v>43150</v>
      </c>
      <c r="C113" s="19">
        <f>IFERROR(__xludf.DUMMYFUNCTION("""COMPUTED_VALUE"""),43156.0)</f>
        <v>43156</v>
      </c>
      <c r="D113" s="17">
        <f>IFERROR(__xludf.DUMMYFUNCTION("""COMPUTED_VALUE"""),8.0)</f>
        <v>8</v>
      </c>
      <c r="E113" s="17">
        <f>IFERROR(__xludf.DUMMYFUNCTION("""COMPUTED_VALUE"""),1809.0)</f>
        <v>1809</v>
      </c>
      <c r="F113" s="17">
        <f>IFERROR(__xludf.DUMMYFUNCTION("""COMPUTED_VALUE"""),0.0)</f>
        <v>0</v>
      </c>
      <c r="G113" s="17"/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tr">
        <f>IFERROR(__xludf.DUMMYFUNCTION("""COMPUTED_VALUE"""),"Chile")</f>
        <v>Chile</v>
      </c>
      <c r="B114" s="54">
        <f>IFERROR(__xludf.DUMMYFUNCTION("""COMPUTED_VALUE"""),43157.0)</f>
        <v>43157</v>
      </c>
      <c r="C114" s="19">
        <f>IFERROR(__xludf.DUMMYFUNCTION("""COMPUTED_VALUE"""),43163.0)</f>
        <v>43163</v>
      </c>
      <c r="D114" s="17">
        <f>IFERROR(__xludf.DUMMYFUNCTION("""COMPUTED_VALUE"""),9.0)</f>
        <v>9</v>
      </c>
      <c r="E114" s="17">
        <f>IFERROR(__xludf.DUMMYFUNCTION("""COMPUTED_VALUE"""),1782.0)</f>
        <v>1782</v>
      </c>
      <c r="F114" s="17">
        <f>IFERROR(__xludf.DUMMYFUNCTION("""COMPUTED_VALUE"""),0.0)</f>
        <v>0</v>
      </c>
      <c r="G114" s="17"/>
      <c r="H114" s="21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tr">
        <f>IFERROR(__xludf.DUMMYFUNCTION("""COMPUTED_VALUE"""),"Chile")</f>
        <v>Chile</v>
      </c>
      <c r="B115" s="54">
        <f>IFERROR(__xludf.DUMMYFUNCTION("""COMPUTED_VALUE"""),43164.0)</f>
        <v>43164</v>
      </c>
      <c r="C115" s="19">
        <f>IFERROR(__xludf.DUMMYFUNCTION("""COMPUTED_VALUE"""),43170.0)</f>
        <v>43170</v>
      </c>
      <c r="D115" s="17">
        <f>IFERROR(__xludf.DUMMYFUNCTION("""COMPUTED_VALUE"""),10.0)</f>
        <v>10</v>
      </c>
      <c r="E115" s="17">
        <f>IFERROR(__xludf.DUMMYFUNCTION("""COMPUTED_VALUE"""),1870.0)</f>
        <v>1870</v>
      </c>
      <c r="F115" s="17">
        <f>IFERROR(__xludf.DUMMYFUNCTION("""COMPUTED_VALUE"""),0.0)</f>
        <v>0</v>
      </c>
      <c r="G115" s="17"/>
      <c r="H115" s="21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tr">
        <f>IFERROR(__xludf.DUMMYFUNCTION("""COMPUTED_VALUE"""),"Chile")</f>
        <v>Chile</v>
      </c>
      <c r="B116" s="54">
        <f>IFERROR(__xludf.DUMMYFUNCTION("""COMPUTED_VALUE"""),43171.0)</f>
        <v>43171</v>
      </c>
      <c r="C116" s="19">
        <f>IFERROR(__xludf.DUMMYFUNCTION("""COMPUTED_VALUE"""),43177.0)</f>
        <v>43177</v>
      </c>
      <c r="D116" s="17">
        <f>IFERROR(__xludf.DUMMYFUNCTION("""COMPUTED_VALUE"""),11.0)</f>
        <v>11</v>
      </c>
      <c r="E116" s="17">
        <f>IFERROR(__xludf.DUMMYFUNCTION("""COMPUTED_VALUE"""),1789.0)</f>
        <v>1789</v>
      </c>
      <c r="F116" s="17">
        <f>IFERROR(__xludf.DUMMYFUNCTION("""COMPUTED_VALUE"""),0.0)</f>
        <v>0</v>
      </c>
      <c r="G116" s="17"/>
      <c r="H116" s="21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tr">
        <f>IFERROR(__xludf.DUMMYFUNCTION("""COMPUTED_VALUE"""),"Chile")</f>
        <v>Chile</v>
      </c>
      <c r="B117" s="54">
        <f>IFERROR(__xludf.DUMMYFUNCTION("""COMPUTED_VALUE"""),43178.0)</f>
        <v>43178</v>
      </c>
      <c r="C117" s="19">
        <f>IFERROR(__xludf.DUMMYFUNCTION("""COMPUTED_VALUE"""),43184.0)</f>
        <v>43184</v>
      </c>
      <c r="D117" s="17">
        <f>IFERROR(__xludf.DUMMYFUNCTION("""COMPUTED_VALUE"""),12.0)</f>
        <v>12</v>
      </c>
      <c r="E117" s="17">
        <f>IFERROR(__xludf.DUMMYFUNCTION("""COMPUTED_VALUE"""),1819.0)</f>
        <v>1819</v>
      </c>
      <c r="F117" s="17">
        <f>IFERROR(__xludf.DUMMYFUNCTION("""COMPUTED_VALUE"""),0.0)</f>
        <v>0</v>
      </c>
      <c r="G117" s="17"/>
      <c r="H117" s="21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tr">
        <f>IFERROR(__xludf.DUMMYFUNCTION("""COMPUTED_VALUE"""),"Chile")</f>
        <v>Chile</v>
      </c>
      <c r="B118" s="54">
        <f>IFERROR(__xludf.DUMMYFUNCTION("""COMPUTED_VALUE"""),43185.0)</f>
        <v>43185</v>
      </c>
      <c r="C118" s="19">
        <f>IFERROR(__xludf.DUMMYFUNCTION("""COMPUTED_VALUE"""),43191.0)</f>
        <v>43191</v>
      </c>
      <c r="D118" s="17">
        <f>IFERROR(__xludf.DUMMYFUNCTION("""COMPUTED_VALUE"""),13.0)</f>
        <v>13</v>
      </c>
      <c r="E118" s="17">
        <f>IFERROR(__xludf.DUMMYFUNCTION("""COMPUTED_VALUE"""),1961.0)</f>
        <v>1961</v>
      </c>
      <c r="F118" s="17">
        <f>IFERROR(__xludf.DUMMYFUNCTION("""COMPUTED_VALUE"""),0.0)</f>
        <v>0</v>
      </c>
      <c r="G118" s="17"/>
      <c r="H118" s="21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tr">
        <f>IFERROR(__xludf.DUMMYFUNCTION("""COMPUTED_VALUE"""),"Chile")</f>
        <v>Chile</v>
      </c>
      <c r="B119" s="54">
        <f>IFERROR(__xludf.DUMMYFUNCTION("""COMPUTED_VALUE"""),43192.0)</f>
        <v>43192</v>
      </c>
      <c r="C119" s="19">
        <f>IFERROR(__xludf.DUMMYFUNCTION("""COMPUTED_VALUE"""),43198.0)</f>
        <v>43198</v>
      </c>
      <c r="D119" s="17">
        <f>IFERROR(__xludf.DUMMYFUNCTION("""COMPUTED_VALUE"""),14.0)</f>
        <v>14</v>
      </c>
      <c r="E119" s="17">
        <f>IFERROR(__xludf.DUMMYFUNCTION("""COMPUTED_VALUE"""),1903.0)</f>
        <v>1903</v>
      </c>
      <c r="F119" s="17">
        <f>IFERROR(__xludf.DUMMYFUNCTION("""COMPUTED_VALUE"""),0.0)</f>
        <v>0</v>
      </c>
      <c r="G119" s="17"/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tr">
        <f>IFERROR(__xludf.DUMMYFUNCTION("""COMPUTED_VALUE"""),"Chile")</f>
        <v>Chile</v>
      </c>
      <c r="B120" s="54">
        <f>IFERROR(__xludf.DUMMYFUNCTION("""COMPUTED_VALUE"""),43199.0)</f>
        <v>43199</v>
      </c>
      <c r="C120" s="19">
        <f>IFERROR(__xludf.DUMMYFUNCTION("""COMPUTED_VALUE"""),43205.0)</f>
        <v>43205</v>
      </c>
      <c r="D120" s="17">
        <f>IFERROR(__xludf.DUMMYFUNCTION("""COMPUTED_VALUE"""),15.0)</f>
        <v>15</v>
      </c>
      <c r="E120" s="17">
        <f>IFERROR(__xludf.DUMMYFUNCTION("""COMPUTED_VALUE"""),1939.0)</f>
        <v>1939</v>
      </c>
      <c r="F120" s="17">
        <f>IFERROR(__xludf.DUMMYFUNCTION("""COMPUTED_VALUE"""),0.0)</f>
        <v>0</v>
      </c>
      <c r="G120" s="17"/>
      <c r="H120" s="21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tr">
        <f>IFERROR(__xludf.DUMMYFUNCTION("""COMPUTED_VALUE"""),"Chile")</f>
        <v>Chile</v>
      </c>
      <c r="B121" s="54">
        <f>IFERROR(__xludf.DUMMYFUNCTION("""COMPUTED_VALUE"""),43206.0)</f>
        <v>43206</v>
      </c>
      <c r="C121" s="19">
        <f>IFERROR(__xludf.DUMMYFUNCTION("""COMPUTED_VALUE"""),43212.0)</f>
        <v>43212</v>
      </c>
      <c r="D121" s="17">
        <f>IFERROR(__xludf.DUMMYFUNCTION("""COMPUTED_VALUE"""),16.0)</f>
        <v>16</v>
      </c>
      <c r="E121" s="17">
        <f>IFERROR(__xludf.DUMMYFUNCTION("""COMPUTED_VALUE"""),1920.0)</f>
        <v>1920</v>
      </c>
      <c r="F121" s="17">
        <f>IFERROR(__xludf.DUMMYFUNCTION("""COMPUTED_VALUE"""),0.0)</f>
        <v>0</v>
      </c>
      <c r="G121" s="17"/>
      <c r="H121" s="21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tr">
        <f>IFERROR(__xludf.DUMMYFUNCTION("""COMPUTED_VALUE"""),"Chile")</f>
        <v>Chile</v>
      </c>
      <c r="B122" s="54">
        <f>IFERROR(__xludf.DUMMYFUNCTION("""COMPUTED_VALUE"""),43213.0)</f>
        <v>43213</v>
      </c>
      <c r="C122" s="19">
        <f>IFERROR(__xludf.DUMMYFUNCTION("""COMPUTED_VALUE"""),43219.0)</f>
        <v>43219</v>
      </c>
      <c r="D122" s="17">
        <f>IFERROR(__xludf.DUMMYFUNCTION("""COMPUTED_VALUE"""),17.0)</f>
        <v>17</v>
      </c>
      <c r="E122" s="17">
        <f>IFERROR(__xludf.DUMMYFUNCTION("""COMPUTED_VALUE"""),1917.0)</f>
        <v>1917</v>
      </c>
      <c r="F122" s="17">
        <f>IFERROR(__xludf.DUMMYFUNCTION("""COMPUTED_VALUE"""),0.0)</f>
        <v>0</v>
      </c>
      <c r="G122" s="17"/>
      <c r="H122" s="21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tr">
        <f>IFERROR(__xludf.DUMMYFUNCTION("""COMPUTED_VALUE"""),"Chile")</f>
        <v>Chile</v>
      </c>
      <c r="B123" s="54">
        <f>IFERROR(__xludf.DUMMYFUNCTION("""COMPUTED_VALUE"""),43220.0)</f>
        <v>43220</v>
      </c>
      <c r="C123" s="19">
        <f>IFERROR(__xludf.DUMMYFUNCTION("""COMPUTED_VALUE"""),43226.0)</f>
        <v>43226</v>
      </c>
      <c r="D123" s="17">
        <f>IFERROR(__xludf.DUMMYFUNCTION("""COMPUTED_VALUE"""),18.0)</f>
        <v>18</v>
      </c>
      <c r="E123" s="17">
        <f>IFERROR(__xludf.DUMMYFUNCTION("""COMPUTED_VALUE"""),1976.0)</f>
        <v>1976</v>
      </c>
      <c r="F123" s="17">
        <f>IFERROR(__xludf.DUMMYFUNCTION("""COMPUTED_VALUE"""),0.0)</f>
        <v>0</v>
      </c>
      <c r="G123" s="17"/>
      <c r="H123" s="21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tr">
        <f>IFERROR(__xludf.DUMMYFUNCTION("""COMPUTED_VALUE"""),"Chile")</f>
        <v>Chile</v>
      </c>
      <c r="B124" s="54">
        <f>IFERROR(__xludf.DUMMYFUNCTION("""COMPUTED_VALUE"""),43227.0)</f>
        <v>43227</v>
      </c>
      <c r="C124" s="19">
        <f>IFERROR(__xludf.DUMMYFUNCTION("""COMPUTED_VALUE"""),43233.0)</f>
        <v>43233</v>
      </c>
      <c r="D124" s="17">
        <f>IFERROR(__xludf.DUMMYFUNCTION("""COMPUTED_VALUE"""),19.0)</f>
        <v>19</v>
      </c>
      <c r="E124" s="17">
        <f>IFERROR(__xludf.DUMMYFUNCTION("""COMPUTED_VALUE"""),1864.0)</f>
        <v>1864</v>
      </c>
      <c r="F124" s="17">
        <f>IFERROR(__xludf.DUMMYFUNCTION("""COMPUTED_VALUE"""),0.0)</f>
        <v>0</v>
      </c>
      <c r="G124" s="17"/>
      <c r="H124" s="21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tr">
        <f>IFERROR(__xludf.DUMMYFUNCTION("""COMPUTED_VALUE"""),"Chile")</f>
        <v>Chile</v>
      </c>
      <c r="B125" s="54">
        <f>IFERROR(__xludf.DUMMYFUNCTION("""COMPUTED_VALUE"""),43234.0)</f>
        <v>43234</v>
      </c>
      <c r="C125" s="19">
        <f>IFERROR(__xludf.DUMMYFUNCTION("""COMPUTED_VALUE"""),43240.0)</f>
        <v>43240</v>
      </c>
      <c r="D125" s="17">
        <f>IFERROR(__xludf.DUMMYFUNCTION("""COMPUTED_VALUE"""),20.0)</f>
        <v>20</v>
      </c>
      <c r="E125" s="17">
        <f>IFERROR(__xludf.DUMMYFUNCTION("""COMPUTED_VALUE"""),2024.0)</f>
        <v>2024</v>
      </c>
      <c r="F125" s="17">
        <f>IFERROR(__xludf.DUMMYFUNCTION("""COMPUTED_VALUE"""),0.0)</f>
        <v>0</v>
      </c>
      <c r="G125" s="17"/>
      <c r="H125" s="21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tr">
        <f>IFERROR(__xludf.DUMMYFUNCTION("""COMPUTED_VALUE"""),"Chile")</f>
        <v>Chile</v>
      </c>
      <c r="B126" s="54">
        <f>IFERROR(__xludf.DUMMYFUNCTION("""COMPUTED_VALUE"""),43241.0)</f>
        <v>43241</v>
      </c>
      <c r="C126" s="19">
        <f>IFERROR(__xludf.DUMMYFUNCTION("""COMPUTED_VALUE"""),43247.0)</f>
        <v>43247</v>
      </c>
      <c r="D126" s="17">
        <f>IFERROR(__xludf.DUMMYFUNCTION("""COMPUTED_VALUE"""),21.0)</f>
        <v>21</v>
      </c>
      <c r="E126" s="17">
        <f>IFERROR(__xludf.DUMMYFUNCTION("""COMPUTED_VALUE"""),2088.0)</f>
        <v>2088</v>
      </c>
      <c r="F126" s="17">
        <f>IFERROR(__xludf.DUMMYFUNCTION("""COMPUTED_VALUE"""),0.0)</f>
        <v>0</v>
      </c>
      <c r="G126" s="17"/>
      <c r="H126" s="21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tr">
        <f>IFERROR(__xludf.DUMMYFUNCTION("""COMPUTED_VALUE"""),"Chile")</f>
        <v>Chile</v>
      </c>
      <c r="B127" s="54">
        <f>IFERROR(__xludf.DUMMYFUNCTION("""COMPUTED_VALUE"""),43248.0)</f>
        <v>43248</v>
      </c>
      <c r="C127" s="19">
        <f>IFERROR(__xludf.DUMMYFUNCTION("""COMPUTED_VALUE"""),43254.0)</f>
        <v>43254</v>
      </c>
      <c r="D127" s="17">
        <f>IFERROR(__xludf.DUMMYFUNCTION("""COMPUTED_VALUE"""),22.0)</f>
        <v>22</v>
      </c>
      <c r="E127" s="17">
        <f>IFERROR(__xludf.DUMMYFUNCTION("""COMPUTED_VALUE"""),2123.0)</f>
        <v>2123</v>
      </c>
      <c r="F127" s="17">
        <f>IFERROR(__xludf.DUMMYFUNCTION("""COMPUTED_VALUE"""),0.0)</f>
        <v>0</v>
      </c>
      <c r="G127" s="17"/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tr">
        <f>IFERROR(__xludf.DUMMYFUNCTION("""COMPUTED_VALUE"""),"Chile")</f>
        <v>Chile</v>
      </c>
      <c r="B128" s="54">
        <f>IFERROR(__xludf.DUMMYFUNCTION("""COMPUTED_VALUE"""),43255.0)</f>
        <v>43255</v>
      </c>
      <c r="C128" s="19">
        <f>IFERROR(__xludf.DUMMYFUNCTION("""COMPUTED_VALUE"""),43261.0)</f>
        <v>43261</v>
      </c>
      <c r="D128" s="17">
        <f>IFERROR(__xludf.DUMMYFUNCTION("""COMPUTED_VALUE"""),23.0)</f>
        <v>23</v>
      </c>
      <c r="E128" s="17">
        <f>IFERROR(__xludf.DUMMYFUNCTION("""COMPUTED_VALUE"""),2368.0)</f>
        <v>2368</v>
      </c>
      <c r="F128" s="17">
        <f>IFERROR(__xludf.DUMMYFUNCTION("""COMPUTED_VALUE"""),0.0)</f>
        <v>0</v>
      </c>
      <c r="G128" s="17"/>
      <c r="H128" s="21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tr">
        <f>IFERROR(__xludf.DUMMYFUNCTION("""COMPUTED_VALUE"""),"Chile")</f>
        <v>Chile</v>
      </c>
      <c r="B129" s="54">
        <f>IFERROR(__xludf.DUMMYFUNCTION("""COMPUTED_VALUE"""),43262.0)</f>
        <v>43262</v>
      </c>
      <c r="C129" s="19">
        <f>IFERROR(__xludf.DUMMYFUNCTION("""COMPUTED_VALUE"""),43268.0)</f>
        <v>43268</v>
      </c>
      <c r="D129" s="17">
        <f>IFERROR(__xludf.DUMMYFUNCTION("""COMPUTED_VALUE"""),24.0)</f>
        <v>24</v>
      </c>
      <c r="E129" s="17">
        <f>IFERROR(__xludf.DUMMYFUNCTION("""COMPUTED_VALUE"""),2431.0)</f>
        <v>2431</v>
      </c>
      <c r="F129" s="17">
        <f>IFERROR(__xludf.DUMMYFUNCTION("""COMPUTED_VALUE"""),0.0)</f>
        <v>0</v>
      </c>
      <c r="G129" s="17"/>
      <c r="H129" s="21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tr">
        <f>IFERROR(__xludf.DUMMYFUNCTION("""COMPUTED_VALUE"""),"Chile")</f>
        <v>Chile</v>
      </c>
      <c r="B130" s="54">
        <f>IFERROR(__xludf.DUMMYFUNCTION("""COMPUTED_VALUE"""),43269.0)</f>
        <v>43269</v>
      </c>
      <c r="C130" s="19">
        <f>IFERROR(__xludf.DUMMYFUNCTION("""COMPUTED_VALUE"""),43275.0)</f>
        <v>43275</v>
      </c>
      <c r="D130" s="17">
        <f>IFERROR(__xludf.DUMMYFUNCTION("""COMPUTED_VALUE"""),25.0)</f>
        <v>25</v>
      </c>
      <c r="E130" s="17">
        <f>IFERROR(__xludf.DUMMYFUNCTION("""COMPUTED_VALUE"""),2247.0)</f>
        <v>2247</v>
      </c>
      <c r="F130" s="17">
        <f>IFERROR(__xludf.DUMMYFUNCTION("""COMPUTED_VALUE"""),0.0)</f>
        <v>0</v>
      </c>
      <c r="G130" s="17"/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tr">
        <f>IFERROR(__xludf.DUMMYFUNCTION("""COMPUTED_VALUE"""),"Chile")</f>
        <v>Chile</v>
      </c>
      <c r="B131" s="54">
        <f>IFERROR(__xludf.DUMMYFUNCTION("""COMPUTED_VALUE"""),43276.0)</f>
        <v>43276</v>
      </c>
      <c r="C131" s="19">
        <f>IFERROR(__xludf.DUMMYFUNCTION("""COMPUTED_VALUE"""),43282.0)</f>
        <v>43282</v>
      </c>
      <c r="D131" s="17">
        <f>IFERROR(__xludf.DUMMYFUNCTION("""COMPUTED_VALUE"""),26.0)</f>
        <v>26</v>
      </c>
      <c r="E131" s="17">
        <f>IFERROR(__xludf.DUMMYFUNCTION("""COMPUTED_VALUE"""),2359.0)</f>
        <v>2359</v>
      </c>
      <c r="F131" s="17">
        <f>IFERROR(__xludf.DUMMYFUNCTION("""COMPUTED_VALUE"""),0.0)</f>
        <v>0</v>
      </c>
      <c r="G131" s="17"/>
      <c r="H131" s="21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tr">
        <f>IFERROR(__xludf.DUMMYFUNCTION("""COMPUTED_VALUE"""),"Chile")</f>
        <v>Chile</v>
      </c>
      <c r="B132" s="54">
        <f>IFERROR(__xludf.DUMMYFUNCTION("""COMPUTED_VALUE"""),43283.0)</f>
        <v>43283</v>
      </c>
      <c r="C132" s="19">
        <f>IFERROR(__xludf.DUMMYFUNCTION("""COMPUTED_VALUE"""),43289.0)</f>
        <v>43289</v>
      </c>
      <c r="D132" s="17">
        <f>IFERROR(__xludf.DUMMYFUNCTION("""COMPUTED_VALUE"""),27.0)</f>
        <v>27</v>
      </c>
      <c r="E132" s="17">
        <f>IFERROR(__xludf.DUMMYFUNCTION("""COMPUTED_VALUE"""),2334.0)</f>
        <v>2334</v>
      </c>
      <c r="F132" s="17">
        <f>IFERROR(__xludf.DUMMYFUNCTION("""COMPUTED_VALUE"""),0.0)</f>
        <v>0</v>
      </c>
      <c r="G132" s="17"/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tr">
        <f>IFERROR(__xludf.DUMMYFUNCTION("""COMPUTED_VALUE"""),"Chile")</f>
        <v>Chile</v>
      </c>
      <c r="B133" s="54">
        <f>IFERROR(__xludf.DUMMYFUNCTION("""COMPUTED_VALUE"""),43290.0)</f>
        <v>43290</v>
      </c>
      <c r="C133" s="19">
        <f>IFERROR(__xludf.DUMMYFUNCTION("""COMPUTED_VALUE"""),43296.0)</f>
        <v>43296</v>
      </c>
      <c r="D133" s="17">
        <f>IFERROR(__xludf.DUMMYFUNCTION("""COMPUTED_VALUE"""),28.0)</f>
        <v>28</v>
      </c>
      <c r="E133" s="17">
        <f>IFERROR(__xludf.DUMMYFUNCTION("""COMPUTED_VALUE"""),2276.0)</f>
        <v>2276</v>
      </c>
      <c r="F133" s="17">
        <f>IFERROR(__xludf.DUMMYFUNCTION("""COMPUTED_VALUE"""),0.0)</f>
        <v>0</v>
      </c>
      <c r="G133" s="17"/>
      <c r="H133" s="21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tr">
        <f>IFERROR(__xludf.DUMMYFUNCTION("""COMPUTED_VALUE"""),"Chile")</f>
        <v>Chile</v>
      </c>
      <c r="B134" s="54">
        <f>IFERROR(__xludf.DUMMYFUNCTION("""COMPUTED_VALUE"""),43297.0)</f>
        <v>43297</v>
      </c>
      <c r="C134" s="19">
        <f>IFERROR(__xludf.DUMMYFUNCTION("""COMPUTED_VALUE"""),43303.0)</f>
        <v>43303</v>
      </c>
      <c r="D134" s="17">
        <f>IFERROR(__xludf.DUMMYFUNCTION("""COMPUTED_VALUE"""),29.0)</f>
        <v>29</v>
      </c>
      <c r="E134" s="17">
        <f>IFERROR(__xludf.DUMMYFUNCTION("""COMPUTED_VALUE"""),2334.0)</f>
        <v>2334</v>
      </c>
      <c r="F134" s="17">
        <f>IFERROR(__xludf.DUMMYFUNCTION("""COMPUTED_VALUE"""),0.0)</f>
        <v>0</v>
      </c>
      <c r="G134" s="17"/>
      <c r="H134" s="21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tr">
        <f>IFERROR(__xludf.DUMMYFUNCTION("""COMPUTED_VALUE"""),"Chile")</f>
        <v>Chile</v>
      </c>
      <c r="B135" s="54">
        <f>IFERROR(__xludf.DUMMYFUNCTION("""COMPUTED_VALUE"""),43304.0)</f>
        <v>43304</v>
      </c>
      <c r="C135" s="19">
        <f>IFERROR(__xludf.DUMMYFUNCTION("""COMPUTED_VALUE"""),43310.0)</f>
        <v>43310</v>
      </c>
      <c r="D135" s="17">
        <f>IFERROR(__xludf.DUMMYFUNCTION("""COMPUTED_VALUE"""),30.0)</f>
        <v>30</v>
      </c>
      <c r="E135" s="17">
        <f>IFERROR(__xludf.DUMMYFUNCTION("""COMPUTED_VALUE"""),2496.0)</f>
        <v>2496</v>
      </c>
      <c r="F135" s="17">
        <f>IFERROR(__xludf.DUMMYFUNCTION("""COMPUTED_VALUE"""),0.0)</f>
        <v>0</v>
      </c>
      <c r="G135" s="17"/>
      <c r="H135" s="21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tr">
        <f>IFERROR(__xludf.DUMMYFUNCTION("""COMPUTED_VALUE"""),"Chile")</f>
        <v>Chile</v>
      </c>
      <c r="B136" s="54">
        <f>IFERROR(__xludf.DUMMYFUNCTION("""COMPUTED_VALUE"""),43311.0)</f>
        <v>43311</v>
      </c>
      <c r="C136" s="19">
        <f>IFERROR(__xludf.DUMMYFUNCTION("""COMPUTED_VALUE"""),43317.0)</f>
        <v>43317</v>
      </c>
      <c r="D136" s="17">
        <f>IFERROR(__xludf.DUMMYFUNCTION("""COMPUTED_VALUE"""),31.0)</f>
        <v>31</v>
      </c>
      <c r="E136" s="17">
        <f>IFERROR(__xludf.DUMMYFUNCTION("""COMPUTED_VALUE"""),2514.0)</f>
        <v>2514</v>
      </c>
      <c r="F136" s="17">
        <f>IFERROR(__xludf.DUMMYFUNCTION("""COMPUTED_VALUE"""),0.0)</f>
        <v>0</v>
      </c>
      <c r="G136" s="17"/>
      <c r="H136" s="21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tr">
        <f>IFERROR(__xludf.DUMMYFUNCTION("""COMPUTED_VALUE"""),"Chile")</f>
        <v>Chile</v>
      </c>
      <c r="B137" s="54">
        <f>IFERROR(__xludf.DUMMYFUNCTION("""COMPUTED_VALUE"""),43318.0)</f>
        <v>43318</v>
      </c>
      <c r="C137" s="19">
        <f>IFERROR(__xludf.DUMMYFUNCTION("""COMPUTED_VALUE"""),43324.0)</f>
        <v>43324</v>
      </c>
      <c r="D137" s="17">
        <f>IFERROR(__xludf.DUMMYFUNCTION("""COMPUTED_VALUE"""),32.0)</f>
        <v>32</v>
      </c>
      <c r="E137" s="17">
        <f>IFERROR(__xludf.DUMMYFUNCTION("""COMPUTED_VALUE"""),2448.0)</f>
        <v>2448</v>
      </c>
      <c r="F137" s="17">
        <f>IFERROR(__xludf.DUMMYFUNCTION("""COMPUTED_VALUE"""),0.0)</f>
        <v>0</v>
      </c>
      <c r="G137" s="17"/>
      <c r="H137" s="21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tr">
        <f>IFERROR(__xludf.DUMMYFUNCTION("""COMPUTED_VALUE"""),"Chile")</f>
        <v>Chile</v>
      </c>
      <c r="B138" s="54">
        <f>IFERROR(__xludf.DUMMYFUNCTION("""COMPUTED_VALUE"""),43325.0)</f>
        <v>43325</v>
      </c>
      <c r="C138" s="19">
        <f>IFERROR(__xludf.DUMMYFUNCTION("""COMPUTED_VALUE"""),43331.0)</f>
        <v>43331</v>
      </c>
      <c r="D138" s="17">
        <f>IFERROR(__xludf.DUMMYFUNCTION("""COMPUTED_VALUE"""),33.0)</f>
        <v>33</v>
      </c>
      <c r="E138" s="17">
        <f>IFERROR(__xludf.DUMMYFUNCTION("""COMPUTED_VALUE"""),2306.0)</f>
        <v>2306</v>
      </c>
      <c r="F138" s="17">
        <f>IFERROR(__xludf.DUMMYFUNCTION("""COMPUTED_VALUE"""),0.0)</f>
        <v>0</v>
      </c>
      <c r="G138" s="17"/>
      <c r="H138" s="21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tr">
        <f>IFERROR(__xludf.DUMMYFUNCTION("""COMPUTED_VALUE"""),"Chile")</f>
        <v>Chile</v>
      </c>
      <c r="B139" s="54">
        <f>IFERROR(__xludf.DUMMYFUNCTION("""COMPUTED_VALUE"""),43332.0)</f>
        <v>43332</v>
      </c>
      <c r="C139" s="19">
        <f>IFERROR(__xludf.DUMMYFUNCTION("""COMPUTED_VALUE"""),43338.0)</f>
        <v>43338</v>
      </c>
      <c r="D139" s="17">
        <f>IFERROR(__xludf.DUMMYFUNCTION("""COMPUTED_VALUE"""),34.0)</f>
        <v>34</v>
      </c>
      <c r="E139" s="17">
        <f>IFERROR(__xludf.DUMMYFUNCTION("""COMPUTED_VALUE"""),2388.0)</f>
        <v>2388</v>
      </c>
      <c r="F139" s="17">
        <f>IFERROR(__xludf.DUMMYFUNCTION("""COMPUTED_VALUE"""),0.0)</f>
        <v>0</v>
      </c>
      <c r="G139" s="17"/>
      <c r="H139" s="21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tr">
        <f>IFERROR(__xludf.DUMMYFUNCTION("""COMPUTED_VALUE"""),"Chile")</f>
        <v>Chile</v>
      </c>
      <c r="B140" s="54">
        <f>IFERROR(__xludf.DUMMYFUNCTION("""COMPUTED_VALUE"""),43339.0)</f>
        <v>43339</v>
      </c>
      <c r="C140" s="19">
        <f>IFERROR(__xludf.DUMMYFUNCTION("""COMPUTED_VALUE"""),43345.0)</f>
        <v>43345</v>
      </c>
      <c r="D140" s="17">
        <f>IFERROR(__xludf.DUMMYFUNCTION("""COMPUTED_VALUE"""),35.0)</f>
        <v>35</v>
      </c>
      <c r="E140" s="17">
        <f>IFERROR(__xludf.DUMMYFUNCTION("""COMPUTED_VALUE"""),2178.0)</f>
        <v>2178</v>
      </c>
      <c r="F140" s="17">
        <f>IFERROR(__xludf.DUMMYFUNCTION("""COMPUTED_VALUE"""),0.0)</f>
        <v>0</v>
      </c>
      <c r="G140" s="17"/>
      <c r="H140" s="21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tr">
        <f>IFERROR(__xludf.DUMMYFUNCTION("""COMPUTED_VALUE"""),"Chile")</f>
        <v>Chile</v>
      </c>
      <c r="B141" s="54">
        <f>IFERROR(__xludf.DUMMYFUNCTION("""COMPUTED_VALUE"""),43346.0)</f>
        <v>43346</v>
      </c>
      <c r="C141" s="19">
        <f>IFERROR(__xludf.DUMMYFUNCTION("""COMPUTED_VALUE"""),43352.0)</f>
        <v>43352</v>
      </c>
      <c r="D141" s="17">
        <f>IFERROR(__xludf.DUMMYFUNCTION("""COMPUTED_VALUE"""),36.0)</f>
        <v>36</v>
      </c>
      <c r="E141" s="17">
        <f>IFERROR(__xludf.DUMMYFUNCTION("""COMPUTED_VALUE"""),2238.0)</f>
        <v>2238</v>
      </c>
      <c r="F141" s="17">
        <f>IFERROR(__xludf.DUMMYFUNCTION("""COMPUTED_VALUE"""),0.0)</f>
        <v>0</v>
      </c>
      <c r="G141" s="17"/>
      <c r="H141" s="21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tr">
        <f>IFERROR(__xludf.DUMMYFUNCTION("""COMPUTED_VALUE"""),"Chile")</f>
        <v>Chile</v>
      </c>
      <c r="B142" s="54">
        <f>IFERROR(__xludf.DUMMYFUNCTION("""COMPUTED_VALUE"""),43353.0)</f>
        <v>43353</v>
      </c>
      <c r="C142" s="19">
        <f>IFERROR(__xludf.DUMMYFUNCTION("""COMPUTED_VALUE"""),43359.0)</f>
        <v>43359</v>
      </c>
      <c r="D142" s="17">
        <f>IFERROR(__xludf.DUMMYFUNCTION("""COMPUTED_VALUE"""),37.0)</f>
        <v>37</v>
      </c>
      <c r="E142" s="17">
        <f>IFERROR(__xludf.DUMMYFUNCTION("""COMPUTED_VALUE"""),2140.0)</f>
        <v>2140</v>
      </c>
      <c r="F142" s="17">
        <f>IFERROR(__xludf.DUMMYFUNCTION("""COMPUTED_VALUE"""),0.0)</f>
        <v>0</v>
      </c>
      <c r="G142" s="17"/>
      <c r="H142" s="21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tr">
        <f>IFERROR(__xludf.DUMMYFUNCTION("""COMPUTED_VALUE"""),"Chile")</f>
        <v>Chile</v>
      </c>
      <c r="B143" s="54">
        <f>IFERROR(__xludf.DUMMYFUNCTION("""COMPUTED_VALUE"""),43360.0)</f>
        <v>43360</v>
      </c>
      <c r="C143" s="19">
        <f>IFERROR(__xludf.DUMMYFUNCTION("""COMPUTED_VALUE"""),43366.0)</f>
        <v>43366</v>
      </c>
      <c r="D143" s="17">
        <f>IFERROR(__xludf.DUMMYFUNCTION("""COMPUTED_VALUE"""),38.0)</f>
        <v>38</v>
      </c>
      <c r="E143" s="17">
        <f>IFERROR(__xludf.DUMMYFUNCTION("""COMPUTED_VALUE"""),2217.0)</f>
        <v>2217</v>
      </c>
      <c r="F143" s="17">
        <f>IFERROR(__xludf.DUMMYFUNCTION("""COMPUTED_VALUE"""),0.0)</f>
        <v>0</v>
      </c>
      <c r="G143" s="17"/>
      <c r="H143" s="21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tr">
        <f>IFERROR(__xludf.DUMMYFUNCTION("""COMPUTED_VALUE"""),"Chile")</f>
        <v>Chile</v>
      </c>
      <c r="B144" s="54">
        <f>IFERROR(__xludf.DUMMYFUNCTION("""COMPUTED_VALUE"""),43367.0)</f>
        <v>43367</v>
      </c>
      <c r="C144" s="19">
        <f>IFERROR(__xludf.DUMMYFUNCTION("""COMPUTED_VALUE"""),43373.0)</f>
        <v>43373</v>
      </c>
      <c r="D144" s="17">
        <f>IFERROR(__xludf.DUMMYFUNCTION("""COMPUTED_VALUE"""),39.0)</f>
        <v>39</v>
      </c>
      <c r="E144" s="17">
        <f>IFERROR(__xludf.DUMMYFUNCTION("""COMPUTED_VALUE"""),2046.0)</f>
        <v>2046</v>
      </c>
      <c r="F144" s="17">
        <f>IFERROR(__xludf.DUMMYFUNCTION("""COMPUTED_VALUE"""),0.0)</f>
        <v>0</v>
      </c>
      <c r="G144" s="17"/>
      <c r="H144" s="21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tr">
        <f>IFERROR(__xludf.DUMMYFUNCTION("""COMPUTED_VALUE"""),"Chile")</f>
        <v>Chile</v>
      </c>
      <c r="B145" s="54">
        <f>IFERROR(__xludf.DUMMYFUNCTION("""COMPUTED_VALUE"""),43374.0)</f>
        <v>43374</v>
      </c>
      <c r="C145" s="19">
        <f>IFERROR(__xludf.DUMMYFUNCTION("""COMPUTED_VALUE"""),43380.0)</f>
        <v>43380</v>
      </c>
      <c r="D145" s="17">
        <f>IFERROR(__xludf.DUMMYFUNCTION("""COMPUTED_VALUE"""),40.0)</f>
        <v>40</v>
      </c>
      <c r="E145" s="17">
        <f>IFERROR(__xludf.DUMMYFUNCTION("""COMPUTED_VALUE"""),2058.0)</f>
        <v>2058</v>
      </c>
      <c r="F145" s="17">
        <f>IFERROR(__xludf.DUMMYFUNCTION("""COMPUTED_VALUE"""),0.0)</f>
        <v>0</v>
      </c>
      <c r="G145" s="17"/>
      <c r="H145" s="21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tr">
        <f>IFERROR(__xludf.DUMMYFUNCTION("""COMPUTED_VALUE"""),"Chile")</f>
        <v>Chile</v>
      </c>
      <c r="B146" s="54">
        <f>IFERROR(__xludf.DUMMYFUNCTION("""COMPUTED_VALUE"""),43381.0)</f>
        <v>43381</v>
      </c>
      <c r="C146" s="19">
        <f>IFERROR(__xludf.DUMMYFUNCTION("""COMPUTED_VALUE"""),43387.0)</f>
        <v>43387</v>
      </c>
      <c r="D146" s="17">
        <f>IFERROR(__xludf.DUMMYFUNCTION("""COMPUTED_VALUE"""),41.0)</f>
        <v>41</v>
      </c>
      <c r="E146" s="17">
        <f>IFERROR(__xludf.DUMMYFUNCTION("""COMPUTED_VALUE"""),1986.0)</f>
        <v>1986</v>
      </c>
      <c r="F146" s="17">
        <f>IFERROR(__xludf.DUMMYFUNCTION("""COMPUTED_VALUE"""),0.0)</f>
        <v>0</v>
      </c>
      <c r="G146" s="17"/>
      <c r="H146" s="21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tr">
        <f>IFERROR(__xludf.DUMMYFUNCTION("""COMPUTED_VALUE"""),"Chile")</f>
        <v>Chile</v>
      </c>
      <c r="B147" s="54">
        <f>IFERROR(__xludf.DUMMYFUNCTION("""COMPUTED_VALUE"""),43388.0)</f>
        <v>43388</v>
      </c>
      <c r="C147" s="19">
        <f>IFERROR(__xludf.DUMMYFUNCTION("""COMPUTED_VALUE"""),43394.0)</f>
        <v>43394</v>
      </c>
      <c r="D147" s="17">
        <f>IFERROR(__xludf.DUMMYFUNCTION("""COMPUTED_VALUE"""),42.0)</f>
        <v>42</v>
      </c>
      <c r="E147" s="17">
        <f>IFERROR(__xludf.DUMMYFUNCTION("""COMPUTED_VALUE"""),2002.0)</f>
        <v>2002</v>
      </c>
      <c r="F147" s="17">
        <f>IFERROR(__xludf.DUMMYFUNCTION("""COMPUTED_VALUE"""),0.0)</f>
        <v>0</v>
      </c>
      <c r="G147" s="17"/>
      <c r="H147" s="21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tr">
        <f>IFERROR(__xludf.DUMMYFUNCTION("""COMPUTED_VALUE"""),"Chile")</f>
        <v>Chile</v>
      </c>
      <c r="B148" s="54">
        <f>IFERROR(__xludf.DUMMYFUNCTION("""COMPUTED_VALUE"""),43395.0)</f>
        <v>43395</v>
      </c>
      <c r="C148" s="19">
        <f>IFERROR(__xludf.DUMMYFUNCTION("""COMPUTED_VALUE"""),43401.0)</f>
        <v>43401</v>
      </c>
      <c r="D148" s="17">
        <f>IFERROR(__xludf.DUMMYFUNCTION("""COMPUTED_VALUE"""),43.0)</f>
        <v>43</v>
      </c>
      <c r="E148" s="17">
        <f>IFERROR(__xludf.DUMMYFUNCTION("""COMPUTED_VALUE"""),2030.0)</f>
        <v>2030</v>
      </c>
      <c r="F148" s="17">
        <f>IFERROR(__xludf.DUMMYFUNCTION("""COMPUTED_VALUE"""),0.0)</f>
        <v>0</v>
      </c>
      <c r="G148" s="17"/>
      <c r="H148" s="21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tr">
        <f>IFERROR(__xludf.DUMMYFUNCTION("""COMPUTED_VALUE"""),"Chile")</f>
        <v>Chile</v>
      </c>
      <c r="B149" s="54">
        <f>IFERROR(__xludf.DUMMYFUNCTION("""COMPUTED_VALUE"""),43402.0)</f>
        <v>43402</v>
      </c>
      <c r="C149" s="19">
        <f>IFERROR(__xludf.DUMMYFUNCTION("""COMPUTED_VALUE"""),43408.0)</f>
        <v>43408</v>
      </c>
      <c r="D149" s="17">
        <f>IFERROR(__xludf.DUMMYFUNCTION("""COMPUTED_VALUE"""),44.0)</f>
        <v>44</v>
      </c>
      <c r="E149" s="17">
        <f>IFERROR(__xludf.DUMMYFUNCTION("""COMPUTED_VALUE"""),1940.0)</f>
        <v>1940</v>
      </c>
      <c r="F149" s="17">
        <f>IFERROR(__xludf.DUMMYFUNCTION("""COMPUTED_VALUE"""),0.0)</f>
        <v>0</v>
      </c>
      <c r="G149" s="17"/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tr">
        <f>IFERROR(__xludf.DUMMYFUNCTION("""COMPUTED_VALUE"""),"Chile")</f>
        <v>Chile</v>
      </c>
      <c r="B150" s="54">
        <f>IFERROR(__xludf.DUMMYFUNCTION("""COMPUTED_VALUE"""),43409.0)</f>
        <v>43409</v>
      </c>
      <c r="C150" s="19">
        <f>IFERROR(__xludf.DUMMYFUNCTION("""COMPUTED_VALUE"""),43415.0)</f>
        <v>43415</v>
      </c>
      <c r="D150" s="17">
        <f>IFERROR(__xludf.DUMMYFUNCTION("""COMPUTED_VALUE"""),45.0)</f>
        <v>45</v>
      </c>
      <c r="E150" s="17">
        <f>IFERROR(__xludf.DUMMYFUNCTION("""COMPUTED_VALUE"""),1960.0)</f>
        <v>1960</v>
      </c>
      <c r="F150" s="17">
        <f>IFERROR(__xludf.DUMMYFUNCTION("""COMPUTED_VALUE"""),0.0)</f>
        <v>0</v>
      </c>
      <c r="G150" s="17"/>
      <c r="H150" s="21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tr">
        <f>IFERROR(__xludf.DUMMYFUNCTION("""COMPUTED_VALUE"""),"Chile")</f>
        <v>Chile</v>
      </c>
      <c r="B151" s="54">
        <f>IFERROR(__xludf.DUMMYFUNCTION("""COMPUTED_VALUE"""),43416.0)</f>
        <v>43416</v>
      </c>
      <c r="C151" s="19">
        <f>IFERROR(__xludf.DUMMYFUNCTION("""COMPUTED_VALUE"""),43422.0)</f>
        <v>43422</v>
      </c>
      <c r="D151" s="17">
        <f>IFERROR(__xludf.DUMMYFUNCTION("""COMPUTED_VALUE"""),46.0)</f>
        <v>46</v>
      </c>
      <c r="E151" s="17">
        <f>IFERROR(__xludf.DUMMYFUNCTION("""COMPUTED_VALUE"""),1945.0)</f>
        <v>1945</v>
      </c>
      <c r="F151" s="17">
        <f>IFERROR(__xludf.DUMMYFUNCTION("""COMPUTED_VALUE"""),0.0)</f>
        <v>0</v>
      </c>
      <c r="G151" s="17"/>
      <c r="H151" s="21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tr">
        <f>IFERROR(__xludf.DUMMYFUNCTION("""COMPUTED_VALUE"""),"Chile")</f>
        <v>Chile</v>
      </c>
      <c r="B152" s="54">
        <f>IFERROR(__xludf.DUMMYFUNCTION("""COMPUTED_VALUE"""),43423.0)</f>
        <v>43423</v>
      </c>
      <c r="C152" s="19">
        <f>IFERROR(__xludf.DUMMYFUNCTION("""COMPUTED_VALUE"""),43429.0)</f>
        <v>43429</v>
      </c>
      <c r="D152" s="17">
        <f>IFERROR(__xludf.DUMMYFUNCTION("""COMPUTED_VALUE"""),47.0)</f>
        <v>47</v>
      </c>
      <c r="E152" s="17">
        <f>IFERROR(__xludf.DUMMYFUNCTION("""COMPUTED_VALUE"""),1992.0)</f>
        <v>1992</v>
      </c>
      <c r="F152" s="17">
        <f>IFERROR(__xludf.DUMMYFUNCTION("""COMPUTED_VALUE"""),0.0)</f>
        <v>0</v>
      </c>
      <c r="G152" s="17"/>
      <c r="H152" s="21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tr">
        <f>IFERROR(__xludf.DUMMYFUNCTION("""COMPUTED_VALUE"""),"Chile")</f>
        <v>Chile</v>
      </c>
      <c r="B153" s="54">
        <f>IFERROR(__xludf.DUMMYFUNCTION("""COMPUTED_VALUE"""),43430.0)</f>
        <v>43430</v>
      </c>
      <c r="C153" s="19">
        <f>IFERROR(__xludf.DUMMYFUNCTION("""COMPUTED_VALUE"""),43436.0)</f>
        <v>43436</v>
      </c>
      <c r="D153" s="17">
        <f>IFERROR(__xludf.DUMMYFUNCTION("""COMPUTED_VALUE"""),48.0)</f>
        <v>48</v>
      </c>
      <c r="E153" s="17">
        <f>IFERROR(__xludf.DUMMYFUNCTION("""COMPUTED_VALUE"""),1924.0)</f>
        <v>1924</v>
      </c>
      <c r="F153" s="17">
        <f>IFERROR(__xludf.DUMMYFUNCTION("""COMPUTED_VALUE"""),0.0)</f>
        <v>0</v>
      </c>
      <c r="G153" s="17"/>
      <c r="H153" s="21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tr">
        <f>IFERROR(__xludf.DUMMYFUNCTION("""COMPUTED_VALUE"""),"Chile")</f>
        <v>Chile</v>
      </c>
      <c r="B154" s="54">
        <f>IFERROR(__xludf.DUMMYFUNCTION("""COMPUTED_VALUE"""),43437.0)</f>
        <v>43437</v>
      </c>
      <c r="C154" s="19">
        <f>IFERROR(__xludf.DUMMYFUNCTION("""COMPUTED_VALUE"""),43443.0)</f>
        <v>43443</v>
      </c>
      <c r="D154" s="17">
        <f>IFERROR(__xludf.DUMMYFUNCTION("""COMPUTED_VALUE"""),49.0)</f>
        <v>49</v>
      </c>
      <c r="E154" s="17">
        <f>IFERROR(__xludf.DUMMYFUNCTION("""COMPUTED_VALUE"""),1852.0)</f>
        <v>1852</v>
      </c>
      <c r="F154" s="17">
        <f>IFERROR(__xludf.DUMMYFUNCTION("""COMPUTED_VALUE"""),0.0)</f>
        <v>0</v>
      </c>
      <c r="G154" s="17"/>
      <c r="H154" s="21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tr">
        <f>IFERROR(__xludf.DUMMYFUNCTION("""COMPUTED_VALUE"""),"Chile")</f>
        <v>Chile</v>
      </c>
      <c r="B155" s="54">
        <f>IFERROR(__xludf.DUMMYFUNCTION("""COMPUTED_VALUE"""),43444.0)</f>
        <v>43444</v>
      </c>
      <c r="C155" s="19">
        <f>IFERROR(__xludf.DUMMYFUNCTION("""COMPUTED_VALUE"""),43450.0)</f>
        <v>43450</v>
      </c>
      <c r="D155" s="17">
        <f>IFERROR(__xludf.DUMMYFUNCTION("""COMPUTED_VALUE"""),50.0)</f>
        <v>50</v>
      </c>
      <c r="E155" s="17">
        <f>IFERROR(__xludf.DUMMYFUNCTION("""COMPUTED_VALUE"""),1910.0)</f>
        <v>1910</v>
      </c>
      <c r="F155" s="17">
        <f>IFERROR(__xludf.DUMMYFUNCTION("""COMPUTED_VALUE"""),0.0)</f>
        <v>0</v>
      </c>
      <c r="G155" s="17"/>
      <c r="H155" s="21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tr">
        <f>IFERROR(__xludf.DUMMYFUNCTION("""COMPUTED_VALUE"""),"Chile")</f>
        <v>Chile</v>
      </c>
      <c r="B156" s="54">
        <f>IFERROR(__xludf.DUMMYFUNCTION("""COMPUTED_VALUE"""),43451.0)</f>
        <v>43451</v>
      </c>
      <c r="C156" s="19">
        <f>IFERROR(__xludf.DUMMYFUNCTION("""COMPUTED_VALUE"""),43457.0)</f>
        <v>43457</v>
      </c>
      <c r="D156" s="17">
        <f>IFERROR(__xludf.DUMMYFUNCTION("""COMPUTED_VALUE"""),51.0)</f>
        <v>51</v>
      </c>
      <c r="E156" s="17">
        <f>IFERROR(__xludf.DUMMYFUNCTION("""COMPUTED_VALUE"""),1941.0)</f>
        <v>1941</v>
      </c>
      <c r="F156" s="17">
        <f>IFERROR(__xludf.DUMMYFUNCTION("""COMPUTED_VALUE"""),0.0)</f>
        <v>0</v>
      </c>
      <c r="G156" s="17"/>
      <c r="H156" s="21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tr">
        <f>IFERROR(__xludf.DUMMYFUNCTION("""COMPUTED_VALUE"""),"Chile")</f>
        <v>Chile</v>
      </c>
      <c r="B157" s="54">
        <f>IFERROR(__xludf.DUMMYFUNCTION("""COMPUTED_VALUE"""),43458.0)</f>
        <v>43458</v>
      </c>
      <c r="C157" s="19">
        <f>IFERROR(__xludf.DUMMYFUNCTION("""COMPUTED_VALUE"""),43464.0)</f>
        <v>43464</v>
      </c>
      <c r="D157" s="17">
        <f>IFERROR(__xludf.DUMMYFUNCTION("""COMPUTED_VALUE"""),52.0)</f>
        <v>52</v>
      </c>
      <c r="E157" s="17">
        <f>IFERROR(__xludf.DUMMYFUNCTION("""COMPUTED_VALUE"""),1887.0)</f>
        <v>1887</v>
      </c>
      <c r="F157" s="17">
        <f>IFERROR(__xludf.DUMMYFUNCTION("""COMPUTED_VALUE"""),0.0)</f>
        <v>0</v>
      </c>
      <c r="G157" s="17"/>
      <c r="H157" s="21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tr">
        <f>IFERROR(__xludf.DUMMYFUNCTION("""COMPUTED_VALUE"""),"Chile")</f>
        <v>Chile</v>
      </c>
      <c r="B158" s="54">
        <f>IFERROR(__xludf.DUMMYFUNCTION("""COMPUTED_VALUE"""),43465.0)</f>
        <v>43465</v>
      </c>
      <c r="C158" s="19">
        <f>IFERROR(__xludf.DUMMYFUNCTION("""COMPUTED_VALUE"""),43471.0)</f>
        <v>43471</v>
      </c>
      <c r="D158" s="17">
        <f>IFERROR(__xludf.DUMMYFUNCTION("""COMPUTED_VALUE"""),1.0)</f>
        <v>1</v>
      </c>
      <c r="E158" s="17">
        <f>IFERROR(__xludf.DUMMYFUNCTION("""COMPUTED_VALUE"""),2020.0)</f>
        <v>2020</v>
      </c>
      <c r="F158" s="17">
        <f>IFERROR(__xludf.DUMMYFUNCTION("""COMPUTED_VALUE"""),0.0)</f>
        <v>0</v>
      </c>
      <c r="G158" s="17"/>
      <c r="H158" s="21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tr">
        <f>IFERROR(__xludf.DUMMYFUNCTION("""COMPUTED_VALUE"""),"Chile")</f>
        <v>Chile</v>
      </c>
      <c r="B159" s="54">
        <f>IFERROR(__xludf.DUMMYFUNCTION("""COMPUTED_VALUE"""),43472.0)</f>
        <v>43472</v>
      </c>
      <c r="C159" s="19">
        <f>IFERROR(__xludf.DUMMYFUNCTION("""COMPUTED_VALUE"""),43478.0)</f>
        <v>43478</v>
      </c>
      <c r="D159" s="17">
        <f>IFERROR(__xludf.DUMMYFUNCTION("""COMPUTED_VALUE"""),2.0)</f>
        <v>2</v>
      </c>
      <c r="E159" s="17">
        <f>IFERROR(__xludf.DUMMYFUNCTION("""COMPUTED_VALUE"""),1818.0)</f>
        <v>1818</v>
      </c>
      <c r="F159" s="17">
        <f>IFERROR(__xludf.DUMMYFUNCTION("""COMPUTED_VALUE"""),0.0)</f>
        <v>0</v>
      </c>
      <c r="G159" s="17"/>
      <c r="H159" s="21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tr">
        <f>IFERROR(__xludf.DUMMYFUNCTION("""COMPUTED_VALUE"""),"Chile")</f>
        <v>Chile</v>
      </c>
      <c r="B160" s="54">
        <f>IFERROR(__xludf.DUMMYFUNCTION("""COMPUTED_VALUE"""),43479.0)</f>
        <v>43479</v>
      </c>
      <c r="C160" s="19">
        <f>IFERROR(__xludf.DUMMYFUNCTION("""COMPUTED_VALUE"""),43485.0)</f>
        <v>43485</v>
      </c>
      <c r="D160" s="17">
        <f>IFERROR(__xludf.DUMMYFUNCTION("""COMPUTED_VALUE"""),3.0)</f>
        <v>3</v>
      </c>
      <c r="E160" s="17">
        <f>IFERROR(__xludf.DUMMYFUNCTION("""COMPUTED_VALUE"""),1819.0)</f>
        <v>1819</v>
      </c>
      <c r="F160" s="17">
        <f>IFERROR(__xludf.DUMMYFUNCTION("""COMPUTED_VALUE"""),0.0)</f>
        <v>0</v>
      </c>
      <c r="G160" s="17"/>
      <c r="H160" s="21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tr">
        <f>IFERROR(__xludf.DUMMYFUNCTION("""COMPUTED_VALUE"""),"Chile")</f>
        <v>Chile</v>
      </c>
      <c r="B161" s="54">
        <f>IFERROR(__xludf.DUMMYFUNCTION("""COMPUTED_VALUE"""),43486.0)</f>
        <v>43486</v>
      </c>
      <c r="C161" s="19">
        <f>IFERROR(__xludf.DUMMYFUNCTION("""COMPUTED_VALUE"""),43492.0)</f>
        <v>43492</v>
      </c>
      <c r="D161" s="17">
        <f>IFERROR(__xludf.DUMMYFUNCTION("""COMPUTED_VALUE"""),4.0)</f>
        <v>4</v>
      </c>
      <c r="E161" s="17">
        <f>IFERROR(__xludf.DUMMYFUNCTION("""COMPUTED_VALUE"""),1945.0)</f>
        <v>1945</v>
      </c>
      <c r="F161" s="17">
        <f>IFERROR(__xludf.DUMMYFUNCTION("""COMPUTED_VALUE"""),0.0)</f>
        <v>0</v>
      </c>
      <c r="G161" s="17"/>
      <c r="H161" s="21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tr">
        <f>IFERROR(__xludf.DUMMYFUNCTION("""COMPUTED_VALUE"""),"Chile")</f>
        <v>Chile</v>
      </c>
      <c r="B162" s="54">
        <f>IFERROR(__xludf.DUMMYFUNCTION("""COMPUTED_VALUE"""),43493.0)</f>
        <v>43493</v>
      </c>
      <c r="C162" s="19">
        <f>IFERROR(__xludf.DUMMYFUNCTION("""COMPUTED_VALUE"""),43499.0)</f>
        <v>43499</v>
      </c>
      <c r="D162" s="17">
        <f>IFERROR(__xludf.DUMMYFUNCTION("""COMPUTED_VALUE"""),5.0)</f>
        <v>5</v>
      </c>
      <c r="E162" s="17">
        <f>IFERROR(__xludf.DUMMYFUNCTION("""COMPUTED_VALUE"""),1961.0)</f>
        <v>1961</v>
      </c>
      <c r="F162" s="17">
        <f>IFERROR(__xludf.DUMMYFUNCTION("""COMPUTED_VALUE"""),0.0)</f>
        <v>0</v>
      </c>
      <c r="G162" s="17"/>
      <c r="H162" s="21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tr">
        <f>IFERROR(__xludf.DUMMYFUNCTION("""COMPUTED_VALUE"""),"Chile")</f>
        <v>Chile</v>
      </c>
      <c r="B163" s="54">
        <f>IFERROR(__xludf.DUMMYFUNCTION("""COMPUTED_VALUE"""),43500.0)</f>
        <v>43500</v>
      </c>
      <c r="C163" s="19">
        <f>IFERROR(__xludf.DUMMYFUNCTION("""COMPUTED_VALUE"""),43506.0)</f>
        <v>43506</v>
      </c>
      <c r="D163" s="17">
        <f>IFERROR(__xludf.DUMMYFUNCTION("""COMPUTED_VALUE"""),6.0)</f>
        <v>6</v>
      </c>
      <c r="E163" s="17">
        <f>IFERROR(__xludf.DUMMYFUNCTION("""COMPUTED_VALUE"""),2023.0)</f>
        <v>2023</v>
      </c>
      <c r="F163" s="17">
        <f>IFERROR(__xludf.DUMMYFUNCTION("""COMPUTED_VALUE"""),0.0)</f>
        <v>0</v>
      </c>
      <c r="G163" s="17"/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tr">
        <f>IFERROR(__xludf.DUMMYFUNCTION("""COMPUTED_VALUE"""),"Chile")</f>
        <v>Chile</v>
      </c>
      <c r="B164" s="54">
        <f>IFERROR(__xludf.DUMMYFUNCTION("""COMPUTED_VALUE"""),43507.0)</f>
        <v>43507</v>
      </c>
      <c r="C164" s="19">
        <f>IFERROR(__xludf.DUMMYFUNCTION("""COMPUTED_VALUE"""),43513.0)</f>
        <v>43513</v>
      </c>
      <c r="D164" s="17">
        <f>IFERROR(__xludf.DUMMYFUNCTION("""COMPUTED_VALUE"""),7.0)</f>
        <v>7</v>
      </c>
      <c r="E164" s="17">
        <f>IFERROR(__xludf.DUMMYFUNCTION("""COMPUTED_VALUE"""),1875.0)</f>
        <v>1875</v>
      </c>
      <c r="F164" s="17">
        <f>IFERROR(__xludf.DUMMYFUNCTION("""COMPUTED_VALUE"""),0.0)</f>
        <v>0</v>
      </c>
      <c r="G164" s="17"/>
      <c r="H164" s="21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tr">
        <f>IFERROR(__xludf.DUMMYFUNCTION("""COMPUTED_VALUE"""),"Chile")</f>
        <v>Chile</v>
      </c>
      <c r="B165" s="54">
        <f>IFERROR(__xludf.DUMMYFUNCTION("""COMPUTED_VALUE"""),43514.0)</f>
        <v>43514</v>
      </c>
      <c r="C165" s="19">
        <f>IFERROR(__xludf.DUMMYFUNCTION("""COMPUTED_VALUE"""),43520.0)</f>
        <v>43520</v>
      </c>
      <c r="D165" s="17">
        <f>IFERROR(__xludf.DUMMYFUNCTION("""COMPUTED_VALUE"""),8.0)</f>
        <v>8</v>
      </c>
      <c r="E165" s="17">
        <f>IFERROR(__xludf.DUMMYFUNCTION("""COMPUTED_VALUE"""),1931.0)</f>
        <v>1931</v>
      </c>
      <c r="F165" s="17">
        <f>IFERROR(__xludf.DUMMYFUNCTION("""COMPUTED_VALUE"""),0.0)</f>
        <v>0</v>
      </c>
      <c r="G165" s="17"/>
      <c r="H165" s="21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tr">
        <f>IFERROR(__xludf.DUMMYFUNCTION("""COMPUTED_VALUE"""),"Chile")</f>
        <v>Chile</v>
      </c>
      <c r="B166" s="54">
        <f>IFERROR(__xludf.DUMMYFUNCTION("""COMPUTED_VALUE"""),43521.0)</f>
        <v>43521</v>
      </c>
      <c r="C166" s="19">
        <f>IFERROR(__xludf.DUMMYFUNCTION("""COMPUTED_VALUE"""),43527.0)</f>
        <v>43527</v>
      </c>
      <c r="D166" s="17">
        <f>IFERROR(__xludf.DUMMYFUNCTION("""COMPUTED_VALUE"""),9.0)</f>
        <v>9</v>
      </c>
      <c r="E166" s="17">
        <f>IFERROR(__xludf.DUMMYFUNCTION("""COMPUTED_VALUE"""),1862.0)</f>
        <v>1862</v>
      </c>
      <c r="F166" s="17">
        <f>IFERROR(__xludf.DUMMYFUNCTION("""COMPUTED_VALUE"""),0.0)</f>
        <v>0</v>
      </c>
      <c r="G166" s="17"/>
      <c r="H166" s="21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tr">
        <f>IFERROR(__xludf.DUMMYFUNCTION("""COMPUTED_VALUE"""),"Chile")</f>
        <v>Chile</v>
      </c>
      <c r="B167" s="54">
        <f>IFERROR(__xludf.DUMMYFUNCTION("""COMPUTED_VALUE"""),43528.0)</f>
        <v>43528</v>
      </c>
      <c r="C167" s="19">
        <f>IFERROR(__xludf.DUMMYFUNCTION("""COMPUTED_VALUE"""),43534.0)</f>
        <v>43534</v>
      </c>
      <c r="D167" s="17">
        <f>IFERROR(__xludf.DUMMYFUNCTION("""COMPUTED_VALUE"""),10.0)</f>
        <v>10</v>
      </c>
      <c r="E167" s="17">
        <f>IFERROR(__xludf.DUMMYFUNCTION("""COMPUTED_VALUE"""),1795.0)</f>
        <v>1795</v>
      </c>
      <c r="F167" s="17">
        <f>IFERROR(__xludf.DUMMYFUNCTION("""COMPUTED_VALUE"""),0.0)</f>
        <v>0</v>
      </c>
      <c r="G167" s="17"/>
      <c r="H167" s="21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tr">
        <f>IFERROR(__xludf.DUMMYFUNCTION("""COMPUTED_VALUE"""),"Chile")</f>
        <v>Chile</v>
      </c>
      <c r="B168" s="54">
        <f>IFERROR(__xludf.DUMMYFUNCTION("""COMPUTED_VALUE"""),43535.0)</f>
        <v>43535</v>
      </c>
      <c r="C168" s="19">
        <f>IFERROR(__xludf.DUMMYFUNCTION("""COMPUTED_VALUE"""),43541.0)</f>
        <v>43541</v>
      </c>
      <c r="D168" s="17">
        <f>IFERROR(__xludf.DUMMYFUNCTION("""COMPUTED_VALUE"""),11.0)</f>
        <v>11</v>
      </c>
      <c r="E168" s="17">
        <f>IFERROR(__xludf.DUMMYFUNCTION("""COMPUTED_VALUE"""),1867.0)</f>
        <v>1867</v>
      </c>
      <c r="F168" s="17">
        <f>IFERROR(__xludf.DUMMYFUNCTION("""COMPUTED_VALUE"""),0.0)</f>
        <v>0</v>
      </c>
      <c r="G168" s="17"/>
      <c r="H168" s="21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tr">
        <f>IFERROR(__xludf.DUMMYFUNCTION("""COMPUTED_VALUE"""),"Chile")</f>
        <v>Chile</v>
      </c>
      <c r="B169" s="54">
        <f>IFERROR(__xludf.DUMMYFUNCTION("""COMPUTED_VALUE"""),43542.0)</f>
        <v>43542</v>
      </c>
      <c r="C169" s="19">
        <f>IFERROR(__xludf.DUMMYFUNCTION("""COMPUTED_VALUE"""),43548.0)</f>
        <v>43548</v>
      </c>
      <c r="D169" s="17">
        <f>IFERROR(__xludf.DUMMYFUNCTION("""COMPUTED_VALUE"""),12.0)</f>
        <v>12</v>
      </c>
      <c r="E169" s="17">
        <f>IFERROR(__xludf.DUMMYFUNCTION("""COMPUTED_VALUE"""),1877.0)</f>
        <v>1877</v>
      </c>
      <c r="F169" s="17">
        <f>IFERROR(__xludf.DUMMYFUNCTION("""COMPUTED_VALUE"""),0.0)</f>
        <v>0</v>
      </c>
      <c r="G169" s="17"/>
      <c r="H169" s="21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tr">
        <f>IFERROR(__xludf.DUMMYFUNCTION("""COMPUTED_VALUE"""),"Chile")</f>
        <v>Chile</v>
      </c>
      <c r="B170" s="54">
        <f>IFERROR(__xludf.DUMMYFUNCTION("""COMPUTED_VALUE"""),43549.0)</f>
        <v>43549</v>
      </c>
      <c r="C170" s="19">
        <f>IFERROR(__xludf.DUMMYFUNCTION("""COMPUTED_VALUE"""),43555.0)</f>
        <v>43555</v>
      </c>
      <c r="D170" s="17">
        <f>IFERROR(__xludf.DUMMYFUNCTION("""COMPUTED_VALUE"""),13.0)</f>
        <v>13</v>
      </c>
      <c r="E170" s="17">
        <f>IFERROR(__xludf.DUMMYFUNCTION("""COMPUTED_VALUE"""),1848.0)</f>
        <v>1848</v>
      </c>
      <c r="F170" s="17">
        <f>IFERROR(__xludf.DUMMYFUNCTION("""COMPUTED_VALUE"""),0.0)</f>
        <v>0</v>
      </c>
      <c r="G170" s="17"/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tr">
        <f>IFERROR(__xludf.DUMMYFUNCTION("""COMPUTED_VALUE"""),"Chile")</f>
        <v>Chile</v>
      </c>
      <c r="B171" s="54">
        <f>IFERROR(__xludf.DUMMYFUNCTION("""COMPUTED_VALUE"""),43556.0)</f>
        <v>43556</v>
      </c>
      <c r="C171" s="19">
        <f>IFERROR(__xludf.DUMMYFUNCTION("""COMPUTED_VALUE"""),43562.0)</f>
        <v>43562</v>
      </c>
      <c r="D171" s="17">
        <f>IFERROR(__xludf.DUMMYFUNCTION("""COMPUTED_VALUE"""),14.0)</f>
        <v>14</v>
      </c>
      <c r="E171" s="17">
        <f>IFERROR(__xludf.DUMMYFUNCTION("""COMPUTED_VALUE"""),1959.0)</f>
        <v>1959</v>
      </c>
      <c r="F171" s="17">
        <f>IFERROR(__xludf.DUMMYFUNCTION("""COMPUTED_VALUE"""),0.0)</f>
        <v>0</v>
      </c>
      <c r="G171" s="17"/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 t="str">
        <f>IFERROR(__xludf.DUMMYFUNCTION("""COMPUTED_VALUE"""),"Chile")</f>
        <v>Chile</v>
      </c>
      <c r="B172" s="54">
        <f>IFERROR(__xludf.DUMMYFUNCTION("""COMPUTED_VALUE"""),43563.0)</f>
        <v>43563</v>
      </c>
      <c r="C172" s="19">
        <f>IFERROR(__xludf.DUMMYFUNCTION("""COMPUTED_VALUE"""),43569.0)</f>
        <v>43569</v>
      </c>
      <c r="D172" s="17">
        <f>IFERROR(__xludf.DUMMYFUNCTION("""COMPUTED_VALUE"""),15.0)</f>
        <v>15</v>
      </c>
      <c r="E172" s="17">
        <f>IFERROR(__xludf.DUMMYFUNCTION("""COMPUTED_VALUE"""),1973.0)</f>
        <v>1973</v>
      </c>
      <c r="F172" s="17">
        <f>IFERROR(__xludf.DUMMYFUNCTION("""COMPUTED_VALUE"""),0.0)</f>
        <v>0</v>
      </c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 t="str">
        <f>IFERROR(__xludf.DUMMYFUNCTION("""COMPUTED_VALUE"""),"Chile")</f>
        <v>Chile</v>
      </c>
      <c r="B173" s="54">
        <f>IFERROR(__xludf.DUMMYFUNCTION("""COMPUTED_VALUE"""),43570.0)</f>
        <v>43570</v>
      </c>
      <c r="C173" s="19">
        <f>IFERROR(__xludf.DUMMYFUNCTION("""COMPUTED_VALUE"""),43576.0)</f>
        <v>43576</v>
      </c>
      <c r="D173" s="17">
        <f>IFERROR(__xludf.DUMMYFUNCTION("""COMPUTED_VALUE"""),16.0)</f>
        <v>16</v>
      </c>
      <c r="E173" s="17">
        <f>IFERROR(__xludf.DUMMYFUNCTION("""COMPUTED_VALUE"""),1980.0)</f>
        <v>1980</v>
      </c>
      <c r="F173" s="17">
        <f>IFERROR(__xludf.DUMMYFUNCTION("""COMPUTED_VALUE"""),0.0)</f>
        <v>0</v>
      </c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 t="str">
        <f>IFERROR(__xludf.DUMMYFUNCTION("""COMPUTED_VALUE"""),"Chile")</f>
        <v>Chile</v>
      </c>
      <c r="B174" s="54">
        <f>IFERROR(__xludf.DUMMYFUNCTION("""COMPUTED_VALUE"""),43577.0)</f>
        <v>43577</v>
      </c>
      <c r="C174" s="19">
        <f>IFERROR(__xludf.DUMMYFUNCTION("""COMPUTED_VALUE"""),43583.0)</f>
        <v>43583</v>
      </c>
      <c r="D174" s="17">
        <f>IFERROR(__xludf.DUMMYFUNCTION("""COMPUTED_VALUE"""),17.0)</f>
        <v>17</v>
      </c>
      <c r="E174" s="17">
        <f>IFERROR(__xludf.DUMMYFUNCTION("""COMPUTED_VALUE"""),2033.0)</f>
        <v>2033</v>
      </c>
      <c r="F174" s="17">
        <f>IFERROR(__xludf.DUMMYFUNCTION("""COMPUTED_VALUE"""),0.0)</f>
        <v>0</v>
      </c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 t="str">
        <f>IFERROR(__xludf.DUMMYFUNCTION("""COMPUTED_VALUE"""),"Chile")</f>
        <v>Chile</v>
      </c>
      <c r="B175" s="54">
        <f>IFERROR(__xludf.DUMMYFUNCTION("""COMPUTED_VALUE"""),43584.0)</f>
        <v>43584</v>
      </c>
      <c r="C175" s="19">
        <f>IFERROR(__xludf.DUMMYFUNCTION("""COMPUTED_VALUE"""),43590.0)</f>
        <v>43590</v>
      </c>
      <c r="D175" s="17">
        <f>IFERROR(__xludf.DUMMYFUNCTION("""COMPUTED_VALUE"""),18.0)</f>
        <v>18</v>
      </c>
      <c r="E175" s="17">
        <f>IFERROR(__xludf.DUMMYFUNCTION("""COMPUTED_VALUE"""),2095.0)</f>
        <v>2095</v>
      </c>
      <c r="F175" s="17">
        <f>IFERROR(__xludf.DUMMYFUNCTION("""COMPUTED_VALUE"""),0.0)</f>
        <v>0</v>
      </c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 t="str">
        <f>IFERROR(__xludf.DUMMYFUNCTION("""COMPUTED_VALUE"""),"Chile")</f>
        <v>Chile</v>
      </c>
      <c r="B176" s="54">
        <f>IFERROR(__xludf.DUMMYFUNCTION("""COMPUTED_VALUE"""),43591.0)</f>
        <v>43591</v>
      </c>
      <c r="C176" s="19">
        <f>IFERROR(__xludf.DUMMYFUNCTION("""COMPUTED_VALUE"""),43597.0)</f>
        <v>43597</v>
      </c>
      <c r="D176" s="17">
        <f>IFERROR(__xludf.DUMMYFUNCTION("""COMPUTED_VALUE"""),19.0)</f>
        <v>19</v>
      </c>
      <c r="E176" s="17">
        <f>IFERROR(__xludf.DUMMYFUNCTION("""COMPUTED_VALUE"""),2072.0)</f>
        <v>2072</v>
      </c>
      <c r="F176" s="17">
        <f>IFERROR(__xludf.DUMMYFUNCTION("""COMPUTED_VALUE"""),0.0)</f>
        <v>0</v>
      </c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 t="str">
        <f>IFERROR(__xludf.DUMMYFUNCTION("""COMPUTED_VALUE"""),"Chile")</f>
        <v>Chile</v>
      </c>
      <c r="B177" s="54">
        <f>IFERROR(__xludf.DUMMYFUNCTION("""COMPUTED_VALUE"""),43598.0)</f>
        <v>43598</v>
      </c>
      <c r="C177" s="19">
        <f>IFERROR(__xludf.DUMMYFUNCTION("""COMPUTED_VALUE"""),43604.0)</f>
        <v>43604</v>
      </c>
      <c r="D177" s="17">
        <f>IFERROR(__xludf.DUMMYFUNCTION("""COMPUTED_VALUE"""),20.0)</f>
        <v>20</v>
      </c>
      <c r="E177" s="17">
        <f>IFERROR(__xludf.DUMMYFUNCTION("""COMPUTED_VALUE"""),2147.0)</f>
        <v>2147</v>
      </c>
      <c r="F177" s="17">
        <f>IFERROR(__xludf.DUMMYFUNCTION("""COMPUTED_VALUE"""),0.0)</f>
        <v>0</v>
      </c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 t="str">
        <f>IFERROR(__xludf.DUMMYFUNCTION("""COMPUTED_VALUE"""),"Chile")</f>
        <v>Chile</v>
      </c>
      <c r="B178" s="54">
        <f>IFERROR(__xludf.DUMMYFUNCTION("""COMPUTED_VALUE"""),43605.0)</f>
        <v>43605</v>
      </c>
      <c r="C178" s="19">
        <f>IFERROR(__xludf.DUMMYFUNCTION("""COMPUTED_VALUE"""),43611.0)</f>
        <v>43611</v>
      </c>
      <c r="D178" s="17">
        <f>IFERROR(__xludf.DUMMYFUNCTION("""COMPUTED_VALUE"""),21.0)</f>
        <v>21</v>
      </c>
      <c r="E178" s="17">
        <f>IFERROR(__xludf.DUMMYFUNCTION("""COMPUTED_VALUE"""),2364.0)</f>
        <v>2364</v>
      </c>
      <c r="F178" s="17">
        <f>IFERROR(__xludf.DUMMYFUNCTION("""COMPUTED_VALUE"""),0.0)</f>
        <v>0</v>
      </c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 t="str">
        <f>IFERROR(__xludf.DUMMYFUNCTION("""COMPUTED_VALUE"""),"Chile")</f>
        <v>Chile</v>
      </c>
      <c r="B179" s="54">
        <f>IFERROR(__xludf.DUMMYFUNCTION("""COMPUTED_VALUE"""),43612.0)</f>
        <v>43612</v>
      </c>
      <c r="C179" s="19">
        <f>IFERROR(__xludf.DUMMYFUNCTION("""COMPUTED_VALUE"""),43618.0)</f>
        <v>43618</v>
      </c>
      <c r="D179" s="17">
        <f>IFERROR(__xludf.DUMMYFUNCTION("""COMPUTED_VALUE"""),22.0)</f>
        <v>22</v>
      </c>
      <c r="E179" s="17">
        <f>IFERROR(__xludf.DUMMYFUNCTION("""COMPUTED_VALUE"""),2354.0)</f>
        <v>2354</v>
      </c>
      <c r="F179" s="17">
        <f>IFERROR(__xludf.DUMMYFUNCTION("""COMPUTED_VALUE"""),0.0)</f>
        <v>0</v>
      </c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 t="str">
        <f>IFERROR(__xludf.DUMMYFUNCTION("""COMPUTED_VALUE"""),"Chile")</f>
        <v>Chile</v>
      </c>
      <c r="B180" s="54">
        <f>IFERROR(__xludf.DUMMYFUNCTION("""COMPUTED_VALUE"""),43619.0)</f>
        <v>43619</v>
      </c>
      <c r="C180" s="19">
        <f>IFERROR(__xludf.DUMMYFUNCTION("""COMPUTED_VALUE"""),43625.0)</f>
        <v>43625</v>
      </c>
      <c r="D180" s="17">
        <f>IFERROR(__xludf.DUMMYFUNCTION("""COMPUTED_VALUE"""),23.0)</f>
        <v>23</v>
      </c>
      <c r="E180" s="17">
        <f>IFERROR(__xludf.DUMMYFUNCTION("""COMPUTED_VALUE"""),2324.0)</f>
        <v>2324</v>
      </c>
      <c r="F180" s="17">
        <f>IFERROR(__xludf.DUMMYFUNCTION("""COMPUTED_VALUE"""),0.0)</f>
        <v>0</v>
      </c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 t="str">
        <f>IFERROR(__xludf.DUMMYFUNCTION("""COMPUTED_VALUE"""),"Chile")</f>
        <v>Chile</v>
      </c>
      <c r="B181" s="54">
        <f>IFERROR(__xludf.DUMMYFUNCTION("""COMPUTED_VALUE"""),43626.0)</f>
        <v>43626</v>
      </c>
      <c r="C181" s="19">
        <f>IFERROR(__xludf.DUMMYFUNCTION("""COMPUTED_VALUE"""),43632.0)</f>
        <v>43632</v>
      </c>
      <c r="D181" s="17">
        <f>IFERROR(__xludf.DUMMYFUNCTION("""COMPUTED_VALUE"""),24.0)</f>
        <v>24</v>
      </c>
      <c r="E181" s="17">
        <f>IFERROR(__xludf.DUMMYFUNCTION("""COMPUTED_VALUE"""),2429.0)</f>
        <v>2429</v>
      </c>
      <c r="F181" s="17">
        <f>IFERROR(__xludf.DUMMYFUNCTION("""COMPUTED_VALUE"""),0.0)</f>
        <v>0</v>
      </c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 t="str">
        <f>IFERROR(__xludf.DUMMYFUNCTION("""COMPUTED_VALUE"""),"Chile")</f>
        <v>Chile</v>
      </c>
      <c r="B182" s="54">
        <f>IFERROR(__xludf.DUMMYFUNCTION("""COMPUTED_VALUE"""),43633.0)</f>
        <v>43633</v>
      </c>
      <c r="C182" s="19">
        <f>IFERROR(__xludf.DUMMYFUNCTION("""COMPUTED_VALUE"""),43639.0)</f>
        <v>43639</v>
      </c>
      <c r="D182" s="17">
        <f>IFERROR(__xludf.DUMMYFUNCTION("""COMPUTED_VALUE"""),25.0)</f>
        <v>25</v>
      </c>
      <c r="E182" s="17">
        <f>IFERROR(__xludf.DUMMYFUNCTION("""COMPUTED_VALUE"""),2477.0)</f>
        <v>2477</v>
      </c>
      <c r="F182" s="17">
        <f>IFERROR(__xludf.DUMMYFUNCTION("""COMPUTED_VALUE"""),0.0)</f>
        <v>0</v>
      </c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 t="str">
        <f>IFERROR(__xludf.DUMMYFUNCTION("""COMPUTED_VALUE"""),"Chile")</f>
        <v>Chile</v>
      </c>
      <c r="B183" s="54">
        <f>IFERROR(__xludf.DUMMYFUNCTION("""COMPUTED_VALUE"""),43640.0)</f>
        <v>43640</v>
      </c>
      <c r="C183" s="19">
        <f>IFERROR(__xludf.DUMMYFUNCTION("""COMPUTED_VALUE"""),43646.0)</f>
        <v>43646</v>
      </c>
      <c r="D183" s="17">
        <f>IFERROR(__xludf.DUMMYFUNCTION("""COMPUTED_VALUE"""),26.0)</f>
        <v>26</v>
      </c>
      <c r="E183" s="17">
        <f>IFERROR(__xludf.DUMMYFUNCTION("""COMPUTED_VALUE"""),2504.0)</f>
        <v>2504</v>
      </c>
      <c r="F183" s="17">
        <f>IFERROR(__xludf.DUMMYFUNCTION("""COMPUTED_VALUE"""),0.0)</f>
        <v>0</v>
      </c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 t="str">
        <f>IFERROR(__xludf.DUMMYFUNCTION("""COMPUTED_VALUE"""),"Chile")</f>
        <v>Chile</v>
      </c>
      <c r="B184" s="54">
        <f>IFERROR(__xludf.DUMMYFUNCTION("""COMPUTED_VALUE"""),43647.0)</f>
        <v>43647</v>
      </c>
      <c r="C184" s="19">
        <f>IFERROR(__xludf.DUMMYFUNCTION("""COMPUTED_VALUE"""),43653.0)</f>
        <v>43653</v>
      </c>
      <c r="D184" s="17">
        <f>IFERROR(__xludf.DUMMYFUNCTION("""COMPUTED_VALUE"""),27.0)</f>
        <v>27</v>
      </c>
      <c r="E184" s="17">
        <f>IFERROR(__xludf.DUMMYFUNCTION("""COMPUTED_VALUE"""),2458.0)</f>
        <v>2458</v>
      </c>
      <c r="F184" s="17">
        <f>IFERROR(__xludf.DUMMYFUNCTION("""COMPUTED_VALUE"""),0.0)</f>
        <v>0</v>
      </c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 t="str">
        <f>IFERROR(__xludf.DUMMYFUNCTION("""COMPUTED_VALUE"""),"Chile")</f>
        <v>Chile</v>
      </c>
      <c r="B185" s="54">
        <f>IFERROR(__xludf.DUMMYFUNCTION("""COMPUTED_VALUE"""),43654.0)</f>
        <v>43654</v>
      </c>
      <c r="C185" s="19">
        <f>IFERROR(__xludf.DUMMYFUNCTION("""COMPUTED_VALUE"""),43660.0)</f>
        <v>43660</v>
      </c>
      <c r="D185" s="17">
        <f>IFERROR(__xludf.DUMMYFUNCTION("""COMPUTED_VALUE"""),28.0)</f>
        <v>28</v>
      </c>
      <c r="E185" s="17">
        <f>IFERROR(__xludf.DUMMYFUNCTION("""COMPUTED_VALUE"""),2376.0)</f>
        <v>2376</v>
      </c>
      <c r="F185" s="17">
        <f>IFERROR(__xludf.DUMMYFUNCTION("""COMPUTED_VALUE"""),0.0)</f>
        <v>0</v>
      </c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 t="str">
        <f>IFERROR(__xludf.DUMMYFUNCTION("""COMPUTED_VALUE"""),"Chile")</f>
        <v>Chile</v>
      </c>
      <c r="B186" s="54">
        <f>IFERROR(__xludf.DUMMYFUNCTION("""COMPUTED_VALUE"""),43661.0)</f>
        <v>43661</v>
      </c>
      <c r="C186" s="19">
        <f>IFERROR(__xludf.DUMMYFUNCTION("""COMPUTED_VALUE"""),43667.0)</f>
        <v>43667</v>
      </c>
      <c r="D186" s="17">
        <f>IFERROR(__xludf.DUMMYFUNCTION("""COMPUTED_VALUE"""),29.0)</f>
        <v>29</v>
      </c>
      <c r="E186" s="17">
        <f>IFERROR(__xludf.DUMMYFUNCTION("""COMPUTED_VALUE"""),2420.0)</f>
        <v>2420</v>
      </c>
      <c r="F186" s="17">
        <f>IFERROR(__xludf.DUMMYFUNCTION("""COMPUTED_VALUE"""),0.0)</f>
        <v>0</v>
      </c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 t="str">
        <f>IFERROR(__xludf.DUMMYFUNCTION("""COMPUTED_VALUE"""),"Chile")</f>
        <v>Chile</v>
      </c>
      <c r="B187" s="54">
        <f>IFERROR(__xludf.DUMMYFUNCTION("""COMPUTED_VALUE"""),43668.0)</f>
        <v>43668</v>
      </c>
      <c r="C187" s="19">
        <f>IFERROR(__xludf.DUMMYFUNCTION("""COMPUTED_VALUE"""),43674.0)</f>
        <v>43674</v>
      </c>
      <c r="D187" s="17">
        <f>IFERROR(__xludf.DUMMYFUNCTION("""COMPUTED_VALUE"""),30.0)</f>
        <v>30</v>
      </c>
      <c r="E187" s="17">
        <f>IFERROR(__xludf.DUMMYFUNCTION("""COMPUTED_VALUE"""),2343.0)</f>
        <v>2343</v>
      </c>
      <c r="F187" s="17">
        <f>IFERROR(__xludf.DUMMYFUNCTION("""COMPUTED_VALUE"""),0.0)</f>
        <v>0</v>
      </c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 t="str">
        <f>IFERROR(__xludf.DUMMYFUNCTION("""COMPUTED_VALUE"""),"Chile")</f>
        <v>Chile</v>
      </c>
      <c r="B188" s="54">
        <f>IFERROR(__xludf.DUMMYFUNCTION("""COMPUTED_VALUE"""),43675.0)</f>
        <v>43675</v>
      </c>
      <c r="C188" s="19">
        <f>IFERROR(__xludf.DUMMYFUNCTION("""COMPUTED_VALUE"""),43681.0)</f>
        <v>43681</v>
      </c>
      <c r="D188" s="17">
        <f>IFERROR(__xludf.DUMMYFUNCTION("""COMPUTED_VALUE"""),31.0)</f>
        <v>31</v>
      </c>
      <c r="E188" s="17">
        <f>IFERROR(__xludf.DUMMYFUNCTION("""COMPUTED_VALUE"""),2341.0)</f>
        <v>2341</v>
      </c>
      <c r="F188" s="17">
        <f>IFERROR(__xludf.DUMMYFUNCTION("""COMPUTED_VALUE"""),0.0)</f>
        <v>0</v>
      </c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 t="str">
        <f>IFERROR(__xludf.DUMMYFUNCTION("""COMPUTED_VALUE"""),"Chile")</f>
        <v>Chile</v>
      </c>
      <c r="B189" s="54">
        <f>IFERROR(__xludf.DUMMYFUNCTION("""COMPUTED_VALUE"""),43682.0)</f>
        <v>43682</v>
      </c>
      <c r="C189" s="19">
        <f>IFERROR(__xludf.DUMMYFUNCTION("""COMPUTED_VALUE"""),43688.0)</f>
        <v>43688</v>
      </c>
      <c r="D189" s="17">
        <f>IFERROR(__xludf.DUMMYFUNCTION("""COMPUTED_VALUE"""),32.0)</f>
        <v>32</v>
      </c>
      <c r="E189" s="17">
        <f>IFERROR(__xludf.DUMMYFUNCTION("""COMPUTED_VALUE"""),2265.0)</f>
        <v>2265</v>
      </c>
      <c r="F189" s="17">
        <f>IFERROR(__xludf.DUMMYFUNCTION("""COMPUTED_VALUE"""),0.0)</f>
        <v>0</v>
      </c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 t="str">
        <f>IFERROR(__xludf.DUMMYFUNCTION("""COMPUTED_VALUE"""),"Chile")</f>
        <v>Chile</v>
      </c>
      <c r="B190" s="54">
        <f>IFERROR(__xludf.DUMMYFUNCTION("""COMPUTED_VALUE"""),43689.0)</f>
        <v>43689</v>
      </c>
      <c r="C190" s="19">
        <f>IFERROR(__xludf.DUMMYFUNCTION("""COMPUTED_VALUE"""),43695.0)</f>
        <v>43695</v>
      </c>
      <c r="D190" s="17">
        <f>IFERROR(__xludf.DUMMYFUNCTION("""COMPUTED_VALUE"""),33.0)</f>
        <v>33</v>
      </c>
      <c r="E190" s="17">
        <f>IFERROR(__xludf.DUMMYFUNCTION("""COMPUTED_VALUE"""),2296.0)</f>
        <v>2296</v>
      </c>
      <c r="F190" s="17">
        <f>IFERROR(__xludf.DUMMYFUNCTION("""COMPUTED_VALUE"""),0.0)</f>
        <v>0</v>
      </c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 t="str">
        <f>IFERROR(__xludf.DUMMYFUNCTION("""COMPUTED_VALUE"""),"Chile")</f>
        <v>Chile</v>
      </c>
      <c r="B191" s="54">
        <f>IFERROR(__xludf.DUMMYFUNCTION("""COMPUTED_VALUE"""),43696.0)</f>
        <v>43696</v>
      </c>
      <c r="C191" s="19">
        <f>IFERROR(__xludf.DUMMYFUNCTION("""COMPUTED_VALUE"""),43702.0)</f>
        <v>43702</v>
      </c>
      <c r="D191" s="17">
        <f>IFERROR(__xludf.DUMMYFUNCTION("""COMPUTED_VALUE"""),34.0)</f>
        <v>34</v>
      </c>
      <c r="E191" s="17">
        <f>IFERROR(__xludf.DUMMYFUNCTION("""COMPUTED_VALUE"""),2239.0)</f>
        <v>2239</v>
      </c>
      <c r="F191" s="17">
        <f>IFERROR(__xludf.DUMMYFUNCTION("""COMPUTED_VALUE"""),0.0)</f>
        <v>0</v>
      </c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 t="str">
        <f>IFERROR(__xludf.DUMMYFUNCTION("""COMPUTED_VALUE"""),"Chile")</f>
        <v>Chile</v>
      </c>
      <c r="B192" s="54">
        <f>IFERROR(__xludf.DUMMYFUNCTION("""COMPUTED_VALUE"""),43703.0)</f>
        <v>43703</v>
      </c>
      <c r="C192" s="19">
        <f>IFERROR(__xludf.DUMMYFUNCTION("""COMPUTED_VALUE"""),43709.0)</f>
        <v>43709</v>
      </c>
      <c r="D192" s="17">
        <f>IFERROR(__xludf.DUMMYFUNCTION("""COMPUTED_VALUE"""),35.0)</f>
        <v>35</v>
      </c>
      <c r="E192" s="17">
        <f>IFERROR(__xludf.DUMMYFUNCTION("""COMPUTED_VALUE"""),2181.0)</f>
        <v>2181</v>
      </c>
      <c r="F192" s="17">
        <f>IFERROR(__xludf.DUMMYFUNCTION("""COMPUTED_VALUE"""),0.0)</f>
        <v>0</v>
      </c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 t="str">
        <f>IFERROR(__xludf.DUMMYFUNCTION("""COMPUTED_VALUE"""),"Chile")</f>
        <v>Chile</v>
      </c>
      <c r="B193" s="54">
        <f>IFERROR(__xludf.DUMMYFUNCTION("""COMPUTED_VALUE"""),43710.0)</f>
        <v>43710</v>
      </c>
      <c r="C193" s="19">
        <f>IFERROR(__xludf.DUMMYFUNCTION("""COMPUTED_VALUE"""),43716.0)</f>
        <v>43716</v>
      </c>
      <c r="D193" s="17">
        <f>IFERROR(__xludf.DUMMYFUNCTION("""COMPUTED_VALUE"""),36.0)</f>
        <v>36</v>
      </c>
      <c r="E193" s="17">
        <f>IFERROR(__xludf.DUMMYFUNCTION("""COMPUTED_VALUE"""),2181.0)</f>
        <v>2181</v>
      </c>
      <c r="F193" s="17">
        <f>IFERROR(__xludf.DUMMYFUNCTION("""COMPUTED_VALUE"""),0.0)</f>
        <v>0</v>
      </c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 t="str">
        <f>IFERROR(__xludf.DUMMYFUNCTION("""COMPUTED_VALUE"""),"Chile")</f>
        <v>Chile</v>
      </c>
      <c r="B194" s="54">
        <f>IFERROR(__xludf.DUMMYFUNCTION("""COMPUTED_VALUE"""),43717.0)</f>
        <v>43717</v>
      </c>
      <c r="C194" s="19">
        <f>IFERROR(__xludf.DUMMYFUNCTION("""COMPUTED_VALUE"""),43723.0)</f>
        <v>43723</v>
      </c>
      <c r="D194" s="17">
        <f>IFERROR(__xludf.DUMMYFUNCTION("""COMPUTED_VALUE"""),37.0)</f>
        <v>37</v>
      </c>
      <c r="E194" s="17">
        <f>IFERROR(__xludf.DUMMYFUNCTION("""COMPUTED_VALUE"""),2210.0)</f>
        <v>2210</v>
      </c>
      <c r="F194" s="17">
        <f>IFERROR(__xludf.DUMMYFUNCTION("""COMPUTED_VALUE"""),0.0)</f>
        <v>0</v>
      </c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 t="str">
        <f>IFERROR(__xludf.DUMMYFUNCTION("""COMPUTED_VALUE"""),"Chile")</f>
        <v>Chile</v>
      </c>
      <c r="B195" s="54">
        <f>IFERROR(__xludf.DUMMYFUNCTION("""COMPUTED_VALUE"""),43724.0)</f>
        <v>43724</v>
      </c>
      <c r="C195" s="19">
        <f>IFERROR(__xludf.DUMMYFUNCTION("""COMPUTED_VALUE"""),43730.0)</f>
        <v>43730</v>
      </c>
      <c r="D195" s="17">
        <f>IFERROR(__xludf.DUMMYFUNCTION("""COMPUTED_VALUE"""),38.0)</f>
        <v>38</v>
      </c>
      <c r="E195" s="17">
        <f>IFERROR(__xludf.DUMMYFUNCTION("""COMPUTED_VALUE"""),2224.0)</f>
        <v>2224</v>
      </c>
      <c r="F195" s="17">
        <f>IFERROR(__xludf.DUMMYFUNCTION("""COMPUTED_VALUE"""),0.0)</f>
        <v>0</v>
      </c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 t="str">
        <f>IFERROR(__xludf.DUMMYFUNCTION("""COMPUTED_VALUE"""),"Chile")</f>
        <v>Chile</v>
      </c>
      <c r="B196" s="54">
        <f>IFERROR(__xludf.DUMMYFUNCTION("""COMPUTED_VALUE"""),43731.0)</f>
        <v>43731</v>
      </c>
      <c r="C196" s="19">
        <f>IFERROR(__xludf.DUMMYFUNCTION("""COMPUTED_VALUE"""),43737.0)</f>
        <v>43737</v>
      </c>
      <c r="D196" s="17">
        <f>IFERROR(__xludf.DUMMYFUNCTION("""COMPUTED_VALUE"""),39.0)</f>
        <v>39</v>
      </c>
      <c r="E196" s="17">
        <f>IFERROR(__xludf.DUMMYFUNCTION("""COMPUTED_VALUE"""),2270.0)</f>
        <v>2270</v>
      </c>
      <c r="F196" s="17">
        <f>IFERROR(__xludf.DUMMYFUNCTION("""COMPUTED_VALUE"""),0.0)</f>
        <v>0</v>
      </c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 t="str">
        <f>IFERROR(__xludf.DUMMYFUNCTION("""COMPUTED_VALUE"""),"Chile")</f>
        <v>Chile</v>
      </c>
      <c r="B197" s="54">
        <f>IFERROR(__xludf.DUMMYFUNCTION("""COMPUTED_VALUE"""),43738.0)</f>
        <v>43738</v>
      </c>
      <c r="C197" s="19">
        <f>IFERROR(__xludf.DUMMYFUNCTION("""COMPUTED_VALUE"""),43744.0)</f>
        <v>43744</v>
      </c>
      <c r="D197" s="17">
        <f>IFERROR(__xludf.DUMMYFUNCTION("""COMPUTED_VALUE"""),40.0)</f>
        <v>40</v>
      </c>
      <c r="E197" s="17">
        <f>IFERROR(__xludf.DUMMYFUNCTION("""COMPUTED_VALUE"""),2163.0)</f>
        <v>2163</v>
      </c>
      <c r="F197" s="17">
        <f>IFERROR(__xludf.DUMMYFUNCTION("""COMPUTED_VALUE"""),0.0)</f>
        <v>0</v>
      </c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 t="str">
        <f>IFERROR(__xludf.DUMMYFUNCTION("""COMPUTED_VALUE"""),"Chile")</f>
        <v>Chile</v>
      </c>
      <c r="B198" s="54">
        <f>IFERROR(__xludf.DUMMYFUNCTION("""COMPUTED_VALUE"""),43745.0)</f>
        <v>43745</v>
      </c>
      <c r="C198" s="19">
        <f>IFERROR(__xludf.DUMMYFUNCTION("""COMPUTED_VALUE"""),43751.0)</f>
        <v>43751</v>
      </c>
      <c r="D198" s="17">
        <f>IFERROR(__xludf.DUMMYFUNCTION("""COMPUTED_VALUE"""),41.0)</f>
        <v>41</v>
      </c>
      <c r="E198" s="17">
        <f>IFERROR(__xludf.DUMMYFUNCTION("""COMPUTED_VALUE"""),2123.0)</f>
        <v>2123</v>
      </c>
      <c r="F198" s="17">
        <f>IFERROR(__xludf.DUMMYFUNCTION("""COMPUTED_VALUE"""),0.0)</f>
        <v>0</v>
      </c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 t="str">
        <f>IFERROR(__xludf.DUMMYFUNCTION("""COMPUTED_VALUE"""),"Chile")</f>
        <v>Chile</v>
      </c>
      <c r="B199" s="54">
        <f>IFERROR(__xludf.DUMMYFUNCTION("""COMPUTED_VALUE"""),43752.0)</f>
        <v>43752</v>
      </c>
      <c r="C199" s="19">
        <f>IFERROR(__xludf.DUMMYFUNCTION("""COMPUTED_VALUE"""),43758.0)</f>
        <v>43758</v>
      </c>
      <c r="D199" s="17">
        <f>IFERROR(__xludf.DUMMYFUNCTION("""COMPUTED_VALUE"""),42.0)</f>
        <v>42</v>
      </c>
      <c r="E199" s="17">
        <f>IFERROR(__xludf.DUMMYFUNCTION("""COMPUTED_VALUE"""),2067.0)</f>
        <v>2067</v>
      </c>
      <c r="F199" s="17">
        <f>IFERROR(__xludf.DUMMYFUNCTION("""COMPUTED_VALUE"""),0.0)</f>
        <v>0</v>
      </c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 t="str">
        <f>IFERROR(__xludf.DUMMYFUNCTION("""COMPUTED_VALUE"""),"Chile")</f>
        <v>Chile</v>
      </c>
      <c r="B200" s="54">
        <f>IFERROR(__xludf.DUMMYFUNCTION("""COMPUTED_VALUE"""),43759.0)</f>
        <v>43759</v>
      </c>
      <c r="C200" s="19">
        <f>IFERROR(__xludf.DUMMYFUNCTION("""COMPUTED_VALUE"""),43765.0)</f>
        <v>43765</v>
      </c>
      <c r="D200" s="17">
        <f>IFERROR(__xludf.DUMMYFUNCTION("""COMPUTED_VALUE"""),43.0)</f>
        <v>43</v>
      </c>
      <c r="E200" s="17">
        <f>IFERROR(__xludf.DUMMYFUNCTION("""COMPUTED_VALUE"""),2025.0)</f>
        <v>2025</v>
      </c>
      <c r="F200" s="17">
        <f>IFERROR(__xludf.DUMMYFUNCTION("""COMPUTED_VALUE"""),0.0)</f>
        <v>0</v>
      </c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 t="str">
        <f>IFERROR(__xludf.DUMMYFUNCTION("""COMPUTED_VALUE"""),"Chile")</f>
        <v>Chile</v>
      </c>
      <c r="B201" s="54">
        <f>IFERROR(__xludf.DUMMYFUNCTION("""COMPUTED_VALUE"""),43766.0)</f>
        <v>43766</v>
      </c>
      <c r="C201" s="19">
        <f>IFERROR(__xludf.DUMMYFUNCTION("""COMPUTED_VALUE"""),43772.0)</f>
        <v>43772</v>
      </c>
      <c r="D201" s="17">
        <f>IFERROR(__xludf.DUMMYFUNCTION("""COMPUTED_VALUE"""),44.0)</f>
        <v>44</v>
      </c>
      <c r="E201" s="17">
        <f>IFERROR(__xludf.DUMMYFUNCTION("""COMPUTED_VALUE"""),2038.0)</f>
        <v>2038</v>
      </c>
      <c r="F201" s="17">
        <f>IFERROR(__xludf.DUMMYFUNCTION("""COMPUTED_VALUE"""),0.0)</f>
        <v>0</v>
      </c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 t="str">
        <f>IFERROR(__xludf.DUMMYFUNCTION("""COMPUTED_VALUE"""),"Chile")</f>
        <v>Chile</v>
      </c>
      <c r="B202" s="54">
        <f>IFERROR(__xludf.DUMMYFUNCTION("""COMPUTED_VALUE"""),43773.0)</f>
        <v>43773</v>
      </c>
      <c r="C202" s="19">
        <f>IFERROR(__xludf.DUMMYFUNCTION("""COMPUTED_VALUE"""),43779.0)</f>
        <v>43779</v>
      </c>
      <c r="D202" s="17">
        <f>IFERROR(__xludf.DUMMYFUNCTION("""COMPUTED_VALUE"""),45.0)</f>
        <v>45</v>
      </c>
      <c r="E202" s="17">
        <f>IFERROR(__xludf.DUMMYFUNCTION("""COMPUTED_VALUE"""),2039.0)</f>
        <v>2039</v>
      </c>
      <c r="F202" s="17">
        <f>IFERROR(__xludf.DUMMYFUNCTION("""COMPUTED_VALUE"""),0.0)</f>
        <v>0</v>
      </c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 t="str">
        <f>IFERROR(__xludf.DUMMYFUNCTION("""COMPUTED_VALUE"""),"Chile")</f>
        <v>Chile</v>
      </c>
      <c r="B203" s="54">
        <f>IFERROR(__xludf.DUMMYFUNCTION("""COMPUTED_VALUE"""),43780.0)</f>
        <v>43780</v>
      </c>
      <c r="C203" s="19">
        <f>IFERROR(__xludf.DUMMYFUNCTION("""COMPUTED_VALUE"""),43786.0)</f>
        <v>43786</v>
      </c>
      <c r="D203" s="17">
        <f>IFERROR(__xludf.DUMMYFUNCTION("""COMPUTED_VALUE"""),46.0)</f>
        <v>46</v>
      </c>
      <c r="E203" s="17">
        <f>IFERROR(__xludf.DUMMYFUNCTION("""COMPUTED_VALUE"""),2013.0)</f>
        <v>2013</v>
      </c>
      <c r="F203" s="17">
        <f>IFERROR(__xludf.DUMMYFUNCTION("""COMPUTED_VALUE"""),0.0)</f>
        <v>0</v>
      </c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 t="str">
        <f>IFERROR(__xludf.DUMMYFUNCTION("""COMPUTED_VALUE"""),"Chile")</f>
        <v>Chile</v>
      </c>
      <c r="B204" s="54">
        <f>IFERROR(__xludf.DUMMYFUNCTION("""COMPUTED_VALUE"""),43787.0)</f>
        <v>43787</v>
      </c>
      <c r="C204" s="19">
        <f>IFERROR(__xludf.DUMMYFUNCTION("""COMPUTED_VALUE"""),43793.0)</f>
        <v>43793</v>
      </c>
      <c r="D204" s="17">
        <f>IFERROR(__xludf.DUMMYFUNCTION("""COMPUTED_VALUE"""),47.0)</f>
        <v>47</v>
      </c>
      <c r="E204" s="17">
        <f>IFERROR(__xludf.DUMMYFUNCTION("""COMPUTED_VALUE"""),2003.0)</f>
        <v>2003</v>
      </c>
      <c r="F204" s="17">
        <f>IFERROR(__xludf.DUMMYFUNCTION("""COMPUTED_VALUE"""),0.0)</f>
        <v>0</v>
      </c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 t="str">
        <f>IFERROR(__xludf.DUMMYFUNCTION("""COMPUTED_VALUE"""),"Chile")</f>
        <v>Chile</v>
      </c>
      <c r="B205" s="54">
        <f>IFERROR(__xludf.DUMMYFUNCTION("""COMPUTED_VALUE"""),43794.0)</f>
        <v>43794</v>
      </c>
      <c r="C205" s="19">
        <f>IFERROR(__xludf.DUMMYFUNCTION("""COMPUTED_VALUE"""),43800.0)</f>
        <v>43800</v>
      </c>
      <c r="D205" s="17">
        <f>IFERROR(__xludf.DUMMYFUNCTION("""COMPUTED_VALUE"""),48.0)</f>
        <v>48</v>
      </c>
      <c r="E205" s="17">
        <f>IFERROR(__xludf.DUMMYFUNCTION("""COMPUTED_VALUE"""),1978.0)</f>
        <v>1978</v>
      </c>
      <c r="F205" s="17">
        <f>IFERROR(__xludf.DUMMYFUNCTION("""COMPUTED_VALUE"""),0.0)</f>
        <v>0</v>
      </c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 t="str">
        <f>IFERROR(__xludf.DUMMYFUNCTION("""COMPUTED_VALUE"""),"Chile")</f>
        <v>Chile</v>
      </c>
      <c r="B206" s="54">
        <f>IFERROR(__xludf.DUMMYFUNCTION("""COMPUTED_VALUE"""),43801.0)</f>
        <v>43801</v>
      </c>
      <c r="C206" s="19">
        <f>IFERROR(__xludf.DUMMYFUNCTION("""COMPUTED_VALUE"""),43807.0)</f>
        <v>43807</v>
      </c>
      <c r="D206" s="17">
        <f>IFERROR(__xludf.DUMMYFUNCTION("""COMPUTED_VALUE"""),49.0)</f>
        <v>49</v>
      </c>
      <c r="E206" s="17">
        <f>IFERROR(__xludf.DUMMYFUNCTION("""COMPUTED_VALUE"""),1878.0)</f>
        <v>1878</v>
      </c>
      <c r="F206" s="17">
        <f>IFERROR(__xludf.DUMMYFUNCTION("""COMPUTED_VALUE"""),0.0)</f>
        <v>0</v>
      </c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 t="str">
        <f>IFERROR(__xludf.DUMMYFUNCTION("""COMPUTED_VALUE"""),"Chile")</f>
        <v>Chile</v>
      </c>
      <c r="B207" s="54">
        <f>IFERROR(__xludf.DUMMYFUNCTION("""COMPUTED_VALUE"""),43808.0)</f>
        <v>43808</v>
      </c>
      <c r="C207" s="19">
        <f>IFERROR(__xludf.DUMMYFUNCTION("""COMPUTED_VALUE"""),43814.0)</f>
        <v>43814</v>
      </c>
      <c r="D207" s="17">
        <f>IFERROR(__xludf.DUMMYFUNCTION("""COMPUTED_VALUE"""),50.0)</f>
        <v>50</v>
      </c>
      <c r="E207" s="17">
        <f>IFERROR(__xludf.DUMMYFUNCTION("""COMPUTED_VALUE"""),1892.0)</f>
        <v>1892</v>
      </c>
      <c r="F207" s="17">
        <f>IFERROR(__xludf.DUMMYFUNCTION("""COMPUTED_VALUE"""),0.0)</f>
        <v>0</v>
      </c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 t="str">
        <f>IFERROR(__xludf.DUMMYFUNCTION("""COMPUTED_VALUE"""),"Chile")</f>
        <v>Chile</v>
      </c>
      <c r="B208" s="54">
        <f>IFERROR(__xludf.DUMMYFUNCTION("""COMPUTED_VALUE"""),43815.0)</f>
        <v>43815</v>
      </c>
      <c r="C208" s="19">
        <f>IFERROR(__xludf.DUMMYFUNCTION("""COMPUTED_VALUE"""),43821.0)</f>
        <v>43821</v>
      </c>
      <c r="D208" s="17">
        <f>IFERROR(__xludf.DUMMYFUNCTION("""COMPUTED_VALUE"""),51.0)</f>
        <v>51</v>
      </c>
      <c r="E208" s="17">
        <f>IFERROR(__xludf.DUMMYFUNCTION("""COMPUTED_VALUE"""),1963.0)</f>
        <v>1963</v>
      </c>
      <c r="F208" s="17">
        <f>IFERROR(__xludf.DUMMYFUNCTION("""COMPUTED_VALUE"""),0.0)</f>
        <v>0</v>
      </c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 t="str">
        <f>IFERROR(__xludf.DUMMYFUNCTION("""COMPUTED_VALUE"""),"Chile")</f>
        <v>Chile</v>
      </c>
      <c r="B209" s="54">
        <f>IFERROR(__xludf.DUMMYFUNCTION("""COMPUTED_VALUE"""),43822.0)</f>
        <v>43822</v>
      </c>
      <c r="C209" s="19">
        <f>IFERROR(__xludf.DUMMYFUNCTION("""COMPUTED_VALUE"""),43828.0)</f>
        <v>43828</v>
      </c>
      <c r="D209" s="17">
        <f>IFERROR(__xludf.DUMMYFUNCTION("""COMPUTED_VALUE"""),52.0)</f>
        <v>52</v>
      </c>
      <c r="E209" s="17">
        <f>IFERROR(__xludf.DUMMYFUNCTION("""COMPUTED_VALUE"""),2010.0)</f>
        <v>2010</v>
      </c>
      <c r="F209" s="17">
        <f>IFERROR(__xludf.DUMMYFUNCTION("""COMPUTED_VALUE"""),0.0)</f>
        <v>0</v>
      </c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 t="str">
        <f>IFERROR(__xludf.DUMMYFUNCTION("""COMPUTED_VALUE"""),"Chile")</f>
        <v>Chile</v>
      </c>
      <c r="B210" s="54">
        <f>IFERROR(__xludf.DUMMYFUNCTION("""COMPUTED_VALUE"""),43829.0)</f>
        <v>43829</v>
      </c>
      <c r="C210" s="19">
        <f>IFERROR(__xludf.DUMMYFUNCTION("""COMPUTED_VALUE"""),43835.0)</f>
        <v>43835</v>
      </c>
      <c r="D210" s="17">
        <f>IFERROR(__xludf.DUMMYFUNCTION("""COMPUTED_VALUE"""),1.0)</f>
        <v>1</v>
      </c>
      <c r="E210" s="17">
        <f>IFERROR(__xludf.DUMMYFUNCTION("""COMPUTED_VALUE"""),2108.0)</f>
        <v>2108</v>
      </c>
      <c r="F210" s="17">
        <f>IFERROR(__xludf.DUMMYFUNCTION("""COMPUTED_VALUE"""),0.0)</f>
        <v>0</v>
      </c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 t="str">
        <f>IFERROR(__xludf.DUMMYFUNCTION("""COMPUTED_VALUE"""),"Chile")</f>
        <v>Chile</v>
      </c>
      <c r="B211" s="54">
        <f>IFERROR(__xludf.DUMMYFUNCTION("""COMPUTED_VALUE"""),43836.0)</f>
        <v>43836</v>
      </c>
      <c r="C211" s="19">
        <f>IFERROR(__xludf.DUMMYFUNCTION("""COMPUTED_VALUE"""),43842.0)</f>
        <v>43842</v>
      </c>
      <c r="D211" s="17">
        <f>IFERROR(__xludf.DUMMYFUNCTION("""COMPUTED_VALUE"""),2.0)</f>
        <v>2</v>
      </c>
      <c r="E211" s="17">
        <f>IFERROR(__xludf.DUMMYFUNCTION("""COMPUTED_VALUE"""),2053.0)</f>
        <v>2053</v>
      </c>
      <c r="F211" s="17">
        <f>IFERROR(__xludf.DUMMYFUNCTION("""COMPUTED_VALUE"""),0.0)</f>
        <v>0</v>
      </c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 t="str">
        <f>IFERROR(__xludf.DUMMYFUNCTION("""COMPUTED_VALUE"""),"Chile")</f>
        <v>Chile</v>
      </c>
      <c r="B212" s="54">
        <f>IFERROR(__xludf.DUMMYFUNCTION("""COMPUTED_VALUE"""),43843.0)</f>
        <v>43843</v>
      </c>
      <c r="C212" s="19">
        <f>IFERROR(__xludf.DUMMYFUNCTION("""COMPUTED_VALUE"""),43849.0)</f>
        <v>43849</v>
      </c>
      <c r="D212" s="17">
        <f>IFERROR(__xludf.DUMMYFUNCTION("""COMPUTED_VALUE"""),3.0)</f>
        <v>3</v>
      </c>
      <c r="E212" s="17">
        <f>IFERROR(__xludf.DUMMYFUNCTION("""COMPUTED_VALUE"""),2057.0)</f>
        <v>2057</v>
      </c>
      <c r="F212" s="17">
        <f>IFERROR(__xludf.DUMMYFUNCTION("""COMPUTED_VALUE"""),0.0)</f>
        <v>0</v>
      </c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 t="str">
        <f>IFERROR(__xludf.DUMMYFUNCTION("""COMPUTED_VALUE"""),"Chile")</f>
        <v>Chile</v>
      </c>
      <c r="B213" s="54">
        <f>IFERROR(__xludf.DUMMYFUNCTION("""COMPUTED_VALUE"""),43850.0)</f>
        <v>43850</v>
      </c>
      <c r="C213" s="19">
        <f>IFERROR(__xludf.DUMMYFUNCTION("""COMPUTED_VALUE"""),43856.0)</f>
        <v>43856</v>
      </c>
      <c r="D213" s="17">
        <f>IFERROR(__xludf.DUMMYFUNCTION("""COMPUTED_VALUE"""),4.0)</f>
        <v>4</v>
      </c>
      <c r="E213" s="17">
        <f>IFERROR(__xludf.DUMMYFUNCTION("""COMPUTED_VALUE"""),1964.0)</f>
        <v>1964</v>
      </c>
      <c r="F213" s="17">
        <f>IFERROR(__xludf.DUMMYFUNCTION("""COMPUTED_VALUE"""),0.0)</f>
        <v>0</v>
      </c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 t="str">
        <f>IFERROR(__xludf.DUMMYFUNCTION("""COMPUTED_VALUE"""),"Chile")</f>
        <v>Chile</v>
      </c>
      <c r="B214" s="54">
        <f>IFERROR(__xludf.DUMMYFUNCTION("""COMPUTED_VALUE"""),43857.0)</f>
        <v>43857</v>
      </c>
      <c r="C214" s="19">
        <f>IFERROR(__xludf.DUMMYFUNCTION("""COMPUTED_VALUE"""),43863.0)</f>
        <v>43863</v>
      </c>
      <c r="D214" s="17">
        <f>IFERROR(__xludf.DUMMYFUNCTION("""COMPUTED_VALUE"""),5.0)</f>
        <v>5</v>
      </c>
      <c r="E214" s="17">
        <f>IFERROR(__xludf.DUMMYFUNCTION("""COMPUTED_VALUE"""),1970.0)</f>
        <v>1970</v>
      </c>
      <c r="F214" s="17">
        <f>IFERROR(__xludf.DUMMYFUNCTION("""COMPUTED_VALUE"""),0.0)</f>
        <v>0</v>
      </c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 t="str">
        <f>IFERROR(__xludf.DUMMYFUNCTION("""COMPUTED_VALUE"""),"Chile")</f>
        <v>Chile</v>
      </c>
      <c r="B215" s="54">
        <f>IFERROR(__xludf.DUMMYFUNCTION("""COMPUTED_VALUE"""),43864.0)</f>
        <v>43864</v>
      </c>
      <c r="C215" s="19">
        <f>IFERROR(__xludf.DUMMYFUNCTION("""COMPUTED_VALUE"""),43870.0)</f>
        <v>43870</v>
      </c>
      <c r="D215" s="17">
        <f>IFERROR(__xludf.DUMMYFUNCTION("""COMPUTED_VALUE"""),6.0)</f>
        <v>6</v>
      </c>
      <c r="E215" s="17">
        <f>IFERROR(__xludf.DUMMYFUNCTION("""COMPUTED_VALUE"""),1994.0)</f>
        <v>1994</v>
      </c>
      <c r="F215" s="17">
        <f>IFERROR(__xludf.DUMMYFUNCTION("""COMPUTED_VALUE"""),0.0)</f>
        <v>0</v>
      </c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 t="str">
        <f>IFERROR(__xludf.DUMMYFUNCTION("""COMPUTED_VALUE"""),"Chile")</f>
        <v>Chile</v>
      </c>
      <c r="B216" s="54">
        <f>IFERROR(__xludf.DUMMYFUNCTION("""COMPUTED_VALUE"""),43871.0)</f>
        <v>43871</v>
      </c>
      <c r="C216" s="19">
        <f>IFERROR(__xludf.DUMMYFUNCTION("""COMPUTED_VALUE"""),43877.0)</f>
        <v>43877</v>
      </c>
      <c r="D216" s="17">
        <f>IFERROR(__xludf.DUMMYFUNCTION("""COMPUTED_VALUE"""),7.0)</f>
        <v>7</v>
      </c>
      <c r="E216" s="17">
        <f>IFERROR(__xludf.DUMMYFUNCTION("""COMPUTED_VALUE"""),1909.0)</f>
        <v>1909</v>
      </c>
      <c r="F216" s="17">
        <f>IFERROR(__xludf.DUMMYFUNCTION("""COMPUTED_VALUE"""),0.0)</f>
        <v>0</v>
      </c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 t="str">
        <f>IFERROR(__xludf.DUMMYFUNCTION("""COMPUTED_VALUE"""),"Chile")</f>
        <v>Chile</v>
      </c>
      <c r="B217" s="54">
        <f>IFERROR(__xludf.DUMMYFUNCTION("""COMPUTED_VALUE"""),43878.0)</f>
        <v>43878</v>
      </c>
      <c r="C217" s="19">
        <f>IFERROR(__xludf.DUMMYFUNCTION("""COMPUTED_VALUE"""),43884.0)</f>
        <v>43884</v>
      </c>
      <c r="D217" s="17">
        <f>IFERROR(__xludf.DUMMYFUNCTION("""COMPUTED_VALUE"""),8.0)</f>
        <v>8</v>
      </c>
      <c r="E217" s="17">
        <f>IFERROR(__xludf.DUMMYFUNCTION("""COMPUTED_VALUE"""),1899.0)</f>
        <v>1899</v>
      </c>
      <c r="F217" s="17">
        <f>IFERROR(__xludf.DUMMYFUNCTION("""COMPUTED_VALUE"""),0.0)</f>
        <v>0</v>
      </c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 t="str">
        <f>IFERROR(__xludf.DUMMYFUNCTION("""COMPUTED_VALUE"""),"Chile")</f>
        <v>Chile</v>
      </c>
      <c r="B218" s="54">
        <f>IFERROR(__xludf.DUMMYFUNCTION("""COMPUTED_VALUE"""),43885.0)</f>
        <v>43885</v>
      </c>
      <c r="C218" s="19">
        <f>IFERROR(__xludf.DUMMYFUNCTION("""COMPUTED_VALUE"""),43891.0)</f>
        <v>43891</v>
      </c>
      <c r="D218" s="17">
        <f>IFERROR(__xludf.DUMMYFUNCTION("""COMPUTED_VALUE"""),9.0)</f>
        <v>9</v>
      </c>
      <c r="E218" s="17">
        <f>IFERROR(__xludf.DUMMYFUNCTION("""COMPUTED_VALUE"""),1884.0)</f>
        <v>1884</v>
      </c>
      <c r="F218" s="17">
        <f>IFERROR(__xludf.DUMMYFUNCTION("""COMPUTED_VALUE"""),0.0)</f>
        <v>0</v>
      </c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 t="str">
        <f>IFERROR(__xludf.DUMMYFUNCTION("""COMPUTED_VALUE"""),"Chile")</f>
        <v>Chile</v>
      </c>
      <c r="B219" s="54">
        <f>IFERROR(__xludf.DUMMYFUNCTION("""COMPUTED_VALUE"""),43892.0)</f>
        <v>43892</v>
      </c>
      <c r="C219" s="19">
        <f>IFERROR(__xludf.DUMMYFUNCTION("""COMPUTED_VALUE"""),43898.0)</f>
        <v>43898</v>
      </c>
      <c r="D219" s="17">
        <f>IFERROR(__xludf.DUMMYFUNCTION("""COMPUTED_VALUE"""),10.0)</f>
        <v>10</v>
      </c>
      <c r="E219" s="17">
        <f>IFERROR(__xludf.DUMMYFUNCTION("""COMPUTED_VALUE"""),1885.0)</f>
        <v>1885</v>
      </c>
      <c r="F219" s="17">
        <f>IFERROR(__xludf.DUMMYFUNCTION("""COMPUTED_VALUE"""),0.0)</f>
        <v>0</v>
      </c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 t="str">
        <f>IFERROR(__xludf.DUMMYFUNCTION("""COMPUTED_VALUE"""),"Chile")</f>
        <v>Chile</v>
      </c>
      <c r="B220" s="54">
        <f>IFERROR(__xludf.DUMMYFUNCTION("""COMPUTED_VALUE"""),43899.0)</f>
        <v>43899</v>
      </c>
      <c r="C220" s="19">
        <f>IFERROR(__xludf.DUMMYFUNCTION("""COMPUTED_VALUE"""),43905.0)</f>
        <v>43905</v>
      </c>
      <c r="D220" s="17">
        <f>IFERROR(__xludf.DUMMYFUNCTION("""COMPUTED_VALUE"""),11.0)</f>
        <v>11</v>
      </c>
      <c r="E220" s="17">
        <f>IFERROR(__xludf.DUMMYFUNCTION("""COMPUTED_VALUE"""),1928.0)</f>
        <v>1928</v>
      </c>
      <c r="F220" s="17">
        <f>IFERROR(__xludf.DUMMYFUNCTION("""COMPUTED_VALUE"""),0.0)</f>
        <v>0</v>
      </c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sheetData>
    <row r="1">
      <c r="A1" s="76" t="str">
        <f>IFERROR(__xludf.DUMMYFUNCTION("QUERY(Dataset!A:F, ""SELECT A,B,C,D,E,F WHERE A='Chile' AND F&gt;0"",1)"),"País")</f>
        <v>País</v>
      </c>
      <c r="B1" s="76" t="str">
        <f>IFERROR(__xludf.DUMMYFUNCTION("""COMPUTED_VALUE"""),"Fecha inicio")</f>
        <v>Fecha inicio</v>
      </c>
      <c r="C1" s="76" t="str">
        <f>IFERROR(__xludf.DUMMYFUNCTION("""COMPUTED_VALUE"""),"Fecha fin")</f>
        <v>Fecha fin</v>
      </c>
      <c r="D1" s="76" t="str">
        <f>IFERROR(__xludf.DUMMYFUNCTION("""COMPUTED_VALUE"""),"Semana")</f>
        <v>Semana</v>
      </c>
      <c r="E1" s="76" t="str">
        <f>IFERROR(__xludf.DUMMYFUNCTION("""COMPUTED_VALUE"""),"Total muertes reportadas")</f>
        <v>Total muertes reportadas</v>
      </c>
      <c r="F1" s="76" t="str">
        <f>IFERROR(__xludf.DUMMYFUNCTION("""COMPUTED_VALUE"""),"Total muertes reportadas por covid")</f>
        <v>Total muertes reportadas por covid</v>
      </c>
      <c r="G1" s="77" t="s">
        <v>8</v>
      </c>
      <c r="H1" s="77" t="s">
        <v>20</v>
      </c>
      <c r="I1" s="77" t="s">
        <v>19</v>
      </c>
      <c r="J1" s="78" t="s">
        <v>21</v>
      </c>
      <c r="K1" s="79" t="s">
        <v>22</v>
      </c>
      <c r="L1" s="79" t="s">
        <v>23</v>
      </c>
      <c r="M1" s="79" t="s">
        <v>24</v>
      </c>
      <c r="N1" s="79" t="s">
        <v>25</v>
      </c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17" t="str">
        <f>IFERROR(__xludf.DUMMYFUNCTION("""COMPUTED_VALUE"""),"Chile")</f>
        <v>Chile</v>
      </c>
      <c r="B2" s="18">
        <f>IFERROR(__xludf.DUMMYFUNCTION("""COMPUTED_VALUE"""),43906.0)</f>
        <v>43906</v>
      </c>
      <c r="C2" s="19">
        <f>IFERROR(__xludf.DUMMYFUNCTION("""COMPUTED_VALUE"""),43912.0)</f>
        <v>43912</v>
      </c>
      <c r="D2" s="17">
        <f>IFERROR(__xludf.DUMMYFUNCTION("""COMPUTED_VALUE"""),12.0)</f>
        <v>12</v>
      </c>
      <c r="E2" s="17">
        <f>IFERROR(__xludf.DUMMYFUNCTION("""COMPUTED_VALUE"""),2008.0)</f>
        <v>2008</v>
      </c>
      <c r="F2" s="17">
        <f>IFERROR(__xludf.DUMMYFUNCTION("""COMPUTED_VALUE"""),1.0)</f>
        <v>1</v>
      </c>
      <c r="G2" s="62">
        <v>1.0</v>
      </c>
      <c r="H2" s="63">
        <f t="shared" ref="H2:H54" si="2">AVERAGEIFS($E$2:$E$83,$D$2:$D$83,G2)</f>
        <v>2445</v>
      </c>
      <c r="I2" s="63">
        <v>1967.2</v>
      </c>
      <c r="J2" s="21">
        <f t="shared" ref="J2:J85" si="3">IFERROR(E2-INDEX($I$2:$I$54, MATCH(D2, $G$2:$G$54, 0)), "")</f>
        <v>202</v>
      </c>
      <c r="K2" s="30">
        <f>(F2/(VLOOKUP("Chile",Poblacion!$A$2:$B$5,2,0)))*100000</f>
        <v>0.005204982084</v>
      </c>
      <c r="L2" s="30">
        <f>(J2/(VLOOKUP("Chile",Poblacion!$A$2:$B$5,2,0)))*100000</f>
        <v>1.051406381</v>
      </c>
      <c r="M2" s="30">
        <f t="shared" ref="M2:N2" si="1">K2</f>
        <v>0.005204982084</v>
      </c>
      <c r="N2" s="30">
        <f t="shared" si="1"/>
        <v>1.051406381</v>
      </c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tr">
        <f>IFERROR(__xludf.DUMMYFUNCTION("""COMPUTED_VALUE"""),"Chile")</f>
        <v>Chile</v>
      </c>
      <c r="B3" s="18">
        <f>IFERROR(__xludf.DUMMYFUNCTION("""COMPUTED_VALUE"""),43913.0)</f>
        <v>43913</v>
      </c>
      <c r="C3" s="19">
        <f>IFERROR(__xludf.DUMMYFUNCTION("""COMPUTED_VALUE"""),43919.0)</f>
        <v>43919</v>
      </c>
      <c r="D3" s="17">
        <f>IFERROR(__xludf.DUMMYFUNCTION("""COMPUTED_VALUE"""),13.0)</f>
        <v>13</v>
      </c>
      <c r="E3" s="17">
        <f>IFERROR(__xludf.DUMMYFUNCTION("""COMPUTED_VALUE"""),2006.0)</f>
        <v>2006</v>
      </c>
      <c r="F3" s="17">
        <f>IFERROR(__xludf.DUMMYFUNCTION("""COMPUTED_VALUE"""),6.0)</f>
        <v>6</v>
      </c>
      <c r="G3" s="62">
        <v>2.0</v>
      </c>
      <c r="H3" s="63">
        <f t="shared" si="2"/>
        <v>2438</v>
      </c>
      <c r="I3" s="63">
        <v>1885.6</v>
      </c>
      <c r="J3" s="21">
        <f t="shared" si="3"/>
        <v>164.5</v>
      </c>
      <c r="K3" s="30">
        <f>(F3/(VLOOKUP("Chile",Poblacion!$A$2:$B$5,2,0)))*100000</f>
        <v>0.0312298925</v>
      </c>
      <c r="L3" s="30">
        <f>(J3/(VLOOKUP("Chile",Poblacion!$A$2:$B$5,2,0)))*100000</f>
        <v>0.8562195528</v>
      </c>
      <c r="M3" s="30">
        <f t="shared" ref="M3:N3" si="4">K3+M2</f>
        <v>0.03643487459</v>
      </c>
      <c r="N3" s="30">
        <f t="shared" si="4"/>
        <v>1.907625934</v>
      </c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tr">
        <f>IFERROR(__xludf.DUMMYFUNCTION("""COMPUTED_VALUE"""),"Chile")</f>
        <v>Chile</v>
      </c>
      <c r="B4" s="18">
        <f>IFERROR(__xludf.DUMMYFUNCTION("""COMPUTED_VALUE"""),43920.0)</f>
        <v>43920</v>
      </c>
      <c r="C4" s="19">
        <f>IFERROR(__xludf.DUMMYFUNCTION("""COMPUTED_VALUE"""),43926.0)</f>
        <v>43926</v>
      </c>
      <c r="D4" s="17">
        <f>IFERROR(__xludf.DUMMYFUNCTION("""COMPUTED_VALUE"""),14.0)</f>
        <v>14</v>
      </c>
      <c r="E4" s="17">
        <f>IFERROR(__xludf.DUMMYFUNCTION("""COMPUTED_VALUE"""),2081.0)</f>
        <v>2081</v>
      </c>
      <c r="F4" s="17">
        <f>IFERROR(__xludf.DUMMYFUNCTION("""COMPUTED_VALUE"""),27.0)</f>
        <v>27</v>
      </c>
      <c r="G4" s="62">
        <v>3.0</v>
      </c>
      <c r="H4" s="63">
        <f t="shared" si="2"/>
        <v>2701</v>
      </c>
      <c r="I4" s="63">
        <v>1926.0</v>
      </c>
      <c r="J4" s="21">
        <f t="shared" si="3"/>
        <v>194.5</v>
      </c>
      <c r="K4" s="30">
        <f>(F4/(VLOOKUP("Chile",Poblacion!$A$2:$B$5,2,0)))*100000</f>
        <v>0.1405345163</v>
      </c>
      <c r="L4" s="30">
        <f>(J4/(VLOOKUP("Chile",Poblacion!$A$2:$B$5,2,0)))*100000</f>
        <v>1.012369015</v>
      </c>
      <c r="M4" s="30">
        <f t="shared" ref="M4:N4" si="5">K4+M3</f>
        <v>0.1769693909</v>
      </c>
      <c r="N4" s="30">
        <f t="shared" si="5"/>
        <v>2.919994949</v>
      </c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tr">
        <f>IFERROR(__xludf.DUMMYFUNCTION("""COMPUTED_VALUE"""),"Chile")</f>
        <v>Chile</v>
      </c>
      <c r="B5" s="18">
        <f>IFERROR(__xludf.DUMMYFUNCTION("""COMPUTED_VALUE"""),43927.0)</f>
        <v>43927</v>
      </c>
      <c r="C5" s="19">
        <f>IFERROR(__xludf.DUMMYFUNCTION("""COMPUTED_VALUE"""),43933.0)</f>
        <v>43933</v>
      </c>
      <c r="D5" s="17">
        <f>IFERROR(__xludf.DUMMYFUNCTION("""COMPUTED_VALUE"""),15.0)</f>
        <v>15</v>
      </c>
      <c r="E5" s="17">
        <f>IFERROR(__xludf.DUMMYFUNCTION("""COMPUTED_VALUE"""),2010.0)</f>
        <v>2010</v>
      </c>
      <c r="F5" s="17">
        <f>IFERROR(__xludf.DUMMYFUNCTION("""COMPUTED_VALUE"""),46.0)</f>
        <v>46</v>
      </c>
      <c r="G5" s="62">
        <v>4.0</v>
      </c>
      <c r="H5" s="63">
        <f t="shared" si="2"/>
        <v>2557</v>
      </c>
      <c r="I5" s="63">
        <v>1920.8</v>
      </c>
      <c r="J5" s="21">
        <f t="shared" si="3"/>
        <v>58.5</v>
      </c>
      <c r="K5" s="30">
        <f>(F5/(VLOOKUP("Chile",Poblacion!$A$2:$B$5,2,0)))*100000</f>
        <v>0.2394291759</v>
      </c>
      <c r="L5" s="30">
        <f>(J5/(VLOOKUP("Chile",Poblacion!$A$2:$B$5,2,0)))*100000</f>
        <v>0.3044914519</v>
      </c>
      <c r="M5" s="30">
        <f t="shared" ref="M5:N5" si="6">K5+M4</f>
        <v>0.4163985667</v>
      </c>
      <c r="N5" s="30">
        <f t="shared" si="6"/>
        <v>3.224486401</v>
      </c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tr">
        <f>IFERROR(__xludf.DUMMYFUNCTION("""COMPUTED_VALUE"""),"Chile")</f>
        <v>Chile</v>
      </c>
      <c r="B6" s="18">
        <f>IFERROR(__xludf.DUMMYFUNCTION("""COMPUTED_VALUE"""),43934.0)</f>
        <v>43934</v>
      </c>
      <c r="C6" s="19">
        <f>IFERROR(__xludf.DUMMYFUNCTION("""COMPUTED_VALUE"""),43940.0)</f>
        <v>43940</v>
      </c>
      <c r="D6" s="17">
        <f>IFERROR(__xludf.DUMMYFUNCTION("""COMPUTED_VALUE"""),16.0)</f>
        <v>16</v>
      </c>
      <c r="E6" s="17">
        <f>IFERROR(__xludf.DUMMYFUNCTION("""COMPUTED_VALUE"""),2087.0)</f>
        <v>2087</v>
      </c>
      <c r="F6" s="17">
        <f>IFERROR(__xludf.DUMMYFUNCTION("""COMPUTED_VALUE"""),53.0)</f>
        <v>53</v>
      </c>
      <c r="G6" s="62">
        <v>5.0</v>
      </c>
      <c r="H6" s="63">
        <f t="shared" si="2"/>
        <v>2633</v>
      </c>
      <c r="I6" s="63">
        <v>1925.8</v>
      </c>
      <c r="J6" s="21">
        <f t="shared" si="3"/>
        <v>178</v>
      </c>
      <c r="K6" s="30">
        <f>(F6/(VLOOKUP("Chile",Poblacion!$A$2:$B$5,2,0)))*100000</f>
        <v>0.2758640504</v>
      </c>
      <c r="L6" s="30">
        <f>(J6/(VLOOKUP("Chile",Poblacion!$A$2:$B$5,2,0)))*100000</f>
        <v>0.9264868109</v>
      </c>
      <c r="M6" s="30">
        <f t="shared" ref="M6:N6" si="7">K6+M5</f>
        <v>0.6922626172</v>
      </c>
      <c r="N6" s="30">
        <f t="shared" si="7"/>
        <v>4.150973212</v>
      </c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tr">
        <f>IFERROR(__xludf.DUMMYFUNCTION("""COMPUTED_VALUE"""),"Chile")</f>
        <v>Chile</v>
      </c>
      <c r="B7" s="18">
        <f>IFERROR(__xludf.DUMMYFUNCTION("""COMPUTED_VALUE"""),43941.0)</f>
        <v>43941</v>
      </c>
      <c r="C7" s="19">
        <f>IFERROR(__xludf.DUMMYFUNCTION("""COMPUTED_VALUE"""),43947.0)</f>
        <v>43947</v>
      </c>
      <c r="D7" s="17">
        <f>IFERROR(__xludf.DUMMYFUNCTION("""COMPUTED_VALUE"""),17.0)</f>
        <v>17</v>
      </c>
      <c r="E7" s="17">
        <f>IFERROR(__xludf.DUMMYFUNCTION("""COMPUTED_VALUE"""),2095.0)</f>
        <v>2095</v>
      </c>
      <c r="F7" s="17">
        <f>IFERROR(__xludf.DUMMYFUNCTION("""COMPUTED_VALUE"""),56.0)</f>
        <v>56</v>
      </c>
      <c r="G7" s="62">
        <v>6.0</v>
      </c>
      <c r="H7" s="63">
        <f t="shared" si="2"/>
        <v>2506</v>
      </c>
      <c r="I7" s="63">
        <v>1868.0</v>
      </c>
      <c r="J7" s="21">
        <f t="shared" si="3"/>
        <v>110.5</v>
      </c>
      <c r="K7" s="30">
        <f>(F7/(VLOOKUP("Chile",Poblacion!$A$2:$B$5,2,0)))*100000</f>
        <v>0.2914789967</v>
      </c>
      <c r="L7" s="30">
        <f>(J7/(VLOOKUP("Chile",Poblacion!$A$2:$B$5,2,0)))*100000</f>
        <v>0.5751505203</v>
      </c>
      <c r="M7" s="30">
        <f t="shared" ref="M7:N7" si="8">K7+M6</f>
        <v>0.9837416139</v>
      </c>
      <c r="N7" s="30">
        <f t="shared" si="8"/>
        <v>4.726123732</v>
      </c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tr">
        <f>IFERROR(__xludf.DUMMYFUNCTION("""COMPUTED_VALUE"""),"Chile")</f>
        <v>Chile</v>
      </c>
      <c r="B8" s="18">
        <f>IFERROR(__xludf.DUMMYFUNCTION("""COMPUTED_VALUE"""),43948.0)</f>
        <v>43948</v>
      </c>
      <c r="C8" s="19">
        <f>IFERROR(__xludf.DUMMYFUNCTION("""COMPUTED_VALUE"""),43954.0)</f>
        <v>43954</v>
      </c>
      <c r="D8" s="17">
        <f>IFERROR(__xludf.DUMMYFUNCTION("""COMPUTED_VALUE"""),18.0)</f>
        <v>18</v>
      </c>
      <c r="E8" s="17">
        <f>IFERROR(__xludf.DUMMYFUNCTION("""COMPUTED_VALUE"""),2083.0)</f>
        <v>2083</v>
      </c>
      <c r="F8" s="17">
        <f>IFERROR(__xludf.DUMMYFUNCTION("""COMPUTED_VALUE"""),71.0)</f>
        <v>71</v>
      </c>
      <c r="G8" s="62">
        <v>7.0</v>
      </c>
      <c r="H8" s="63">
        <f t="shared" si="2"/>
        <v>2502</v>
      </c>
      <c r="I8" s="63">
        <v>1848.4</v>
      </c>
      <c r="J8" s="21">
        <f t="shared" si="3"/>
        <v>103.75</v>
      </c>
      <c r="K8" s="30">
        <f>(F8/(VLOOKUP("Chile",Poblacion!$A$2:$B$5,2,0)))*100000</f>
        <v>0.369553728</v>
      </c>
      <c r="L8" s="30">
        <f>(J8/(VLOOKUP("Chile",Poblacion!$A$2:$B$5,2,0)))*100000</f>
        <v>0.5400168912</v>
      </c>
      <c r="M8" s="30">
        <f t="shared" ref="M8:N8" si="9">K8+M7</f>
        <v>1.353295342</v>
      </c>
      <c r="N8" s="30">
        <f t="shared" si="9"/>
        <v>5.266140623</v>
      </c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tr">
        <f>IFERROR(__xludf.DUMMYFUNCTION("""COMPUTED_VALUE"""),"Chile")</f>
        <v>Chile</v>
      </c>
      <c r="B9" s="18">
        <f>IFERROR(__xludf.DUMMYFUNCTION("""COMPUTED_VALUE"""),43955.0)</f>
        <v>43955</v>
      </c>
      <c r="C9" s="19">
        <f>IFERROR(__xludf.DUMMYFUNCTION("""COMPUTED_VALUE"""),43961.0)</f>
        <v>43961</v>
      </c>
      <c r="D9" s="17">
        <f>IFERROR(__xludf.DUMMYFUNCTION("""COMPUTED_VALUE"""),19.0)</f>
        <v>19</v>
      </c>
      <c r="E9" s="17">
        <f>IFERROR(__xludf.DUMMYFUNCTION("""COMPUTED_VALUE"""),2342.0)</f>
        <v>2342</v>
      </c>
      <c r="F9" s="17">
        <f>IFERROR(__xludf.DUMMYFUNCTION("""COMPUTED_VALUE"""),52.0)</f>
        <v>52</v>
      </c>
      <c r="G9" s="62">
        <v>8.0</v>
      </c>
      <c r="H9" s="63">
        <f t="shared" si="2"/>
        <v>2606</v>
      </c>
      <c r="I9" s="63">
        <v>1884.2</v>
      </c>
      <c r="J9" s="21">
        <f t="shared" si="3"/>
        <v>386.5</v>
      </c>
      <c r="K9" s="30">
        <f>(F9/(VLOOKUP("Chile",Poblacion!$A$2:$B$5,2,0)))*100000</f>
        <v>0.2706590684</v>
      </c>
      <c r="L9" s="30">
        <f>(J9/(VLOOKUP("Chile",Poblacion!$A$2:$B$5,2,0)))*100000</f>
        <v>2.011725575</v>
      </c>
      <c r="M9" s="30">
        <f t="shared" ref="M9:N9" si="10">K9+M8</f>
        <v>1.62395441</v>
      </c>
      <c r="N9" s="30">
        <f t="shared" si="10"/>
        <v>7.277866199</v>
      </c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tr">
        <f>IFERROR(__xludf.DUMMYFUNCTION("""COMPUTED_VALUE"""),"Chile")</f>
        <v>Chile</v>
      </c>
      <c r="B10" s="18">
        <f>IFERROR(__xludf.DUMMYFUNCTION("""COMPUTED_VALUE"""),43962.0)</f>
        <v>43962</v>
      </c>
      <c r="C10" s="19">
        <f>IFERROR(__xludf.DUMMYFUNCTION("""COMPUTED_VALUE"""),43968.0)</f>
        <v>43968</v>
      </c>
      <c r="D10" s="17">
        <f>IFERROR(__xludf.DUMMYFUNCTION("""COMPUTED_VALUE"""),20.0)</f>
        <v>20</v>
      </c>
      <c r="E10" s="17">
        <f>IFERROR(__xludf.DUMMYFUNCTION("""COMPUTED_VALUE"""),2438.0)</f>
        <v>2438</v>
      </c>
      <c r="F10" s="17">
        <f>IFERROR(__xludf.DUMMYFUNCTION("""COMPUTED_VALUE"""),138.0)</f>
        <v>138</v>
      </c>
      <c r="G10" s="62">
        <v>9.0</v>
      </c>
      <c r="H10" s="63">
        <f t="shared" si="2"/>
        <v>2661</v>
      </c>
      <c r="I10" s="63">
        <v>1802.8</v>
      </c>
      <c r="J10" s="21">
        <f t="shared" si="3"/>
        <v>400.75</v>
      </c>
      <c r="K10" s="30">
        <f>(F10/(VLOOKUP("Chile",Poblacion!$A$2:$B$5,2,0)))*100000</f>
        <v>0.7182875276</v>
      </c>
      <c r="L10" s="30">
        <f>(J10/(VLOOKUP("Chile",Poblacion!$A$2:$B$5,2,0)))*100000</f>
        <v>2.08589657</v>
      </c>
      <c r="M10" s="30">
        <f t="shared" ref="M10:N10" si="11">K10+M9</f>
        <v>2.342241938</v>
      </c>
      <c r="N10" s="30">
        <f t="shared" si="11"/>
        <v>9.363762769</v>
      </c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tr">
        <f>IFERROR(__xludf.DUMMYFUNCTION("""COMPUTED_VALUE"""),"Chile")</f>
        <v>Chile</v>
      </c>
      <c r="B11" s="18">
        <f>IFERROR(__xludf.DUMMYFUNCTION("""COMPUTED_VALUE"""),43969.0)</f>
        <v>43969</v>
      </c>
      <c r="C11" s="19">
        <f>IFERROR(__xludf.DUMMYFUNCTION("""COMPUTED_VALUE"""),43975.0)</f>
        <v>43975</v>
      </c>
      <c r="D11" s="17">
        <f>IFERROR(__xludf.DUMMYFUNCTION("""COMPUTED_VALUE"""),21.0)</f>
        <v>21</v>
      </c>
      <c r="E11" s="17">
        <f>IFERROR(__xludf.DUMMYFUNCTION("""COMPUTED_VALUE"""),2933.0)</f>
        <v>2933</v>
      </c>
      <c r="F11" s="17">
        <f>IFERROR(__xludf.DUMMYFUNCTION("""COMPUTED_VALUE"""),268.0)</f>
        <v>268</v>
      </c>
      <c r="G11" s="62">
        <v>10.0</v>
      </c>
      <c r="H11" s="63">
        <f t="shared" si="2"/>
        <v>2656</v>
      </c>
      <c r="I11" s="63">
        <v>1808.4</v>
      </c>
      <c r="J11" s="21">
        <f t="shared" si="3"/>
        <v>756.5</v>
      </c>
      <c r="K11" s="30">
        <f>(F11/(VLOOKUP("Chile",Poblacion!$A$2:$B$5,2,0)))*100000</f>
        <v>1.394935198</v>
      </c>
      <c r="L11" s="30">
        <f>(J11/(VLOOKUP("Chile",Poblacion!$A$2:$B$5,2,0)))*100000</f>
        <v>3.937568946</v>
      </c>
      <c r="M11" s="30">
        <f t="shared" ref="M11:N11" si="12">K11+M10</f>
        <v>3.737177136</v>
      </c>
      <c r="N11" s="30">
        <f t="shared" si="12"/>
        <v>13.30133172</v>
      </c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tr">
        <f>IFERROR(__xludf.DUMMYFUNCTION("""COMPUTED_VALUE"""),"Chile")</f>
        <v>Chile</v>
      </c>
      <c r="B12" s="18">
        <f>IFERROR(__xludf.DUMMYFUNCTION("""COMPUTED_VALUE"""),43976.0)</f>
        <v>43976</v>
      </c>
      <c r="C12" s="19">
        <f>IFERROR(__xludf.DUMMYFUNCTION("""COMPUTED_VALUE"""),43982.0)</f>
        <v>43982</v>
      </c>
      <c r="D12" s="17">
        <f>IFERROR(__xludf.DUMMYFUNCTION("""COMPUTED_VALUE"""),22.0)</f>
        <v>22</v>
      </c>
      <c r="E12" s="17">
        <f>IFERROR(__xludf.DUMMYFUNCTION("""COMPUTED_VALUE"""),3394.0)</f>
        <v>3394</v>
      </c>
      <c r="F12" s="17">
        <f>IFERROR(__xludf.DUMMYFUNCTION("""COMPUTED_VALUE"""),336.0)</f>
        <v>336</v>
      </c>
      <c r="G12" s="62">
        <v>11.0</v>
      </c>
      <c r="H12" s="63">
        <f t="shared" si="2"/>
        <v>2550</v>
      </c>
      <c r="I12" s="63">
        <v>1821.8</v>
      </c>
      <c r="J12" s="21">
        <f t="shared" si="3"/>
        <v>1186</v>
      </c>
      <c r="K12" s="30">
        <f>(F12/(VLOOKUP("Chile",Poblacion!$A$2:$B$5,2,0)))*100000</f>
        <v>1.74887398</v>
      </c>
      <c r="L12" s="30">
        <f>(J12/(VLOOKUP("Chile",Poblacion!$A$2:$B$5,2,0)))*100000</f>
        <v>6.173108752</v>
      </c>
      <c r="M12" s="30">
        <f t="shared" ref="M12:N12" si="13">K12+M11</f>
        <v>5.486051116</v>
      </c>
      <c r="N12" s="30">
        <f t="shared" si="13"/>
        <v>19.47444047</v>
      </c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tr">
        <f>IFERROR(__xludf.DUMMYFUNCTION("""COMPUTED_VALUE"""),"Chile")</f>
        <v>Chile</v>
      </c>
      <c r="B13" s="18">
        <f>IFERROR(__xludf.DUMMYFUNCTION("""COMPUTED_VALUE"""),43983.0)</f>
        <v>43983</v>
      </c>
      <c r="C13" s="19">
        <f>IFERROR(__xludf.DUMMYFUNCTION("""COMPUTED_VALUE"""),43989.0)</f>
        <v>43989</v>
      </c>
      <c r="D13" s="17">
        <f>IFERROR(__xludf.DUMMYFUNCTION("""COMPUTED_VALUE"""),23.0)</f>
        <v>23</v>
      </c>
      <c r="E13" s="17">
        <f>IFERROR(__xludf.DUMMYFUNCTION("""COMPUTED_VALUE"""),3899.0)</f>
        <v>3899</v>
      </c>
      <c r="F13" s="17">
        <f>IFERROR(__xludf.DUMMYFUNCTION("""COMPUTED_VALUE"""),583.0)</f>
        <v>583</v>
      </c>
      <c r="G13" s="62">
        <v>12.0</v>
      </c>
      <c r="H13" s="63">
        <f t="shared" si="2"/>
        <v>2374.5</v>
      </c>
      <c r="I13" s="63">
        <v>1806.0</v>
      </c>
      <c r="J13" s="21">
        <f t="shared" si="3"/>
        <v>1588.25</v>
      </c>
      <c r="K13" s="30">
        <f>(F13/(VLOOKUP("Chile",Poblacion!$A$2:$B$5,2,0)))*100000</f>
        <v>3.034504555</v>
      </c>
      <c r="L13" s="30">
        <f>(J13/(VLOOKUP("Chile",Poblacion!$A$2:$B$5,2,0)))*100000</f>
        <v>8.266812795</v>
      </c>
      <c r="M13" s="30">
        <f t="shared" ref="M13:N13" si="14">K13+M12</f>
        <v>8.520555671</v>
      </c>
      <c r="N13" s="30">
        <f t="shared" si="14"/>
        <v>27.74125326</v>
      </c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tr">
        <f>IFERROR(__xludf.DUMMYFUNCTION("""COMPUTED_VALUE"""),"Chile")</f>
        <v>Chile</v>
      </c>
      <c r="B14" s="18">
        <f>IFERROR(__xludf.DUMMYFUNCTION("""COMPUTED_VALUE"""),43990.0)</f>
        <v>43990</v>
      </c>
      <c r="C14" s="19">
        <f>IFERROR(__xludf.DUMMYFUNCTION("""COMPUTED_VALUE"""),43996.0)</f>
        <v>43996</v>
      </c>
      <c r="D14" s="17">
        <f>IFERROR(__xludf.DUMMYFUNCTION("""COMPUTED_VALUE"""),24.0)</f>
        <v>24</v>
      </c>
      <c r="E14" s="17">
        <f>IFERROR(__xludf.DUMMYFUNCTION("""COMPUTED_VALUE"""),3983.0)</f>
        <v>3983</v>
      </c>
      <c r="F14" s="17">
        <f>IFERROR(__xludf.DUMMYFUNCTION("""COMPUTED_VALUE"""),1686.0)</f>
        <v>1686</v>
      </c>
      <c r="G14" s="62">
        <v>13.0</v>
      </c>
      <c r="H14" s="63">
        <f t="shared" si="2"/>
        <v>2419.5</v>
      </c>
      <c r="I14" s="63">
        <v>1841.5</v>
      </c>
      <c r="J14" s="21">
        <f t="shared" si="3"/>
        <v>1567.75</v>
      </c>
      <c r="K14" s="30">
        <f>(F14/(VLOOKUP("Chile",Poblacion!$A$2:$B$5,2,0)))*100000</f>
        <v>8.775599794</v>
      </c>
      <c r="L14" s="30">
        <f>(J14/(VLOOKUP("Chile",Poblacion!$A$2:$B$5,2,0)))*100000</f>
        <v>8.160110662</v>
      </c>
      <c r="M14" s="30">
        <f t="shared" ref="M14:N14" si="15">K14+M13</f>
        <v>17.29615546</v>
      </c>
      <c r="N14" s="30">
        <f t="shared" si="15"/>
        <v>35.90136392</v>
      </c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tr">
        <f>IFERROR(__xludf.DUMMYFUNCTION("""COMPUTED_VALUE"""),"Chile")</f>
        <v>Chile</v>
      </c>
      <c r="B15" s="18">
        <f>IFERROR(__xludf.DUMMYFUNCTION("""COMPUTED_VALUE"""),43997.0)</f>
        <v>43997</v>
      </c>
      <c r="C15" s="19">
        <f>IFERROR(__xludf.DUMMYFUNCTION("""COMPUTED_VALUE"""),44003.0)</f>
        <v>44003</v>
      </c>
      <c r="D15" s="17">
        <f>IFERROR(__xludf.DUMMYFUNCTION("""COMPUTED_VALUE"""),25.0)</f>
        <v>25</v>
      </c>
      <c r="E15" s="17">
        <f>IFERROR(__xludf.DUMMYFUNCTION("""COMPUTED_VALUE"""),3732.0)</f>
        <v>3732</v>
      </c>
      <c r="F15" s="17">
        <f>IFERROR(__xludf.DUMMYFUNCTION("""COMPUTED_VALUE"""),1156.0)</f>
        <v>1156</v>
      </c>
      <c r="G15" s="62">
        <v>14.0</v>
      </c>
      <c r="H15" s="63">
        <f t="shared" si="2"/>
        <v>2465</v>
      </c>
      <c r="I15" s="63">
        <v>1886.5</v>
      </c>
      <c r="J15" s="21">
        <f t="shared" si="3"/>
        <v>1306.5</v>
      </c>
      <c r="K15" s="30">
        <f>(F15/(VLOOKUP("Chile",Poblacion!$A$2:$B$5,2,0)))*100000</f>
        <v>6.016959289</v>
      </c>
      <c r="L15" s="30">
        <f>(J15/(VLOOKUP("Chile",Poblacion!$A$2:$B$5,2,0)))*100000</f>
        <v>6.800309093</v>
      </c>
      <c r="M15" s="30">
        <f t="shared" ref="M15:N15" si="16">K15+M14</f>
        <v>23.31311475</v>
      </c>
      <c r="N15" s="30">
        <f t="shared" si="16"/>
        <v>42.70167302</v>
      </c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tr">
        <f>IFERROR(__xludf.DUMMYFUNCTION("""COMPUTED_VALUE"""),"Chile")</f>
        <v>Chile</v>
      </c>
      <c r="B16" s="18">
        <f>IFERROR(__xludf.DUMMYFUNCTION("""COMPUTED_VALUE"""),44004.0)</f>
        <v>44004</v>
      </c>
      <c r="C16" s="19">
        <f>IFERROR(__xludf.DUMMYFUNCTION("""COMPUTED_VALUE"""),44010.0)</f>
        <v>44010</v>
      </c>
      <c r="D16" s="17">
        <f>IFERROR(__xludf.DUMMYFUNCTION("""COMPUTED_VALUE"""),26.0)</f>
        <v>26</v>
      </c>
      <c r="E16" s="17">
        <f>IFERROR(__xludf.DUMMYFUNCTION("""COMPUTED_VALUE"""),3519.0)</f>
        <v>3519</v>
      </c>
      <c r="F16" s="17">
        <f>IFERROR(__xludf.DUMMYFUNCTION("""COMPUTED_VALUE"""),1030.0)</f>
        <v>1030</v>
      </c>
      <c r="G16" s="62">
        <v>15.0</v>
      </c>
      <c r="H16" s="63">
        <f t="shared" si="2"/>
        <v>2453.5</v>
      </c>
      <c r="I16" s="63">
        <v>1951.5</v>
      </c>
      <c r="J16" s="21">
        <f t="shared" si="3"/>
        <v>1078.25</v>
      </c>
      <c r="K16" s="30">
        <f>(F16/(VLOOKUP("Chile",Poblacion!$A$2:$B$5,2,0)))*100000</f>
        <v>5.361131546</v>
      </c>
      <c r="L16" s="30">
        <f>(J16/(VLOOKUP("Chile",Poblacion!$A$2:$B$5,2,0)))*100000</f>
        <v>5.612271932</v>
      </c>
      <c r="M16" s="30">
        <f t="shared" ref="M16:N16" si="17">K16+M15</f>
        <v>28.6742463</v>
      </c>
      <c r="N16" s="30">
        <f t="shared" si="17"/>
        <v>48.31394495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tr">
        <f>IFERROR(__xludf.DUMMYFUNCTION("""COMPUTED_VALUE"""),"Chile")</f>
        <v>Chile</v>
      </c>
      <c r="B17" s="18">
        <f>IFERROR(__xludf.DUMMYFUNCTION("""COMPUTED_VALUE"""),44011.0)</f>
        <v>44011</v>
      </c>
      <c r="C17" s="19">
        <f>IFERROR(__xludf.DUMMYFUNCTION("""COMPUTED_VALUE"""),44017.0)</f>
        <v>44017</v>
      </c>
      <c r="D17" s="17">
        <f>IFERROR(__xludf.DUMMYFUNCTION("""COMPUTED_VALUE"""),27.0)</f>
        <v>27</v>
      </c>
      <c r="E17" s="17">
        <f>IFERROR(__xludf.DUMMYFUNCTION("""COMPUTED_VALUE"""),3070.0)</f>
        <v>3070</v>
      </c>
      <c r="F17" s="17">
        <f>IFERROR(__xludf.DUMMYFUNCTION("""COMPUTED_VALUE"""),799.0)</f>
        <v>799</v>
      </c>
      <c r="G17" s="62">
        <v>16.0</v>
      </c>
      <c r="H17" s="63">
        <f t="shared" si="2"/>
        <v>2375.5</v>
      </c>
      <c r="I17" s="63">
        <v>1909.0</v>
      </c>
      <c r="J17" s="21">
        <f t="shared" si="3"/>
        <v>680</v>
      </c>
      <c r="K17" s="30">
        <f>(F17/(VLOOKUP("Chile",Poblacion!$A$2:$B$5,2,0)))*100000</f>
        <v>4.158780685</v>
      </c>
      <c r="L17" s="30">
        <f>(J17/(VLOOKUP("Chile",Poblacion!$A$2:$B$5,2,0)))*100000</f>
        <v>3.539387817</v>
      </c>
      <c r="M17" s="30">
        <f t="shared" ref="M17:N17" si="18">K17+M16</f>
        <v>32.83302699</v>
      </c>
      <c r="N17" s="30">
        <f t="shared" si="18"/>
        <v>51.85333277</v>
      </c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tr">
        <f>IFERROR(__xludf.DUMMYFUNCTION("""COMPUTED_VALUE"""),"Chile")</f>
        <v>Chile</v>
      </c>
      <c r="B18" s="18">
        <f>IFERROR(__xludf.DUMMYFUNCTION("""COMPUTED_VALUE"""),44018.0)</f>
        <v>44018</v>
      </c>
      <c r="C18" s="19">
        <f>IFERROR(__xludf.DUMMYFUNCTION("""COMPUTED_VALUE"""),44024.0)</f>
        <v>44024</v>
      </c>
      <c r="D18" s="17">
        <f>IFERROR(__xludf.DUMMYFUNCTION("""COMPUTED_VALUE"""),28.0)</f>
        <v>28</v>
      </c>
      <c r="E18" s="17">
        <f>IFERROR(__xludf.DUMMYFUNCTION("""COMPUTED_VALUE"""),2967.0)</f>
        <v>2967</v>
      </c>
      <c r="F18" s="17">
        <f>IFERROR(__xludf.DUMMYFUNCTION("""COMPUTED_VALUE"""),671.0)</f>
        <v>671</v>
      </c>
      <c r="G18" s="62">
        <v>17.0</v>
      </c>
      <c r="H18" s="63">
        <f t="shared" si="2"/>
        <v>2440.5</v>
      </c>
      <c r="I18" s="63">
        <v>1984.5</v>
      </c>
      <c r="J18" s="21">
        <f t="shared" si="3"/>
        <v>606.25</v>
      </c>
      <c r="K18" s="30">
        <f>(F18/(VLOOKUP("Chile",Poblacion!$A$2:$B$5,2,0)))*100000</f>
        <v>3.492542978</v>
      </c>
      <c r="L18" s="30">
        <f>(J18/(VLOOKUP("Chile",Poblacion!$A$2:$B$5,2,0)))*100000</f>
        <v>3.155520388</v>
      </c>
      <c r="M18" s="30">
        <f t="shared" ref="M18:N18" si="19">K18+M17</f>
        <v>36.32556996</v>
      </c>
      <c r="N18" s="30">
        <f t="shared" si="19"/>
        <v>55.00885315</v>
      </c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tr">
        <f>IFERROR(__xludf.DUMMYFUNCTION("""COMPUTED_VALUE"""),"Chile")</f>
        <v>Chile</v>
      </c>
      <c r="B19" s="18">
        <f>IFERROR(__xludf.DUMMYFUNCTION("""COMPUTED_VALUE"""),44025.0)</f>
        <v>44025</v>
      </c>
      <c r="C19" s="19">
        <f>IFERROR(__xludf.DUMMYFUNCTION("""COMPUTED_VALUE"""),44031.0)</f>
        <v>44031</v>
      </c>
      <c r="D19" s="17">
        <f>IFERROR(__xludf.DUMMYFUNCTION("""COMPUTED_VALUE"""),29.0)</f>
        <v>29</v>
      </c>
      <c r="E19" s="17">
        <f>IFERROR(__xludf.DUMMYFUNCTION("""COMPUTED_VALUE"""),2814.0)</f>
        <v>2814</v>
      </c>
      <c r="F19" s="17">
        <f>IFERROR(__xludf.DUMMYFUNCTION("""COMPUTED_VALUE"""),1524.0)</f>
        <v>1524</v>
      </c>
      <c r="G19" s="62">
        <v>18.0</v>
      </c>
      <c r="H19" s="63">
        <f t="shared" si="2"/>
        <v>2407</v>
      </c>
      <c r="I19" s="63">
        <v>1979.25</v>
      </c>
      <c r="J19" s="21">
        <f t="shared" si="3"/>
        <v>389.25</v>
      </c>
      <c r="K19" s="30">
        <f>(F19/(VLOOKUP("Chile",Poblacion!$A$2:$B$5,2,0)))*100000</f>
        <v>7.932392696</v>
      </c>
      <c r="L19" s="30">
        <f>(J19/(VLOOKUP("Chile",Poblacion!$A$2:$B$5,2,0)))*100000</f>
        <v>2.026039276</v>
      </c>
      <c r="M19" s="30">
        <f t="shared" ref="M19:N19" si="20">K19+M18</f>
        <v>44.25796266</v>
      </c>
      <c r="N19" s="30">
        <f t="shared" si="20"/>
        <v>57.03489243</v>
      </c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tr">
        <f>IFERROR(__xludf.DUMMYFUNCTION("""COMPUTED_VALUE"""),"Chile")</f>
        <v>Chile</v>
      </c>
      <c r="B20" s="18">
        <f>IFERROR(__xludf.DUMMYFUNCTION("""COMPUTED_VALUE"""),44032.0)</f>
        <v>44032</v>
      </c>
      <c r="C20" s="19">
        <f>IFERROR(__xludf.DUMMYFUNCTION("""COMPUTED_VALUE"""),44038.0)</f>
        <v>44038</v>
      </c>
      <c r="D20" s="17">
        <f>IFERROR(__xludf.DUMMYFUNCTION("""COMPUTED_VALUE"""),30.0)</f>
        <v>30</v>
      </c>
      <c r="E20" s="17">
        <f>IFERROR(__xludf.DUMMYFUNCTION("""COMPUTED_VALUE"""),2698.0)</f>
        <v>2698</v>
      </c>
      <c r="F20" s="17">
        <f>IFERROR(__xludf.DUMMYFUNCTION("""COMPUTED_VALUE"""),609.0)</f>
        <v>609</v>
      </c>
      <c r="G20" s="62">
        <v>19.0</v>
      </c>
      <c r="H20" s="63">
        <f t="shared" si="2"/>
        <v>2554</v>
      </c>
      <c r="I20" s="63">
        <v>1955.5</v>
      </c>
      <c r="J20" s="21">
        <f t="shared" si="3"/>
        <v>328.25</v>
      </c>
      <c r="K20" s="30">
        <f>(F20/(VLOOKUP("Chile",Poblacion!$A$2:$B$5,2,0)))*100000</f>
        <v>3.169834089</v>
      </c>
      <c r="L20" s="30">
        <f>(J20/(VLOOKUP("Chile",Poblacion!$A$2:$B$5,2,0)))*100000</f>
        <v>1.708535369</v>
      </c>
      <c r="M20" s="30">
        <f t="shared" ref="M20:N20" si="21">K20+M19</f>
        <v>47.42779675</v>
      </c>
      <c r="N20" s="30">
        <f t="shared" si="21"/>
        <v>58.7434278</v>
      </c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tr">
        <f>IFERROR(__xludf.DUMMYFUNCTION("""COMPUTED_VALUE"""),"Chile")</f>
        <v>Chile</v>
      </c>
      <c r="B21" s="18">
        <f>IFERROR(__xludf.DUMMYFUNCTION("""COMPUTED_VALUE"""),44039.0)</f>
        <v>44039</v>
      </c>
      <c r="C21" s="19">
        <f>IFERROR(__xludf.DUMMYFUNCTION("""COMPUTED_VALUE"""),44045.0)</f>
        <v>44045</v>
      </c>
      <c r="D21" s="17">
        <f>IFERROR(__xludf.DUMMYFUNCTION("""COMPUTED_VALUE"""),31.0)</f>
        <v>31</v>
      </c>
      <c r="E21" s="17">
        <f>IFERROR(__xludf.DUMMYFUNCTION("""COMPUTED_VALUE"""),2653.0)</f>
        <v>2653</v>
      </c>
      <c r="F21" s="17">
        <f>IFERROR(__xludf.DUMMYFUNCTION("""COMPUTED_VALUE"""),496.0)</f>
        <v>496</v>
      </c>
      <c r="G21" s="62">
        <v>20.0</v>
      </c>
      <c r="H21" s="63">
        <f t="shared" si="2"/>
        <v>2687</v>
      </c>
      <c r="I21" s="63">
        <v>2037.25</v>
      </c>
      <c r="J21" s="21">
        <f t="shared" si="3"/>
        <v>309</v>
      </c>
      <c r="K21" s="30">
        <f>(F21/(VLOOKUP("Chile",Poblacion!$A$2:$B$5,2,0)))*100000</f>
        <v>2.581671114</v>
      </c>
      <c r="L21" s="30">
        <f>(J21/(VLOOKUP("Chile",Poblacion!$A$2:$B$5,2,0)))*100000</f>
        <v>1.608339464</v>
      </c>
      <c r="M21" s="30">
        <f t="shared" ref="M21:N21" si="22">K21+M20</f>
        <v>50.00946786</v>
      </c>
      <c r="N21" s="30">
        <f t="shared" si="22"/>
        <v>60.35176726</v>
      </c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tr">
        <f>IFERROR(__xludf.DUMMYFUNCTION("""COMPUTED_VALUE"""),"Chile")</f>
        <v>Chile</v>
      </c>
      <c r="B22" s="18">
        <f>IFERROR(__xludf.DUMMYFUNCTION("""COMPUTED_VALUE"""),44046.0)</f>
        <v>44046</v>
      </c>
      <c r="C22" s="19">
        <f>IFERROR(__xludf.DUMMYFUNCTION("""COMPUTED_VALUE"""),44052.0)</f>
        <v>44052</v>
      </c>
      <c r="D22" s="17">
        <f>IFERROR(__xludf.DUMMYFUNCTION("""COMPUTED_VALUE"""),32.0)</f>
        <v>32</v>
      </c>
      <c r="E22" s="17">
        <f>IFERROR(__xludf.DUMMYFUNCTION("""COMPUTED_VALUE"""),2516.0)</f>
        <v>2516</v>
      </c>
      <c r="F22" s="17">
        <f>IFERROR(__xludf.DUMMYFUNCTION("""COMPUTED_VALUE"""),469.0)</f>
        <v>469</v>
      </c>
      <c r="G22" s="62">
        <v>21.0</v>
      </c>
      <c r="H22" s="63">
        <f t="shared" si="2"/>
        <v>3007</v>
      </c>
      <c r="I22" s="63">
        <v>2176.5</v>
      </c>
      <c r="J22" s="21">
        <f t="shared" si="3"/>
        <v>238.25</v>
      </c>
      <c r="K22" s="30">
        <f>(F22/(VLOOKUP("Chile",Poblacion!$A$2:$B$5,2,0)))*100000</f>
        <v>2.441136597</v>
      </c>
      <c r="L22" s="30">
        <f>(J22/(VLOOKUP("Chile",Poblacion!$A$2:$B$5,2,0)))*100000</f>
        <v>1.240086981</v>
      </c>
      <c r="M22" s="30">
        <f t="shared" ref="M22:N22" si="23">K22+M21</f>
        <v>52.45060446</v>
      </c>
      <c r="N22" s="30">
        <f t="shared" si="23"/>
        <v>61.59185424</v>
      </c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tr">
        <f>IFERROR(__xludf.DUMMYFUNCTION("""COMPUTED_VALUE"""),"Chile")</f>
        <v>Chile</v>
      </c>
      <c r="B23" s="18">
        <f>IFERROR(__xludf.DUMMYFUNCTION("""COMPUTED_VALUE"""),44053.0)</f>
        <v>44053</v>
      </c>
      <c r="C23" s="19">
        <f>IFERROR(__xludf.DUMMYFUNCTION("""COMPUTED_VALUE"""),44059.0)</f>
        <v>44059</v>
      </c>
      <c r="D23" s="17">
        <f>IFERROR(__xludf.DUMMYFUNCTION("""COMPUTED_VALUE"""),33.0)</f>
        <v>33</v>
      </c>
      <c r="E23" s="17">
        <f>IFERROR(__xludf.DUMMYFUNCTION("""COMPUTED_VALUE"""),2431.0)</f>
        <v>2431</v>
      </c>
      <c r="F23" s="17">
        <f>IFERROR(__xludf.DUMMYFUNCTION("""COMPUTED_VALUE"""),375.0)</f>
        <v>375</v>
      </c>
      <c r="G23" s="62">
        <v>22.0</v>
      </c>
      <c r="H23" s="63">
        <f t="shared" si="2"/>
        <v>3204</v>
      </c>
      <c r="I23" s="63">
        <v>2208.0</v>
      </c>
      <c r="J23" s="21">
        <f t="shared" si="3"/>
        <v>186</v>
      </c>
      <c r="K23" s="30">
        <f>(F23/(VLOOKUP("Chile",Poblacion!$A$2:$B$5,2,0)))*100000</f>
        <v>1.951868281</v>
      </c>
      <c r="L23" s="30">
        <f>(J23/(VLOOKUP("Chile",Poblacion!$A$2:$B$5,2,0)))*100000</f>
        <v>0.9681266676</v>
      </c>
      <c r="M23" s="30">
        <f t="shared" ref="M23:N23" si="24">K23+M22</f>
        <v>54.40247274</v>
      </c>
      <c r="N23" s="30">
        <f t="shared" si="24"/>
        <v>62.55998091</v>
      </c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tr">
        <f>IFERROR(__xludf.DUMMYFUNCTION("""COMPUTED_VALUE"""),"Chile")</f>
        <v>Chile</v>
      </c>
      <c r="B24" s="18">
        <f>IFERROR(__xludf.DUMMYFUNCTION("""COMPUTED_VALUE"""),44060.0)</f>
        <v>44060</v>
      </c>
      <c r="C24" s="19">
        <f>IFERROR(__xludf.DUMMYFUNCTION("""COMPUTED_VALUE"""),44066.0)</f>
        <v>44066</v>
      </c>
      <c r="D24" s="17">
        <f>IFERROR(__xludf.DUMMYFUNCTION("""COMPUTED_VALUE"""),34.0)</f>
        <v>34</v>
      </c>
      <c r="E24" s="17">
        <f>IFERROR(__xludf.DUMMYFUNCTION("""COMPUTED_VALUE"""),2596.0)</f>
        <v>2596</v>
      </c>
      <c r="F24" s="17">
        <f>IFERROR(__xludf.DUMMYFUNCTION("""COMPUTED_VALUE"""),400.0)</f>
        <v>400</v>
      </c>
      <c r="G24" s="62">
        <v>23.0</v>
      </c>
      <c r="H24" s="63">
        <f t="shared" si="2"/>
        <v>3515.5</v>
      </c>
      <c r="I24" s="63">
        <v>2310.75</v>
      </c>
      <c r="J24" s="21">
        <f t="shared" si="3"/>
        <v>373</v>
      </c>
      <c r="K24" s="30">
        <f>(F24/(VLOOKUP("Chile",Poblacion!$A$2:$B$5,2,0)))*100000</f>
        <v>2.081992834</v>
      </c>
      <c r="L24" s="30">
        <f>(J24/(VLOOKUP("Chile",Poblacion!$A$2:$B$5,2,0)))*100000</f>
        <v>1.941458317</v>
      </c>
      <c r="M24" s="30">
        <f t="shared" ref="M24:N24" si="25">K24+M23</f>
        <v>56.48446557</v>
      </c>
      <c r="N24" s="30">
        <f t="shared" si="25"/>
        <v>64.50143923</v>
      </c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tr">
        <f>IFERROR(__xludf.DUMMYFUNCTION("""COMPUTED_VALUE"""),"Chile")</f>
        <v>Chile</v>
      </c>
      <c r="B25" s="18">
        <f>IFERROR(__xludf.DUMMYFUNCTION("""COMPUTED_VALUE"""),44067.0)</f>
        <v>44067</v>
      </c>
      <c r="C25" s="19">
        <f>IFERROR(__xludf.DUMMYFUNCTION("""COMPUTED_VALUE"""),44073.0)</f>
        <v>44073</v>
      </c>
      <c r="D25" s="17">
        <f>IFERROR(__xludf.DUMMYFUNCTION("""COMPUTED_VALUE"""),35.0)</f>
        <v>35</v>
      </c>
      <c r="E25" s="17">
        <f>IFERROR(__xludf.DUMMYFUNCTION("""COMPUTED_VALUE"""),2479.0)</f>
        <v>2479</v>
      </c>
      <c r="F25" s="17">
        <f>IFERROR(__xludf.DUMMYFUNCTION("""COMPUTED_VALUE"""),392.0)</f>
        <v>392</v>
      </c>
      <c r="G25" s="62">
        <v>24.0</v>
      </c>
      <c r="H25" s="63">
        <f t="shared" si="2"/>
        <v>3581.5</v>
      </c>
      <c r="I25" s="63">
        <v>2415.25</v>
      </c>
      <c r="J25" s="21">
        <f t="shared" si="3"/>
        <v>324</v>
      </c>
      <c r="K25" s="30">
        <f>(F25/(VLOOKUP("Chile",Poblacion!$A$2:$B$5,2,0)))*100000</f>
        <v>2.040352977</v>
      </c>
      <c r="L25" s="30">
        <f>(J25/(VLOOKUP("Chile",Poblacion!$A$2:$B$5,2,0)))*100000</f>
        <v>1.686414195</v>
      </c>
      <c r="M25" s="30">
        <f t="shared" ref="M25:N25" si="26">K25+M24</f>
        <v>58.52481855</v>
      </c>
      <c r="N25" s="30">
        <f t="shared" si="26"/>
        <v>66.18785342</v>
      </c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tr">
        <f>IFERROR(__xludf.DUMMYFUNCTION("""COMPUTED_VALUE"""),"Chile")</f>
        <v>Chile</v>
      </c>
      <c r="B26" s="18">
        <f>IFERROR(__xludf.DUMMYFUNCTION("""COMPUTED_VALUE"""),44074.0)</f>
        <v>44074</v>
      </c>
      <c r="C26" s="19">
        <f>IFERROR(__xludf.DUMMYFUNCTION("""COMPUTED_VALUE"""),44080.0)</f>
        <v>44080</v>
      </c>
      <c r="D26" s="17">
        <f>IFERROR(__xludf.DUMMYFUNCTION("""COMPUTED_VALUE"""),36.0)</f>
        <v>36</v>
      </c>
      <c r="E26" s="17">
        <f>IFERROR(__xludf.DUMMYFUNCTION("""COMPUTED_VALUE"""),2395.0)</f>
        <v>2395</v>
      </c>
      <c r="F26" s="17">
        <f>IFERROR(__xludf.DUMMYFUNCTION("""COMPUTED_VALUE"""),348.0)</f>
        <v>348</v>
      </c>
      <c r="G26" s="62">
        <v>25.0</v>
      </c>
      <c r="H26" s="63">
        <f t="shared" si="2"/>
        <v>3463</v>
      </c>
      <c r="I26" s="63">
        <v>2425.5</v>
      </c>
      <c r="J26" s="21">
        <f t="shared" si="3"/>
        <v>181.75</v>
      </c>
      <c r="K26" s="30">
        <f>(F26/(VLOOKUP("Chile",Poblacion!$A$2:$B$5,2,0)))*100000</f>
        <v>1.811333765</v>
      </c>
      <c r="L26" s="30">
        <f>(J26/(VLOOKUP("Chile",Poblacion!$A$2:$B$5,2,0)))*100000</f>
        <v>0.9460054938</v>
      </c>
      <c r="M26" s="30">
        <f t="shared" ref="M26:N26" si="27">K26+M25</f>
        <v>60.33615232</v>
      </c>
      <c r="N26" s="30">
        <f t="shared" si="27"/>
        <v>67.13385892</v>
      </c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tr">
        <f>IFERROR(__xludf.DUMMYFUNCTION("""COMPUTED_VALUE"""),"Chile")</f>
        <v>Chile</v>
      </c>
      <c r="B27" s="18">
        <f>IFERROR(__xludf.DUMMYFUNCTION("""COMPUTED_VALUE"""),44081.0)</f>
        <v>44081</v>
      </c>
      <c r="C27" s="19">
        <f>IFERROR(__xludf.DUMMYFUNCTION("""COMPUTED_VALUE"""),44087.0)</f>
        <v>44087</v>
      </c>
      <c r="D27" s="17">
        <f>IFERROR(__xludf.DUMMYFUNCTION("""COMPUTED_VALUE"""),37.0)</f>
        <v>37</v>
      </c>
      <c r="E27" s="17">
        <f>IFERROR(__xludf.DUMMYFUNCTION("""COMPUTED_VALUE"""),2405.0)</f>
        <v>2405</v>
      </c>
      <c r="F27" s="17">
        <f>IFERROR(__xludf.DUMMYFUNCTION("""COMPUTED_VALUE"""),357.0)</f>
        <v>357</v>
      </c>
      <c r="G27" s="62">
        <v>26.0</v>
      </c>
      <c r="H27" s="63">
        <f t="shared" si="2"/>
        <v>3422.5</v>
      </c>
      <c r="I27" s="63">
        <v>2440.75</v>
      </c>
      <c r="J27" s="21">
        <f t="shared" si="3"/>
        <v>250.75</v>
      </c>
      <c r="K27" s="30">
        <f>(F27/(VLOOKUP("Chile",Poblacion!$A$2:$B$5,2,0)))*100000</f>
        <v>1.858178604</v>
      </c>
      <c r="L27" s="30">
        <f>(J27/(VLOOKUP("Chile",Poblacion!$A$2:$B$5,2,0)))*100000</f>
        <v>1.305149258</v>
      </c>
      <c r="M27" s="30">
        <f t="shared" ref="M27:N27" si="28">K27+M26</f>
        <v>62.19433092</v>
      </c>
      <c r="N27" s="30">
        <f t="shared" si="28"/>
        <v>68.43900818</v>
      </c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tr">
        <f>IFERROR(__xludf.DUMMYFUNCTION("""COMPUTED_VALUE"""),"Chile")</f>
        <v>Chile</v>
      </c>
      <c r="B28" s="18">
        <f>IFERROR(__xludf.DUMMYFUNCTION("""COMPUTED_VALUE"""),44088.0)</f>
        <v>44088</v>
      </c>
      <c r="C28" s="19">
        <f>IFERROR(__xludf.DUMMYFUNCTION("""COMPUTED_VALUE"""),44094.0)</f>
        <v>44094</v>
      </c>
      <c r="D28" s="17">
        <f>IFERROR(__xludf.DUMMYFUNCTION("""COMPUTED_VALUE"""),38.0)</f>
        <v>38</v>
      </c>
      <c r="E28" s="17">
        <f>IFERROR(__xludf.DUMMYFUNCTION("""COMPUTED_VALUE"""),2401.0)</f>
        <v>2401</v>
      </c>
      <c r="F28" s="17">
        <f>IFERROR(__xludf.DUMMYFUNCTION("""COMPUTED_VALUE"""),337.0)</f>
        <v>337</v>
      </c>
      <c r="G28" s="62">
        <v>27.0</v>
      </c>
      <c r="H28" s="63">
        <f t="shared" si="2"/>
        <v>3094.5</v>
      </c>
      <c r="I28" s="63">
        <v>2390.0</v>
      </c>
      <c r="J28" s="21">
        <f t="shared" si="3"/>
        <v>187.25</v>
      </c>
      <c r="K28" s="30">
        <f>(F28/(VLOOKUP("Chile",Poblacion!$A$2:$B$5,2,0)))*100000</f>
        <v>1.754078962</v>
      </c>
      <c r="L28" s="30">
        <f>(J28/(VLOOKUP("Chile",Poblacion!$A$2:$B$5,2,0)))*100000</f>
        <v>0.9746328952</v>
      </c>
      <c r="M28" s="30">
        <f t="shared" ref="M28:N28" si="29">K28+M27</f>
        <v>63.94840988</v>
      </c>
      <c r="N28" s="30">
        <f t="shared" si="29"/>
        <v>69.41364107</v>
      </c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tr">
        <f>IFERROR(__xludf.DUMMYFUNCTION("""COMPUTED_VALUE"""),"Chile")</f>
        <v>Chile</v>
      </c>
      <c r="B29" s="18">
        <f>IFERROR(__xludf.DUMMYFUNCTION("""COMPUTED_VALUE"""),44095.0)</f>
        <v>44095</v>
      </c>
      <c r="C29" s="19">
        <f>IFERROR(__xludf.DUMMYFUNCTION("""COMPUTED_VALUE"""),44101.0)</f>
        <v>44101</v>
      </c>
      <c r="D29" s="17">
        <f>IFERROR(__xludf.DUMMYFUNCTION("""COMPUTED_VALUE"""),39.0)</f>
        <v>39</v>
      </c>
      <c r="E29" s="17">
        <f>IFERROR(__xludf.DUMMYFUNCTION("""COMPUTED_VALUE"""),2364.0)</f>
        <v>2364</v>
      </c>
      <c r="F29" s="17">
        <f>IFERROR(__xludf.DUMMYFUNCTION("""COMPUTED_VALUE"""),355.0)</f>
        <v>355</v>
      </c>
      <c r="G29" s="62">
        <v>28.0</v>
      </c>
      <c r="H29" s="63">
        <f t="shared" si="2"/>
        <v>3004.5</v>
      </c>
      <c r="I29" s="63">
        <v>2360.75</v>
      </c>
      <c r="J29" s="21">
        <f t="shared" si="3"/>
        <v>241.5</v>
      </c>
      <c r="K29" s="30">
        <f>(F29/(VLOOKUP("Chile",Poblacion!$A$2:$B$5,2,0)))*100000</f>
        <v>1.84776864</v>
      </c>
      <c r="L29" s="30">
        <f>(J29/(VLOOKUP("Chile",Poblacion!$A$2:$B$5,2,0)))*100000</f>
        <v>1.257003173</v>
      </c>
      <c r="M29" s="30">
        <f t="shared" ref="M29:N29" si="30">K29+M28</f>
        <v>65.79617852</v>
      </c>
      <c r="N29" s="30">
        <f t="shared" si="30"/>
        <v>70.67064424</v>
      </c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tr">
        <f>IFERROR(__xludf.DUMMYFUNCTION("""COMPUTED_VALUE"""),"Chile")</f>
        <v>Chile</v>
      </c>
      <c r="B30" s="18">
        <f>IFERROR(__xludf.DUMMYFUNCTION("""COMPUTED_VALUE"""),44102.0)</f>
        <v>44102</v>
      </c>
      <c r="C30" s="19">
        <f>IFERROR(__xludf.DUMMYFUNCTION("""COMPUTED_VALUE"""),44108.0)</f>
        <v>44108</v>
      </c>
      <c r="D30" s="17">
        <f>IFERROR(__xludf.DUMMYFUNCTION("""COMPUTED_VALUE"""),40.0)</f>
        <v>40</v>
      </c>
      <c r="E30" s="17">
        <f>IFERROR(__xludf.DUMMYFUNCTION("""COMPUTED_VALUE"""),2340.0)</f>
        <v>2340</v>
      </c>
      <c r="F30" s="17">
        <f>IFERROR(__xludf.DUMMYFUNCTION("""COMPUTED_VALUE"""),338.0)</f>
        <v>338</v>
      </c>
      <c r="G30" s="62">
        <v>29.0</v>
      </c>
      <c r="H30" s="63">
        <f t="shared" si="2"/>
        <v>2840</v>
      </c>
      <c r="I30" s="63">
        <v>2424.75</v>
      </c>
      <c r="J30" s="21">
        <f t="shared" si="3"/>
        <v>270.75</v>
      </c>
      <c r="K30" s="30">
        <f>(F30/(VLOOKUP("Chile",Poblacion!$A$2:$B$5,2,0)))*100000</f>
        <v>1.759283944</v>
      </c>
      <c r="L30" s="30">
        <f>(J30/(VLOOKUP("Chile",Poblacion!$A$2:$B$5,2,0)))*100000</f>
        <v>1.409248899</v>
      </c>
      <c r="M30" s="30">
        <f t="shared" ref="M30:N30" si="31">K30+M29</f>
        <v>67.55546247</v>
      </c>
      <c r="N30" s="30">
        <f t="shared" si="31"/>
        <v>72.07989314</v>
      </c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tr">
        <f>IFERROR(__xludf.DUMMYFUNCTION("""COMPUTED_VALUE"""),"Chile")</f>
        <v>Chile</v>
      </c>
      <c r="B31" s="18">
        <f>IFERROR(__xludf.DUMMYFUNCTION("""COMPUTED_VALUE"""),44109.0)</f>
        <v>44109</v>
      </c>
      <c r="C31" s="19">
        <f>IFERROR(__xludf.DUMMYFUNCTION("""COMPUTED_VALUE"""),44115.0)</f>
        <v>44115</v>
      </c>
      <c r="D31" s="17">
        <f>IFERROR(__xludf.DUMMYFUNCTION("""COMPUTED_VALUE"""),41.0)</f>
        <v>41</v>
      </c>
      <c r="E31" s="17">
        <f>IFERROR(__xludf.DUMMYFUNCTION("""COMPUTED_VALUE"""),2396.0)</f>
        <v>2396</v>
      </c>
      <c r="F31" s="17">
        <f>IFERROR(__xludf.DUMMYFUNCTION("""COMPUTED_VALUE"""),339.0)</f>
        <v>339</v>
      </c>
      <c r="G31" s="62">
        <v>30.0</v>
      </c>
      <c r="H31" s="63">
        <f t="shared" si="2"/>
        <v>2721.5</v>
      </c>
      <c r="I31" s="63">
        <v>2369.75</v>
      </c>
      <c r="J31" s="21">
        <f t="shared" si="3"/>
        <v>390.5</v>
      </c>
      <c r="K31" s="30">
        <f>(F31/(VLOOKUP("Chile",Poblacion!$A$2:$B$5,2,0)))*100000</f>
        <v>1.764488926</v>
      </c>
      <c r="L31" s="30">
        <f>(J31/(VLOOKUP("Chile",Poblacion!$A$2:$B$5,2,0)))*100000</f>
        <v>2.032545504</v>
      </c>
      <c r="M31" s="30">
        <f t="shared" ref="M31:N31" si="32">K31+M30</f>
        <v>69.31995139</v>
      </c>
      <c r="N31" s="30">
        <f t="shared" si="32"/>
        <v>74.11243865</v>
      </c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tr">
        <f>IFERROR(__xludf.DUMMYFUNCTION("""COMPUTED_VALUE"""),"Chile")</f>
        <v>Chile</v>
      </c>
      <c r="B32" s="18">
        <f>IFERROR(__xludf.DUMMYFUNCTION("""COMPUTED_VALUE"""),44116.0)</f>
        <v>44116</v>
      </c>
      <c r="C32" s="19">
        <f>IFERROR(__xludf.DUMMYFUNCTION("""COMPUTED_VALUE"""),44122.0)</f>
        <v>44122</v>
      </c>
      <c r="D32" s="17">
        <f>IFERROR(__xludf.DUMMYFUNCTION("""COMPUTED_VALUE"""),42.0)</f>
        <v>42</v>
      </c>
      <c r="E32" s="17">
        <f>IFERROR(__xludf.DUMMYFUNCTION("""COMPUTED_VALUE"""),2307.0)</f>
        <v>2307</v>
      </c>
      <c r="F32" s="17">
        <f>IFERROR(__xludf.DUMMYFUNCTION("""COMPUTED_VALUE"""),317.0)</f>
        <v>317</v>
      </c>
      <c r="G32" s="62">
        <v>31.0</v>
      </c>
      <c r="H32" s="63">
        <f t="shared" si="2"/>
        <v>2646</v>
      </c>
      <c r="I32" s="63">
        <v>2344.0</v>
      </c>
      <c r="J32" s="21">
        <f t="shared" si="3"/>
        <v>325.75</v>
      </c>
      <c r="K32" s="30">
        <f>(F32/(VLOOKUP("Chile",Poblacion!$A$2:$B$5,2,0)))*100000</f>
        <v>1.649979321</v>
      </c>
      <c r="L32" s="30">
        <f>(J32/(VLOOKUP("Chile",Poblacion!$A$2:$B$5,2,0)))*100000</f>
        <v>1.695522914</v>
      </c>
      <c r="M32" s="30">
        <f t="shared" ref="M32:N32" si="33">K32+M31</f>
        <v>70.96993071</v>
      </c>
      <c r="N32" s="30">
        <f t="shared" si="33"/>
        <v>75.80796156</v>
      </c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tr">
        <f>IFERROR(__xludf.DUMMYFUNCTION("""COMPUTED_VALUE"""),"Chile")</f>
        <v>Chile</v>
      </c>
      <c r="B33" s="18">
        <f>IFERROR(__xludf.DUMMYFUNCTION("""COMPUTED_VALUE"""),44123.0)</f>
        <v>44123</v>
      </c>
      <c r="C33" s="19">
        <f>IFERROR(__xludf.DUMMYFUNCTION("""COMPUTED_VALUE"""),44129.0)</f>
        <v>44129</v>
      </c>
      <c r="D33" s="17">
        <f>IFERROR(__xludf.DUMMYFUNCTION("""COMPUTED_VALUE"""),43.0)</f>
        <v>43</v>
      </c>
      <c r="E33" s="17">
        <f>IFERROR(__xludf.DUMMYFUNCTION("""COMPUTED_VALUE"""),2304.0)</f>
        <v>2304</v>
      </c>
      <c r="F33" s="17">
        <f>IFERROR(__xludf.DUMMYFUNCTION("""COMPUTED_VALUE"""),309.0)</f>
        <v>309</v>
      </c>
      <c r="G33" s="62">
        <v>32.0</v>
      </c>
      <c r="H33" s="63">
        <f t="shared" si="2"/>
        <v>2570.5</v>
      </c>
      <c r="I33" s="63">
        <v>2277.75</v>
      </c>
      <c r="J33" s="21">
        <f t="shared" si="3"/>
        <v>346</v>
      </c>
      <c r="K33" s="30">
        <f>(F33/(VLOOKUP("Chile",Poblacion!$A$2:$B$5,2,0)))*100000</f>
        <v>1.608339464</v>
      </c>
      <c r="L33" s="30">
        <f>(J33/(VLOOKUP("Chile",Poblacion!$A$2:$B$5,2,0)))*100000</f>
        <v>1.800923801</v>
      </c>
      <c r="M33" s="30">
        <f t="shared" ref="M33:N33" si="34">K33+M32</f>
        <v>72.57827018</v>
      </c>
      <c r="N33" s="30">
        <f t="shared" si="34"/>
        <v>77.60888536</v>
      </c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tr">
        <f>IFERROR(__xludf.DUMMYFUNCTION("""COMPUTED_VALUE"""),"Chile")</f>
        <v>Chile</v>
      </c>
      <c r="B34" s="18">
        <f>IFERROR(__xludf.DUMMYFUNCTION("""COMPUTED_VALUE"""),44130.0)</f>
        <v>44130</v>
      </c>
      <c r="C34" s="19">
        <f>IFERROR(__xludf.DUMMYFUNCTION("""COMPUTED_VALUE"""),44136.0)</f>
        <v>44136</v>
      </c>
      <c r="D34" s="17">
        <f>IFERROR(__xludf.DUMMYFUNCTION("""COMPUTED_VALUE"""),44.0)</f>
        <v>44</v>
      </c>
      <c r="E34" s="17">
        <f>IFERROR(__xludf.DUMMYFUNCTION("""COMPUTED_VALUE"""),2268.0)</f>
        <v>2268</v>
      </c>
      <c r="F34" s="17">
        <f>IFERROR(__xludf.DUMMYFUNCTION("""COMPUTED_VALUE"""),303.0)</f>
        <v>303</v>
      </c>
      <c r="G34" s="62">
        <v>33.0</v>
      </c>
      <c r="H34" s="63">
        <f t="shared" si="2"/>
        <v>2519.5</v>
      </c>
      <c r="I34" s="63">
        <v>2245.0</v>
      </c>
      <c r="J34" s="21">
        <f t="shared" si="3"/>
        <v>326</v>
      </c>
      <c r="K34" s="30">
        <f>(F34/(VLOOKUP("Chile",Poblacion!$A$2:$B$5,2,0)))*100000</f>
        <v>1.577109571</v>
      </c>
      <c r="L34" s="30">
        <f>(J34/(VLOOKUP("Chile",Poblacion!$A$2:$B$5,2,0)))*100000</f>
        <v>1.696824159</v>
      </c>
      <c r="M34" s="30">
        <f t="shared" ref="M34:N34" si="35">K34+M33</f>
        <v>74.15537975</v>
      </c>
      <c r="N34" s="30">
        <f t="shared" si="35"/>
        <v>79.30570952</v>
      </c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tr">
        <f>IFERROR(__xludf.DUMMYFUNCTION("""COMPUTED_VALUE"""),"Chile")</f>
        <v>Chile</v>
      </c>
      <c r="B35" s="18">
        <f>IFERROR(__xludf.DUMMYFUNCTION("""COMPUTED_VALUE"""),44137.0)</f>
        <v>44137</v>
      </c>
      <c r="C35" s="19">
        <f>IFERROR(__xludf.DUMMYFUNCTION("""COMPUTED_VALUE"""),44143.0)</f>
        <v>44143</v>
      </c>
      <c r="D35" s="17">
        <f>IFERROR(__xludf.DUMMYFUNCTION("""COMPUTED_VALUE"""),45.0)</f>
        <v>45</v>
      </c>
      <c r="E35" s="17">
        <f>IFERROR(__xludf.DUMMYFUNCTION("""COMPUTED_VALUE"""),2239.0)</f>
        <v>2239</v>
      </c>
      <c r="F35" s="17">
        <f>IFERROR(__xludf.DUMMYFUNCTION("""COMPUTED_VALUE"""),296.0)</f>
        <v>296</v>
      </c>
      <c r="G35" s="62">
        <v>34.0</v>
      </c>
      <c r="H35" s="63">
        <f t="shared" si="2"/>
        <v>2476.5</v>
      </c>
      <c r="I35" s="63">
        <v>2223.0</v>
      </c>
      <c r="J35" s="21">
        <f t="shared" si="3"/>
        <v>292.5</v>
      </c>
      <c r="K35" s="30">
        <f>(F35/(VLOOKUP("Chile",Poblacion!$A$2:$B$5,2,0)))*100000</f>
        <v>1.540674697</v>
      </c>
      <c r="L35" s="30">
        <f>(J35/(VLOOKUP("Chile",Poblacion!$A$2:$B$5,2,0)))*100000</f>
        <v>1.52245726</v>
      </c>
      <c r="M35" s="30">
        <f t="shared" ref="M35:N35" si="36">K35+M34</f>
        <v>75.69605445</v>
      </c>
      <c r="N35" s="30">
        <f t="shared" si="36"/>
        <v>80.82816678</v>
      </c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tr">
        <f>IFERROR(__xludf.DUMMYFUNCTION("""COMPUTED_VALUE"""),"Chile")</f>
        <v>Chile</v>
      </c>
      <c r="B36" s="18">
        <f>IFERROR(__xludf.DUMMYFUNCTION("""COMPUTED_VALUE"""),44144.0)</f>
        <v>44144</v>
      </c>
      <c r="C36" s="19">
        <f>IFERROR(__xludf.DUMMYFUNCTION("""COMPUTED_VALUE"""),44150.0)</f>
        <v>44150</v>
      </c>
      <c r="D36" s="17">
        <f>IFERROR(__xludf.DUMMYFUNCTION("""COMPUTED_VALUE"""),46.0)</f>
        <v>46</v>
      </c>
      <c r="E36" s="17">
        <f>IFERROR(__xludf.DUMMYFUNCTION("""COMPUTED_VALUE"""),2121.0)</f>
        <v>2121</v>
      </c>
      <c r="F36" s="17">
        <f>IFERROR(__xludf.DUMMYFUNCTION("""COMPUTED_VALUE"""),276.0)</f>
        <v>276</v>
      </c>
      <c r="G36" s="62">
        <v>35.0</v>
      </c>
      <c r="H36" s="63">
        <f t="shared" si="2"/>
        <v>2405.5</v>
      </c>
      <c r="I36" s="63">
        <v>2155.0</v>
      </c>
      <c r="J36" s="21">
        <f t="shared" si="3"/>
        <v>223</v>
      </c>
      <c r="K36" s="30">
        <f>(F36/(VLOOKUP("Chile",Poblacion!$A$2:$B$5,2,0)))*100000</f>
        <v>1.436575055</v>
      </c>
      <c r="L36" s="30">
        <f>(J36/(VLOOKUP("Chile",Poblacion!$A$2:$B$5,2,0)))*100000</f>
        <v>1.160711005</v>
      </c>
      <c r="M36" s="30">
        <f t="shared" ref="M36:N36" si="37">K36+M35</f>
        <v>77.1326295</v>
      </c>
      <c r="N36" s="30">
        <f t="shared" si="37"/>
        <v>81.98887779</v>
      </c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tr">
        <f>IFERROR(__xludf.DUMMYFUNCTION("""COMPUTED_VALUE"""),"Chile")</f>
        <v>Chile</v>
      </c>
      <c r="B37" s="18">
        <f>IFERROR(__xludf.DUMMYFUNCTION("""COMPUTED_VALUE"""),44151.0)</f>
        <v>44151</v>
      </c>
      <c r="C37" s="19">
        <f>IFERROR(__xludf.DUMMYFUNCTION("""COMPUTED_VALUE"""),44157.0)</f>
        <v>44157</v>
      </c>
      <c r="D37" s="17">
        <f>IFERROR(__xludf.DUMMYFUNCTION("""COMPUTED_VALUE"""),47.0)</f>
        <v>47</v>
      </c>
      <c r="E37" s="17">
        <f>IFERROR(__xludf.DUMMYFUNCTION("""COMPUTED_VALUE"""),2184.0)</f>
        <v>2184</v>
      </c>
      <c r="F37" s="17">
        <f>IFERROR(__xludf.DUMMYFUNCTION("""COMPUTED_VALUE"""),250.0)</f>
        <v>250</v>
      </c>
      <c r="G37" s="62">
        <v>36.0</v>
      </c>
      <c r="H37" s="63">
        <f t="shared" si="2"/>
        <v>2394.5</v>
      </c>
      <c r="I37" s="63">
        <v>2213.25</v>
      </c>
      <c r="J37" s="21">
        <f t="shared" si="3"/>
        <v>241.75</v>
      </c>
      <c r="K37" s="30">
        <f>(F37/(VLOOKUP("Chile",Poblacion!$A$2:$B$5,2,0)))*100000</f>
        <v>1.301245521</v>
      </c>
      <c r="L37" s="30">
        <f>(J37/(VLOOKUP("Chile",Poblacion!$A$2:$B$5,2,0)))*100000</f>
        <v>1.258304419</v>
      </c>
      <c r="M37" s="30">
        <f t="shared" ref="M37:N37" si="38">K37+M36</f>
        <v>78.43387502</v>
      </c>
      <c r="N37" s="30">
        <f t="shared" si="38"/>
        <v>83.2471822</v>
      </c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tr">
        <f>IFERROR(__xludf.DUMMYFUNCTION("""COMPUTED_VALUE"""),"Chile")</f>
        <v>Chile</v>
      </c>
      <c r="B38" s="18">
        <f>IFERROR(__xludf.DUMMYFUNCTION("""COMPUTED_VALUE"""),44158.0)</f>
        <v>44158</v>
      </c>
      <c r="C38" s="19">
        <f>IFERROR(__xludf.DUMMYFUNCTION("""COMPUTED_VALUE"""),44164.0)</f>
        <v>44164</v>
      </c>
      <c r="D38" s="17">
        <f>IFERROR(__xludf.DUMMYFUNCTION("""COMPUTED_VALUE"""),48.0)</f>
        <v>48</v>
      </c>
      <c r="E38" s="17">
        <f>IFERROR(__xludf.DUMMYFUNCTION("""COMPUTED_VALUE"""),2203.0)</f>
        <v>2203</v>
      </c>
      <c r="F38" s="17">
        <f>IFERROR(__xludf.DUMMYFUNCTION("""COMPUTED_VALUE"""),287.0)</f>
        <v>287</v>
      </c>
      <c r="G38" s="62">
        <v>37.0</v>
      </c>
      <c r="H38" s="63">
        <f t="shared" si="2"/>
        <v>2394</v>
      </c>
      <c r="I38" s="63">
        <v>2154.25</v>
      </c>
      <c r="J38" s="21">
        <f t="shared" si="3"/>
        <v>307.25</v>
      </c>
      <c r="K38" s="30">
        <f>(F38/(VLOOKUP("Chile",Poblacion!$A$2:$B$5,2,0)))*100000</f>
        <v>1.493829858</v>
      </c>
      <c r="L38" s="30">
        <f>(J38/(VLOOKUP("Chile",Poblacion!$A$2:$B$5,2,0)))*100000</f>
        <v>1.599230745</v>
      </c>
      <c r="M38" s="30">
        <f t="shared" ref="M38:N38" si="39">K38+M37</f>
        <v>79.92770488</v>
      </c>
      <c r="N38" s="30">
        <f t="shared" si="39"/>
        <v>84.84641295</v>
      </c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tr">
        <f>IFERROR(__xludf.DUMMYFUNCTION("""COMPUTED_VALUE"""),"Chile")</f>
        <v>Chile</v>
      </c>
      <c r="B39" s="18">
        <f>IFERROR(__xludf.DUMMYFUNCTION("""COMPUTED_VALUE"""),44165.0)</f>
        <v>44165</v>
      </c>
      <c r="C39" s="19">
        <f>IFERROR(__xludf.DUMMYFUNCTION("""COMPUTED_VALUE"""),44171.0)</f>
        <v>44171</v>
      </c>
      <c r="D39" s="17">
        <f>IFERROR(__xludf.DUMMYFUNCTION("""COMPUTED_VALUE"""),49.0)</f>
        <v>49</v>
      </c>
      <c r="E39" s="17">
        <f>IFERROR(__xludf.DUMMYFUNCTION("""COMPUTED_VALUE"""),2174.0)</f>
        <v>2174</v>
      </c>
      <c r="F39" s="17">
        <f>IFERROR(__xludf.DUMMYFUNCTION("""COMPUTED_VALUE"""),272.0)</f>
        <v>272</v>
      </c>
      <c r="G39" s="62">
        <v>38.0</v>
      </c>
      <c r="H39" s="63">
        <f t="shared" si="2"/>
        <v>2377.5</v>
      </c>
      <c r="I39" s="63">
        <v>2213.75</v>
      </c>
      <c r="J39" s="21">
        <f t="shared" si="3"/>
        <v>323.75</v>
      </c>
      <c r="K39" s="30">
        <f>(F39/(VLOOKUP("Chile",Poblacion!$A$2:$B$5,2,0)))*100000</f>
        <v>1.415755127</v>
      </c>
      <c r="L39" s="30">
        <f>(J39/(VLOOKUP("Chile",Poblacion!$A$2:$B$5,2,0)))*100000</f>
        <v>1.68511295</v>
      </c>
      <c r="M39" s="30">
        <f t="shared" ref="M39:N39" si="40">K39+M38</f>
        <v>81.34346001</v>
      </c>
      <c r="N39" s="30">
        <f t="shared" si="40"/>
        <v>86.5315259</v>
      </c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tr">
        <f>IFERROR(__xludf.DUMMYFUNCTION("""COMPUTED_VALUE"""),"Chile")</f>
        <v>Chile</v>
      </c>
      <c r="B40" s="18">
        <f>IFERROR(__xludf.DUMMYFUNCTION("""COMPUTED_VALUE"""),44172.0)</f>
        <v>44172</v>
      </c>
      <c r="C40" s="19">
        <f>IFERROR(__xludf.DUMMYFUNCTION("""COMPUTED_VALUE"""),44178.0)</f>
        <v>44178</v>
      </c>
      <c r="D40" s="17">
        <f>IFERROR(__xludf.DUMMYFUNCTION("""COMPUTED_VALUE"""),50.0)</f>
        <v>50</v>
      </c>
      <c r="E40" s="17">
        <f>IFERROR(__xludf.DUMMYFUNCTION("""COMPUTED_VALUE"""),2187.0)</f>
        <v>2187</v>
      </c>
      <c r="F40" s="17">
        <f>IFERROR(__xludf.DUMMYFUNCTION("""COMPUTED_VALUE"""),258.0)</f>
        <v>258</v>
      </c>
      <c r="G40" s="62">
        <v>39.0</v>
      </c>
      <c r="H40" s="63">
        <f t="shared" si="2"/>
        <v>2304</v>
      </c>
      <c r="I40" s="63">
        <v>2122.5</v>
      </c>
      <c r="J40" s="21">
        <f t="shared" si="3"/>
        <v>297</v>
      </c>
      <c r="K40" s="30">
        <f>(F40/(VLOOKUP("Chile",Poblacion!$A$2:$B$5,2,0)))*100000</f>
        <v>1.342885378</v>
      </c>
      <c r="L40" s="30">
        <f>(J40/(VLOOKUP("Chile",Poblacion!$A$2:$B$5,2,0)))*100000</f>
        <v>1.545879679</v>
      </c>
      <c r="M40" s="30">
        <f t="shared" ref="M40:N40" si="41">K40+M39</f>
        <v>82.68634539</v>
      </c>
      <c r="N40" s="30">
        <f t="shared" si="41"/>
        <v>88.07740558</v>
      </c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tr">
        <f>IFERROR(__xludf.DUMMYFUNCTION("""COMPUTED_VALUE"""),"Chile")</f>
        <v>Chile</v>
      </c>
      <c r="B41" s="18">
        <f>IFERROR(__xludf.DUMMYFUNCTION("""COMPUTED_VALUE"""),44179.0)</f>
        <v>44179</v>
      </c>
      <c r="C41" s="19">
        <f>IFERROR(__xludf.DUMMYFUNCTION("""COMPUTED_VALUE"""),44185.0)</f>
        <v>44185</v>
      </c>
      <c r="D41" s="17">
        <f>IFERROR(__xludf.DUMMYFUNCTION("""COMPUTED_VALUE"""),51.0)</f>
        <v>51</v>
      </c>
      <c r="E41" s="17">
        <f>IFERROR(__xludf.DUMMYFUNCTION("""COMPUTED_VALUE"""),2155.0)</f>
        <v>2155</v>
      </c>
      <c r="F41" s="17">
        <f>IFERROR(__xludf.DUMMYFUNCTION("""COMPUTED_VALUE"""),268.0)</f>
        <v>268</v>
      </c>
      <c r="G41" s="62">
        <v>40.0</v>
      </c>
      <c r="H41" s="63">
        <f t="shared" si="2"/>
        <v>2328</v>
      </c>
      <c r="I41" s="63">
        <v>2069.25</v>
      </c>
      <c r="J41" s="21">
        <f t="shared" si="3"/>
        <v>271.25</v>
      </c>
      <c r="K41" s="30">
        <f>(F41/(VLOOKUP("Chile",Poblacion!$A$2:$B$5,2,0)))*100000</f>
        <v>1.394935198</v>
      </c>
      <c r="L41" s="30">
        <f>(J41/(VLOOKUP("Chile",Poblacion!$A$2:$B$5,2,0)))*100000</f>
        <v>1.41185139</v>
      </c>
      <c r="M41" s="30">
        <f t="shared" ref="M41:N41" si="42">K41+M40</f>
        <v>84.08128058</v>
      </c>
      <c r="N41" s="30">
        <f t="shared" si="42"/>
        <v>89.48925697</v>
      </c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tr">
        <f>IFERROR(__xludf.DUMMYFUNCTION("""COMPUTED_VALUE"""),"Chile")</f>
        <v>Chile</v>
      </c>
      <c r="B42" s="18">
        <f>IFERROR(__xludf.DUMMYFUNCTION("""COMPUTED_VALUE"""),44186.0)</f>
        <v>44186</v>
      </c>
      <c r="C42" s="19">
        <f>IFERROR(__xludf.DUMMYFUNCTION("""COMPUTED_VALUE"""),44192.0)</f>
        <v>44192</v>
      </c>
      <c r="D42" s="17">
        <f>IFERROR(__xludf.DUMMYFUNCTION("""COMPUTED_VALUE"""),52.0)</f>
        <v>52</v>
      </c>
      <c r="E42" s="17">
        <f>IFERROR(__xludf.DUMMYFUNCTION("""COMPUTED_VALUE"""),2291.0)</f>
        <v>2291</v>
      </c>
      <c r="F42" s="17">
        <f>IFERROR(__xludf.DUMMYFUNCTION("""COMPUTED_VALUE"""),289.0)</f>
        <v>289</v>
      </c>
      <c r="G42" s="62">
        <v>41.0</v>
      </c>
      <c r="H42" s="63">
        <f t="shared" si="2"/>
        <v>2396</v>
      </c>
      <c r="I42" s="63">
        <v>2005.5</v>
      </c>
      <c r="J42" s="21">
        <f t="shared" si="3"/>
        <v>479.5</v>
      </c>
      <c r="K42" s="30">
        <f>(F42/(VLOOKUP("Chile",Poblacion!$A$2:$B$5,2,0)))*100000</f>
        <v>1.504239822</v>
      </c>
      <c r="L42" s="30">
        <f>(J42/(VLOOKUP("Chile",Poblacion!$A$2:$B$5,2,0)))*100000</f>
        <v>2.495788909</v>
      </c>
      <c r="M42" s="30">
        <f t="shared" ref="M42:N42" si="43">K42+M41</f>
        <v>85.58552041</v>
      </c>
      <c r="N42" s="30">
        <f t="shared" si="43"/>
        <v>91.98504588</v>
      </c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tr">
        <f>IFERROR(__xludf.DUMMYFUNCTION("""COMPUTED_VALUE"""),"Chile")</f>
        <v>Chile</v>
      </c>
      <c r="B43" s="18">
        <f>IFERROR(__xludf.DUMMYFUNCTION("""COMPUTED_VALUE"""),44193.0)</f>
        <v>44193</v>
      </c>
      <c r="C43" s="19">
        <f>IFERROR(__xludf.DUMMYFUNCTION("""COMPUTED_VALUE"""),44199.0)</f>
        <v>44199</v>
      </c>
      <c r="D43" s="17">
        <f>IFERROR(__xludf.DUMMYFUNCTION("""COMPUTED_VALUE"""),53.0)</f>
        <v>53</v>
      </c>
      <c r="E43" s="17">
        <f>IFERROR(__xludf.DUMMYFUNCTION("""COMPUTED_VALUE"""),2236.0)</f>
        <v>2236</v>
      </c>
      <c r="F43" s="17">
        <f>IFERROR(__xludf.DUMMYFUNCTION("""COMPUTED_VALUE"""),324.0)</f>
        <v>324</v>
      </c>
      <c r="G43" s="62">
        <v>42.0</v>
      </c>
      <c r="H43" s="63">
        <f t="shared" si="2"/>
        <v>2307</v>
      </c>
      <c r="I43" s="63">
        <v>1981.25</v>
      </c>
      <c r="J43" s="21">
        <f t="shared" si="3"/>
        <v>2236</v>
      </c>
      <c r="K43" s="30">
        <f>(F43/(VLOOKUP("Chile",Poblacion!$A$2:$B$5,2,0)))*100000</f>
        <v>1.686414195</v>
      </c>
      <c r="L43" s="30">
        <f>(J43/(VLOOKUP("Chile",Poblacion!$A$2:$B$5,2,0)))*100000</f>
        <v>11.63833994</v>
      </c>
      <c r="M43" s="30">
        <f t="shared" ref="M43:N43" si="44">K43+M42</f>
        <v>87.2719346</v>
      </c>
      <c r="N43" s="30">
        <f t="shared" si="44"/>
        <v>103.6233858</v>
      </c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tr">
        <f>IFERROR(__xludf.DUMMYFUNCTION("""COMPUTED_VALUE"""),"Chile")</f>
        <v>Chile</v>
      </c>
      <c r="B44" s="18">
        <f>IFERROR(__xludf.DUMMYFUNCTION("""COMPUTED_VALUE"""),44200.0)</f>
        <v>44200</v>
      </c>
      <c r="C44" s="19">
        <f>IFERROR(__xludf.DUMMYFUNCTION("""COMPUTED_VALUE"""),44206.0)</f>
        <v>44206</v>
      </c>
      <c r="D44" s="17">
        <f>IFERROR(__xludf.DUMMYFUNCTION("""COMPUTED_VALUE"""),1.0)</f>
        <v>1</v>
      </c>
      <c r="E44" s="17">
        <f>IFERROR(__xludf.DUMMYFUNCTION("""COMPUTED_VALUE"""),2445.0)</f>
        <v>2445</v>
      </c>
      <c r="F44" s="17">
        <f>IFERROR(__xludf.DUMMYFUNCTION("""COMPUTED_VALUE"""),329.0)</f>
        <v>329</v>
      </c>
      <c r="G44" s="62">
        <v>43.0</v>
      </c>
      <c r="H44" s="63">
        <f t="shared" si="2"/>
        <v>2304</v>
      </c>
      <c r="I44" s="63">
        <v>1958.0</v>
      </c>
      <c r="J44" s="21">
        <f t="shared" si="3"/>
        <v>477.8</v>
      </c>
      <c r="K44" s="30">
        <f>(F44/(VLOOKUP("Chile",Poblacion!$A$2:$B$5,2,0)))*100000</f>
        <v>1.712439106</v>
      </c>
      <c r="L44" s="30">
        <f>(J44/(VLOOKUP("Chile",Poblacion!$A$2:$B$5,2,0)))*100000</f>
        <v>2.48694044</v>
      </c>
      <c r="M44" s="30">
        <f t="shared" ref="M44:N44" si="45">K44+M43</f>
        <v>88.98437371</v>
      </c>
      <c r="N44" s="30">
        <f t="shared" si="45"/>
        <v>106.1103263</v>
      </c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tr">
        <f>IFERROR(__xludf.DUMMYFUNCTION("""COMPUTED_VALUE"""),"Chile")</f>
        <v>Chile</v>
      </c>
      <c r="B45" s="18">
        <f>IFERROR(__xludf.DUMMYFUNCTION("""COMPUTED_VALUE"""),44207.0)</f>
        <v>44207</v>
      </c>
      <c r="C45" s="19">
        <f>IFERROR(__xludf.DUMMYFUNCTION("""COMPUTED_VALUE"""),44213.0)</f>
        <v>44213</v>
      </c>
      <c r="D45" s="17">
        <f>IFERROR(__xludf.DUMMYFUNCTION("""COMPUTED_VALUE"""),2.0)</f>
        <v>2</v>
      </c>
      <c r="E45" s="17">
        <f>IFERROR(__xludf.DUMMYFUNCTION("""COMPUTED_VALUE"""),2438.0)</f>
        <v>2438</v>
      </c>
      <c r="F45" s="17">
        <f>IFERROR(__xludf.DUMMYFUNCTION("""COMPUTED_VALUE"""),381.0)</f>
        <v>381</v>
      </c>
      <c r="G45" s="62">
        <v>44.0</v>
      </c>
      <c r="H45" s="63">
        <f t="shared" si="2"/>
        <v>2268</v>
      </c>
      <c r="I45" s="63">
        <v>1942.0</v>
      </c>
      <c r="J45" s="21">
        <f t="shared" si="3"/>
        <v>552.4</v>
      </c>
      <c r="K45" s="30">
        <f>(F45/(VLOOKUP("Chile",Poblacion!$A$2:$B$5,2,0)))*100000</f>
        <v>1.983098174</v>
      </c>
      <c r="L45" s="30">
        <f>(J45/(VLOOKUP("Chile",Poblacion!$A$2:$B$5,2,0)))*100000</f>
        <v>2.875232103</v>
      </c>
      <c r="M45" s="30">
        <f t="shared" ref="M45:N45" si="46">K45+M44</f>
        <v>90.96747188</v>
      </c>
      <c r="N45" s="30">
        <f t="shared" si="46"/>
        <v>108.9855584</v>
      </c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tr">
        <f>IFERROR(__xludf.DUMMYFUNCTION("""COMPUTED_VALUE"""),"Chile")</f>
        <v>Chile</v>
      </c>
      <c r="B46" s="18">
        <f>IFERROR(__xludf.DUMMYFUNCTION("""COMPUTED_VALUE"""),44214.0)</f>
        <v>44214</v>
      </c>
      <c r="C46" s="19">
        <f>IFERROR(__xludf.DUMMYFUNCTION("""COMPUTED_VALUE"""),44220.0)</f>
        <v>44220</v>
      </c>
      <c r="D46" s="17">
        <f>IFERROR(__xludf.DUMMYFUNCTION("""COMPUTED_VALUE"""),3.0)</f>
        <v>3</v>
      </c>
      <c r="E46" s="17">
        <f>IFERROR(__xludf.DUMMYFUNCTION("""COMPUTED_VALUE"""),2701.0)</f>
        <v>2701</v>
      </c>
      <c r="F46" s="17">
        <f>IFERROR(__xludf.DUMMYFUNCTION("""COMPUTED_VALUE"""),456.0)</f>
        <v>456</v>
      </c>
      <c r="G46" s="62">
        <v>45.0</v>
      </c>
      <c r="H46" s="63">
        <f t="shared" si="2"/>
        <v>2239</v>
      </c>
      <c r="I46" s="63">
        <v>1946.5</v>
      </c>
      <c r="J46" s="21">
        <f t="shared" si="3"/>
        <v>775</v>
      </c>
      <c r="K46" s="30">
        <f>(F46/(VLOOKUP("Chile",Poblacion!$A$2:$B$5,2,0)))*100000</f>
        <v>2.37347183</v>
      </c>
      <c r="L46" s="30">
        <f>(J46/(VLOOKUP("Chile",Poblacion!$A$2:$B$5,2,0)))*100000</f>
        <v>4.033861115</v>
      </c>
      <c r="M46" s="30">
        <f t="shared" ref="M46:N46" si="47">K46+M45</f>
        <v>93.34094371</v>
      </c>
      <c r="N46" s="30">
        <f t="shared" si="47"/>
        <v>113.0194195</v>
      </c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tr">
        <f>IFERROR(__xludf.DUMMYFUNCTION("""COMPUTED_VALUE"""),"Chile")</f>
        <v>Chile</v>
      </c>
      <c r="B47" s="18">
        <f>IFERROR(__xludf.DUMMYFUNCTION("""COMPUTED_VALUE"""),44221.0)</f>
        <v>44221</v>
      </c>
      <c r="C47" s="19">
        <f>IFERROR(__xludf.DUMMYFUNCTION("""COMPUTED_VALUE"""),44227.0)</f>
        <v>44227</v>
      </c>
      <c r="D47" s="17">
        <f>IFERROR(__xludf.DUMMYFUNCTION("""COMPUTED_VALUE"""),4.0)</f>
        <v>4</v>
      </c>
      <c r="E47" s="17">
        <f>IFERROR(__xludf.DUMMYFUNCTION("""COMPUTED_VALUE"""),2557.0)</f>
        <v>2557</v>
      </c>
      <c r="F47" s="17">
        <f>IFERROR(__xludf.DUMMYFUNCTION("""COMPUTED_VALUE"""),519.0)</f>
        <v>519</v>
      </c>
      <c r="G47" s="62">
        <v>46.0</v>
      </c>
      <c r="H47" s="63">
        <f t="shared" si="2"/>
        <v>2121</v>
      </c>
      <c r="I47" s="63">
        <v>1898.0</v>
      </c>
      <c r="J47" s="21">
        <f t="shared" si="3"/>
        <v>636.2</v>
      </c>
      <c r="K47" s="30">
        <f>(F47/(VLOOKUP("Chile",Poblacion!$A$2:$B$5,2,0)))*100000</f>
        <v>2.701385702</v>
      </c>
      <c r="L47" s="30">
        <f>(J47/(VLOOKUP("Chile",Poblacion!$A$2:$B$5,2,0)))*100000</f>
        <v>3.311409602</v>
      </c>
      <c r="M47" s="30">
        <f t="shared" ref="M47:N47" si="48">K47+M46</f>
        <v>96.04232941</v>
      </c>
      <c r="N47" s="30">
        <f t="shared" si="48"/>
        <v>116.3308291</v>
      </c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tr">
        <f>IFERROR(__xludf.DUMMYFUNCTION("""COMPUTED_VALUE"""),"Chile")</f>
        <v>Chile</v>
      </c>
      <c r="B48" s="18">
        <f>IFERROR(__xludf.DUMMYFUNCTION("""COMPUTED_VALUE"""),44228.0)</f>
        <v>44228</v>
      </c>
      <c r="C48" s="19">
        <f>IFERROR(__xludf.DUMMYFUNCTION("""COMPUTED_VALUE"""),44234.0)</f>
        <v>44234</v>
      </c>
      <c r="D48" s="17">
        <f>IFERROR(__xludf.DUMMYFUNCTION("""COMPUTED_VALUE"""),5.0)</f>
        <v>5</v>
      </c>
      <c r="E48" s="17">
        <f>IFERROR(__xludf.DUMMYFUNCTION("""COMPUTED_VALUE"""),2633.0)</f>
        <v>2633</v>
      </c>
      <c r="F48" s="17">
        <f>IFERROR(__xludf.DUMMYFUNCTION("""COMPUTED_VALUE"""),522.0)</f>
        <v>522</v>
      </c>
      <c r="G48" s="62">
        <v>47.0</v>
      </c>
      <c r="H48" s="63">
        <f t="shared" si="2"/>
        <v>2184</v>
      </c>
      <c r="I48" s="63">
        <v>1942.25</v>
      </c>
      <c r="J48" s="21">
        <f t="shared" si="3"/>
        <v>707.2</v>
      </c>
      <c r="K48" s="30">
        <f>(F48/(VLOOKUP("Chile",Poblacion!$A$2:$B$5,2,0)))*100000</f>
        <v>2.717000648</v>
      </c>
      <c r="L48" s="30">
        <f>(J48/(VLOOKUP("Chile",Poblacion!$A$2:$B$5,2,0)))*100000</f>
        <v>3.68096333</v>
      </c>
      <c r="M48" s="30">
        <f t="shared" ref="M48:N48" si="49">K48+M47</f>
        <v>98.75933006</v>
      </c>
      <c r="N48" s="30">
        <f t="shared" si="49"/>
        <v>120.0117924</v>
      </c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tr">
        <f>IFERROR(__xludf.DUMMYFUNCTION("""COMPUTED_VALUE"""),"Chile")</f>
        <v>Chile</v>
      </c>
      <c r="B49" s="18">
        <f>IFERROR(__xludf.DUMMYFUNCTION("""COMPUTED_VALUE"""),44235.0)</f>
        <v>44235</v>
      </c>
      <c r="C49" s="19">
        <f>IFERROR(__xludf.DUMMYFUNCTION("""COMPUTED_VALUE"""),44241.0)</f>
        <v>44241</v>
      </c>
      <c r="D49" s="17">
        <f>IFERROR(__xludf.DUMMYFUNCTION("""COMPUTED_VALUE"""),6.0)</f>
        <v>6</v>
      </c>
      <c r="E49" s="17">
        <f>IFERROR(__xludf.DUMMYFUNCTION("""COMPUTED_VALUE"""),2506.0)</f>
        <v>2506</v>
      </c>
      <c r="F49" s="17">
        <f>IFERROR(__xludf.DUMMYFUNCTION("""COMPUTED_VALUE"""),567.0)</f>
        <v>567</v>
      </c>
      <c r="G49" s="62">
        <v>48.0</v>
      </c>
      <c r="H49" s="63">
        <f t="shared" si="2"/>
        <v>2203</v>
      </c>
      <c r="I49" s="63">
        <v>1895.75</v>
      </c>
      <c r="J49" s="21">
        <f t="shared" si="3"/>
        <v>638</v>
      </c>
      <c r="K49" s="30">
        <f>(F49/(VLOOKUP("Chile",Poblacion!$A$2:$B$5,2,0)))*100000</f>
        <v>2.951224842</v>
      </c>
      <c r="L49" s="30">
        <f>(J49/(VLOOKUP("Chile",Poblacion!$A$2:$B$5,2,0)))*100000</f>
        <v>3.32077857</v>
      </c>
      <c r="M49" s="30">
        <f t="shared" ref="M49:N49" si="50">K49+M48</f>
        <v>101.7105549</v>
      </c>
      <c r="N49" s="30">
        <f t="shared" si="50"/>
        <v>123.332571</v>
      </c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tr">
        <f>IFERROR(__xludf.DUMMYFUNCTION("""COMPUTED_VALUE"""),"Chile")</f>
        <v>Chile</v>
      </c>
      <c r="B50" s="18">
        <f>IFERROR(__xludf.DUMMYFUNCTION("""COMPUTED_VALUE"""),44242.0)</f>
        <v>44242</v>
      </c>
      <c r="C50" s="19">
        <f>IFERROR(__xludf.DUMMYFUNCTION("""COMPUTED_VALUE"""),44248.0)</f>
        <v>44248</v>
      </c>
      <c r="D50" s="17">
        <f>IFERROR(__xludf.DUMMYFUNCTION("""COMPUTED_VALUE"""),7.0)</f>
        <v>7</v>
      </c>
      <c r="E50" s="17">
        <f>IFERROR(__xludf.DUMMYFUNCTION("""COMPUTED_VALUE"""),2502.0)</f>
        <v>2502</v>
      </c>
      <c r="F50" s="17">
        <f>IFERROR(__xludf.DUMMYFUNCTION("""COMPUTED_VALUE"""),501.0)</f>
        <v>501</v>
      </c>
      <c r="G50" s="62">
        <v>49.0</v>
      </c>
      <c r="H50" s="63">
        <f t="shared" si="2"/>
        <v>2174</v>
      </c>
      <c r="I50" s="63">
        <v>1850.25</v>
      </c>
      <c r="J50" s="21">
        <f t="shared" si="3"/>
        <v>653.6</v>
      </c>
      <c r="K50" s="30">
        <f>(F50/(VLOOKUP("Chile",Poblacion!$A$2:$B$5,2,0)))*100000</f>
        <v>2.607696024</v>
      </c>
      <c r="L50" s="30">
        <f>(J50/(VLOOKUP("Chile",Poblacion!$A$2:$B$5,2,0)))*100000</f>
        <v>3.40197629</v>
      </c>
      <c r="M50" s="30">
        <f t="shared" ref="M50:N50" si="51">K50+M49</f>
        <v>104.3182509</v>
      </c>
      <c r="N50" s="30">
        <f t="shared" si="51"/>
        <v>126.7345473</v>
      </c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tr">
        <f>IFERROR(__xludf.DUMMYFUNCTION("""COMPUTED_VALUE"""),"Chile")</f>
        <v>Chile</v>
      </c>
      <c r="B51" s="18">
        <f>IFERROR(__xludf.DUMMYFUNCTION("""COMPUTED_VALUE"""),44249.0)</f>
        <v>44249</v>
      </c>
      <c r="C51" s="19">
        <f>IFERROR(__xludf.DUMMYFUNCTION("""COMPUTED_VALUE"""),44255.0)</f>
        <v>44255</v>
      </c>
      <c r="D51" s="17">
        <f>IFERROR(__xludf.DUMMYFUNCTION("""COMPUTED_VALUE"""),8.0)</f>
        <v>8</v>
      </c>
      <c r="E51" s="17">
        <f>IFERROR(__xludf.DUMMYFUNCTION("""COMPUTED_VALUE"""),2606.0)</f>
        <v>2606</v>
      </c>
      <c r="F51" s="17">
        <f>IFERROR(__xludf.DUMMYFUNCTION("""COMPUTED_VALUE"""),530.0)</f>
        <v>530</v>
      </c>
      <c r="G51" s="62">
        <v>50.0</v>
      </c>
      <c r="H51" s="63">
        <f t="shared" si="2"/>
        <v>2187</v>
      </c>
      <c r="I51" s="63">
        <v>1890.0</v>
      </c>
      <c r="J51" s="21">
        <f t="shared" si="3"/>
        <v>721.8</v>
      </c>
      <c r="K51" s="30">
        <f>(F51/(VLOOKUP("Chile",Poblacion!$A$2:$B$5,2,0)))*100000</f>
        <v>2.758640504</v>
      </c>
      <c r="L51" s="30">
        <f>(J51/(VLOOKUP("Chile",Poblacion!$A$2:$B$5,2,0)))*100000</f>
        <v>3.756956068</v>
      </c>
      <c r="M51" s="30">
        <f t="shared" ref="M51:N51" si="52">K51+M50</f>
        <v>107.0768914</v>
      </c>
      <c r="N51" s="30">
        <f t="shared" si="52"/>
        <v>130.4915033</v>
      </c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tr">
        <f>IFERROR(__xludf.DUMMYFUNCTION("""COMPUTED_VALUE"""),"Chile")</f>
        <v>Chile</v>
      </c>
      <c r="B52" s="18">
        <f>IFERROR(__xludf.DUMMYFUNCTION("""COMPUTED_VALUE"""),44256.0)</f>
        <v>44256</v>
      </c>
      <c r="C52" s="19">
        <f>IFERROR(__xludf.DUMMYFUNCTION("""COMPUTED_VALUE"""),44262.0)</f>
        <v>44262</v>
      </c>
      <c r="D52" s="17">
        <f>IFERROR(__xludf.DUMMYFUNCTION("""COMPUTED_VALUE"""),9.0)</f>
        <v>9</v>
      </c>
      <c r="E52" s="17">
        <f>IFERROR(__xludf.DUMMYFUNCTION("""COMPUTED_VALUE"""),2661.0)</f>
        <v>2661</v>
      </c>
      <c r="F52" s="17">
        <f>IFERROR(__xludf.DUMMYFUNCTION("""COMPUTED_VALUE"""),505.0)</f>
        <v>505</v>
      </c>
      <c r="G52" s="62">
        <v>51.0</v>
      </c>
      <c r="H52" s="63">
        <f t="shared" si="2"/>
        <v>2155</v>
      </c>
      <c r="I52" s="63">
        <v>1883.75</v>
      </c>
      <c r="J52" s="21">
        <f t="shared" si="3"/>
        <v>858.2</v>
      </c>
      <c r="K52" s="30">
        <f>(F52/(VLOOKUP("Chile",Poblacion!$A$2:$B$5,2,0)))*100000</f>
        <v>2.628515952</v>
      </c>
      <c r="L52" s="30">
        <f>(J52/(VLOOKUP("Chile",Poblacion!$A$2:$B$5,2,0)))*100000</f>
        <v>4.466915624</v>
      </c>
      <c r="M52" s="30">
        <f t="shared" ref="M52:N52" si="53">K52+M51</f>
        <v>109.7054074</v>
      </c>
      <c r="N52" s="30">
        <f t="shared" si="53"/>
        <v>134.958419</v>
      </c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tr">
        <f>IFERROR(__xludf.DUMMYFUNCTION("""COMPUTED_VALUE"""),"Chile")</f>
        <v>Chile</v>
      </c>
      <c r="B53" s="18">
        <f>IFERROR(__xludf.DUMMYFUNCTION("""COMPUTED_VALUE"""),44263.0)</f>
        <v>44263</v>
      </c>
      <c r="C53" s="19">
        <f>IFERROR(__xludf.DUMMYFUNCTION("""COMPUTED_VALUE"""),44269.0)</f>
        <v>44269</v>
      </c>
      <c r="D53" s="17">
        <f>IFERROR(__xludf.DUMMYFUNCTION("""COMPUTED_VALUE"""),10.0)</f>
        <v>10</v>
      </c>
      <c r="E53" s="17">
        <f>IFERROR(__xludf.DUMMYFUNCTION("""COMPUTED_VALUE"""),2656.0)</f>
        <v>2656</v>
      </c>
      <c r="F53" s="17">
        <f>IFERROR(__xludf.DUMMYFUNCTION("""COMPUTED_VALUE"""),597.0)</f>
        <v>597</v>
      </c>
      <c r="G53" s="62">
        <v>52.0</v>
      </c>
      <c r="H53" s="63">
        <f t="shared" si="2"/>
        <v>2291</v>
      </c>
      <c r="I53" s="63">
        <v>1811.5</v>
      </c>
      <c r="J53" s="21">
        <f t="shared" si="3"/>
        <v>847.6</v>
      </c>
      <c r="K53" s="30">
        <f>(F53/(VLOOKUP("Chile",Poblacion!$A$2:$B$5,2,0)))*100000</f>
        <v>3.107374304</v>
      </c>
      <c r="L53" s="30">
        <f>(J53/(VLOOKUP("Chile",Poblacion!$A$2:$B$5,2,0)))*100000</f>
        <v>4.411742814</v>
      </c>
      <c r="M53" s="30">
        <f t="shared" ref="M53:N53" si="54">K53+M52</f>
        <v>112.8127817</v>
      </c>
      <c r="N53" s="30">
        <f t="shared" si="54"/>
        <v>139.3701618</v>
      </c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tr">
        <f>IFERROR(__xludf.DUMMYFUNCTION("""COMPUTED_VALUE"""),"Chile")</f>
        <v>Chile</v>
      </c>
      <c r="B54" s="18">
        <f>IFERROR(__xludf.DUMMYFUNCTION("""COMPUTED_VALUE"""),44270.0)</f>
        <v>44270</v>
      </c>
      <c r="C54" s="19">
        <f>IFERROR(__xludf.DUMMYFUNCTION("""COMPUTED_VALUE"""),44276.0)</f>
        <v>44276</v>
      </c>
      <c r="D54" s="17">
        <f>IFERROR(__xludf.DUMMYFUNCTION("""COMPUTED_VALUE"""),11.0)</f>
        <v>11</v>
      </c>
      <c r="E54" s="17">
        <f>IFERROR(__xludf.DUMMYFUNCTION("""COMPUTED_VALUE"""),2550.0)</f>
        <v>2550</v>
      </c>
      <c r="F54" s="17">
        <f>IFERROR(__xludf.DUMMYFUNCTION("""COMPUTED_VALUE"""),605.0)</f>
        <v>605</v>
      </c>
      <c r="G54" s="62">
        <v>53.0</v>
      </c>
      <c r="H54" s="63">
        <f t="shared" si="2"/>
        <v>2236</v>
      </c>
      <c r="I54" s="62">
        <v>0.0</v>
      </c>
      <c r="J54" s="21">
        <f t="shared" si="3"/>
        <v>728.2</v>
      </c>
      <c r="K54" s="30">
        <f>(F54/(VLOOKUP("Chile",Poblacion!$A$2:$B$5,2,0)))*100000</f>
        <v>3.149014161</v>
      </c>
      <c r="L54" s="30">
        <f>(J54/(VLOOKUP("Chile",Poblacion!$A$2:$B$5,2,0)))*100000</f>
        <v>3.790267954</v>
      </c>
      <c r="M54" s="30">
        <f t="shared" ref="M54:N54" si="55">K54+M53</f>
        <v>115.9617958</v>
      </c>
      <c r="N54" s="30">
        <f t="shared" si="55"/>
        <v>143.1604297</v>
      </c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tr">
        <f>IFERROR(__xludf.DUMMYFUNCTION("""COMPUTED_VALUE"""),"Chile")</f>
        <v>Chile</v>
      </c>
      <c r="B55" s="18">
        <f>IFERROR(__xludf.DUMMYFUNCTION("""COMPUTED_VALUE"""),44277.0)</f>
        <v>44277</v>
      </c>
      <c r="C55" s="19">
        <f>IFERROR(__xludf.DUMMYFUNCTION("""COMPUTED_VALUE"""),44283.0)</f>
        <v>44283</v>
      </c>
      <c r="D55" s="17">
        <f>IFERROR(__xludf.DUMMYFUNCTION("""COMPUTED_VALUE"""),12.0)</f>
        <v>12</v>
      </c>
      <c r="E55" s="17">
        <f>IFERROR(__xludf.DUMMYFUNCTION("""COMPUTED_VALUE"""),2741.0)</f>
        <v>2741</v>
      </c>
      <c r="F55" s="17">
        <f>IFERROR(__xludf.DUMMYFUNCTION("""COMPUTED_VALUE"""),475.0)</f>
        <v>475</v>
      </c>
      <c r="G55" s="75"/>
      <c r="H55" s="63"/>
      <c r="I55" s="75"/>
      <c r="J55" s="21">
        <f t="shared" si="3"/>
        <v>935</v>
      </c>
      <c r="K55" s="30">
        <f>(F55/(VLOOKUP("Chile",Poblacion!$A$2:$B$5,2,0)))*100000</f>
        <v>2.47236649</v>
      </c>
      <c r="L55" s="30">
        <f>(J55/(VLOOKUP("Chile",Poblacion!$A$2:$B$5,2,0)))*100000</f>
        <v>4.866658248</v>
      </c>
      <c r="M55" s="30">
        <f t="shared" ref="M55:N55" si="56">K55+M54</f>
        <v>118.4341623</v>
      </c>
      <c r="N55" s="30">
        <f t="shared" si="56"/>
        <v>148.027088</v>
      </c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tr">
        <f>IFERROR(__xludf.DUMMYFUNCTION("""COMPUTED_VALUE"""),"Chile")</f>
        <v>Chile</v>
      </c>
      <c r="B56" s="18">
        <f>IFERROR(__xludf.DUMMYFUNCTION("""COMPUTED_VALUE"""),44284.0)</f>
        <v>44284</v>
      </c>
      <c r="C56" s="19">
        <f>IFERROR(__xludf.DUMMYFUNCTION("""COMPUTED_VALUE"""),44290.0)</f>
        <v>44290</v>
      </c>
      <c r="D56" s="17">
        <f>IFERROR(__xludf.DUMMYFUNCTION("""COMPUTED_VALUE"""),13.0)</f>
        <v>13</v>
      </c>
      <c r="E56" s="17">
        <f>IFERROR(__xludf.DUMMYFUNCTION("""COMPUTED_VALUE"""),2833.0)</f>
        <v>2833</v>
      </c>
      <c r="F56" s="17">
        <f>IFERROR(__xludf.DUMMYFUNCTION("""COMPUTED_VALUE"""),890.0)</f>
        <v>890</v>
      </c>
      <c r="G56" s="75"/>
      <c r="H56" s="63"/>
      <c r="I56" s="75"/>
      <c r="J56" s="21">
        <f t="shared" si="3"/>
        <v>991.5</v>
      </c>
      <c r="K56" s="30">
        <f>(F56/(VLOOKUP("Chile",Poblacion!$A$2:$B$5,2,0)))*100000</f>
        <v>4.632434055</v>
      </c>
      <c r="L56" s="30">
        <f>(J56/(VLOOKUP("Chile",Poblacion!$A$2:$B$5,2,0)))*100000</f>
        <v>5.160739736</v>
      </c>
      <c r="M56" s="30">
        <f t="shared" ref="M56:N56" si="57">K56+M55</f>
        <v>123.0665964</v>
      </c>
      <c r="N56" s="30">
        <f t="shared" si="57"/>
        <v>153.1878277</v>
      </c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tr">
        <f>IFERROR(__xludf.DUMMYFUNCTION("""COMPUTED_VALUE"""),"Chile")</f>
        <v>Chile</v>
      </c>
      <c r="B57" s="18">
        <f>IFERROR(__xludf.DUMMYFUNCTION("""COMPUTED_VALUE"""),44291.0)</f>
        <v>44291</v>
      </c>
      <c r="C57" s="19">
        <f>IFERROR(__xludf.DUMMYFUNCTION("""COMPUTED_VALUE"""),44297.0)</f>
        <v>44297</v>
      </c>
      <c r="D57" s="17">
        <f>IFERROR(__xludf.DUMMYFUNCTION("""COMPUTED_VALUE"""),14.0)</f>
        <v>14</v>
      </c>
      <c r="E57" s="17">
        <f>IFERROR(__xludf.DUMMYFUNCTION("""COMPUTED_VALUE"""),2849.0)</f>
        <v>2849</v>
      </c>
      <c r="F57" s="17">
        <f>IFERROR(__xludf.DUMMYFUNCTION("""COMPUTED_VALUE"""),702.0)</f>
        <v>702</v>
      </c>
      <c r="G57" s="75"/>
      <c r="H57" s="63"/>
      <c r="I57" s="75"/>
      <c r="J57" s="21">
        <f t="shared" si="3"/>
        <v>962.5</v>
      </c>
      <c r="K57" s="30">
        <f>(F57/(VLOOKUP("Chile",Poblacion!$A$2:$B$5,2,0)))*100000</f>
        <v>3.653897423</v>
      </c>
      <c r="L57" s="30">
        <f>(J57/(VLOOKUP("Chile",Poblacion!$A$2:$B$5,2,0)))*100000</f>
        <v>5.009795256</v>
      </c>
      <c r="M57" s="30">
        <f t="shared" ref="M57:N57" si="58">K57+M56</f>
        <v>126.7204938</v>
      </c>
      <c r="N57" s="30">
        <f t="shared" si="58"/>
        <v>158.197623</v>
      </c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tr">
        <f>IFERROR(__xludf.DUMMYFUNCTION("""COMPUTED_VALUE"""),"Chile")</f>
        <v>Chile</v>
      </c>
      <c r="B58" s="18">
        <f>IFERROR(__xludf.DUMMYFUNCTION("""COMPUTED_VALUE"""),44298.0)</f>
        <v>44298</v>
      </c>
      <c r="C58" s="19">
        <f>IFERROR(__xludf.DUMMYFUNCTION("""COMPUTED_VALUE"""),44304.0)</f>
        <v>44304</v>
      </c>
      <c r="D58" s="17">
        <f>IFERROR(__xludf.DUMMYFUNCTION("""COMPUTED_VALUE"""),15.0)</f>
        <v>15</v>
      </c>
      <c r="E58" s="17">
        <f>IFERROR(__xludf.DUMMYFUNCTION("""COMPUTED_VALUE"""),2897.0)</f>
        <v>2897</v>
      </c>
      <c r="F58" s="17">
        <f>IFERROR(__xludf.DUMMYFUNCTION("""COMPUTED_VALUE"""),831.0)</f>
        <v>831</v>
      </c>
      <c r="G58" s="75"/>
      <c r="H58" s="63"/>
      <c r="I58" s="75"/>
      <c r="J58" s="21">
        <f t="shared" si="3"/>
        <v>945.5</v>
      </c>
      <c r="K58" s="30">
        <f>(F58/(VLOOKUP("Chile",Poblacion!$A$2:$B$5,2,0)))*100000</f>
        <v>4.325340112</v>
      </c>
      <c r="L58" s="30">
        <f>(J58/(VLOOKUP("Chile",Poblacion!$A$2:$B$5,2,0)))*100000</f>
        <v>4.92131056</v>
      </c>
      <c r="M58" s="30">
        <f t="shared" ref="M58:N58" si="59">K58+M57</f>
        <v>131.0458339</v>
      </c>
      <c r="N58" s="30">
        <f t="shared" si="59"/>
        <v>163.1189335</v>
      </c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tr">
        <f>IFERROR(__xludf.DUMMYFUNCTION("""COMPUTED_VALUE"""),"Chile")</f>
        <v>Chile</v>
      </c>
      <c r="B59" s="18">
        <f>IFERROR(__xludf.DUMMYFUNCTION("""COMPUTED_VALUE"""),44305.0)</f>
        <v>44305</v>
      </c>
      <c r="C59" s="19">
        <f>IFERROR(__xludf.DUMMYFUNCTION("""COMPUTED_VALUE"""),44311.0)</f>
        <v>44311</v>
      </c>
      <c r="D59" s="17">
        <f>IFERROR(__xludf.DUMMYFUNCTION("""COMPUTED_VALUE"""),16.0)</f>
        <v>16</v>
      </c>
      <c r="E59" s="17">
        <f>IFERROR(__xludf.DUMMYFUNCTION("""COMPUTED_VALUE"""),2664.0)</f>
        <v>2664</v>
      </c>
      <c r="F59" s="17">
        <f>IFERROR(__xludf.DUMMYFUNCTION("""COMPUTED_VALUE"""),679.0)</f>
        <v>679</v>
      </c>
      <c r="G59" s="75"/>
      <c r="H59" s="63"/>
      <c r="I59" s="75"/>
      <c r="J59" s="21">
        <f t="shared" si="3"/>
        <v>755</v>
      </c>
      <c r="K59" s="30">
        <f>(F59/(VLOOKUP("Chile",Poblacion!$A$2:$B$5,2,0)))*100000</f>
        <v>3.534182835</v>
      </c>
      <c r="L59" s="30">
        <f>(J59/(VLOOKUP("Chile",Poblacion!$A$2:$B$5,2,0)))*100000</f>
        <v>3.929761473</v>
      </c>
      <c r="M59" s="30">
        <f t="shared" ref="M59:N59" si="60">K59+M58</f>
        <v>134.5800168</v>
      </c>
      <c r="N59" s="30">
        <f t="shared" si="60"/>
        <v>167.048695</v>
      </c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tr">
        <f>IFERROR(__xludf.DUMMYFUNCTION("""COMPUTED_VALUE"""),"Chile")</f>
        <v>Chile</v>
      </c>
      <c r="B60" s="18">
        <f>IFERROR(__xludf.DUMMYFUNCTION("""COMPUTED_VALUE"""),44312.0)</f>
        <v>44312</v>
      </c>
      <c r="C60" s="19">
        <f>IFERROR(__xludf.DUMMYFUNCTION("""COMPUTED_VALUE"""),44318.0)</f>
        <v>44318</v>
      </c>
      <c r="D60" s="17">
        <f>IFERROR(__xludf.DUMMYFUNCTION("""COMPUTED_VALUE"""),17.0)</f>
        <v>17</v>
      </c>
      <c r="E60" s="17">
        <f>IFERROR(__xludf.DUMMYFUNCTION("""COMPUTED_VALUE"""),2786.0)</f>
        <v>2786</v>
      </c>
      <c r="F60" s="17">
        <f>IFERROR(__xludf.DUMMYFUNCTION("""COMPUTED_VALUE"""),705.0)</f>
        <v>705</v>
      </c>
      <c r="G60" s="75"/>
      <c r="H60" s="63"/>
      <c r="I60" s="75"/>
      <c r="J60" s="21">
        <f t="shared" si="3"/>
        <v>801.5</v>
      </c>
      <c r="K60" s="30">
        <f>(F60/(VLOOKUP("Chile",Poblacion!$A$2:$B$5,2,0)))*100000</f>
        <v>3.669512369</v>
      </c>
      <c r="L60" s="30">
        <f>(J60/(VLOOKUP("Chile",Poblacion!$A$2:$B$5,2,0)))*100000</f>
        <v>4.17179314</v>
      </c>
      <c r="M60" s="30">
        <f t="shared" ref="M60:N60" si="61">K60+M59</f>
        <v>138.2495291</v>
      </c>
      <c r="N60" s="30">
        <f t="shared" si="61"/>
        <v>171.2204881</v>
      </c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tr">
        <f>IFERROR(__xludf.DUMMYFUNCTION("""COMPUTED_VALUE"""),"Chile")</f>
        <v>Chile</v>
      </c>
      <c r="B61" s="18">
        <f>IFERROR(__xludf.DUMMYFUNCTION("""COMPUTED_VALUE"""),44319.0)</f>
        <v>44319</v>
      </c>
      <c r="C61" s="19">
        <f>IFERROR(__xludf.DUMMYFUNCTION("""COMPUTED_VALUE"""),44325.0)</f>
        <v>44325</v>
      </c>
      <c r="D61" s="17">
        <f>IFERROR(__xludf.DUMMYFUNCTION("""COMPUTED_VALUE"""),18.0)</f>
        <v>18</v>
      </c>
      <c r="E61" s="17">
        <f>IFERROR(__xludf.DUMMYFUNCTION("""COMPUTED_VALUE"""),2731.0)</f>
        <v>2731</v>
      </c>
      <c r="F61" s="17">
        <f>IFERROR(__xludf.DUMMYFUNCTION("""COMPUTED_VALUE"""),657.0)</f>
        <v>657</v>
      </c>
      <c r="G61" s="75"/>
      <c r="H61" s="63"/>
      <c r="I61" s="75"/>
      <c r="J61" s="21">
        <f t="shared" si="3"/>
        <v>751.75</v>
      </c>
      <c r="K61" s="30">
        <f>(F61/(VLOOKUP("Chile",Poblacion!$A$2:$B$5,2,0)))*100000</f>
        <v>3.419673229</v>
      </c>
      <c r="L61" s="30">
        <f>(J61/(VLOOKUP("Chile",Poblacion!$A$2:$B$5,2,0)))*100000</f>
        <v>3.912845282</v>
      </c>
      <c r="M61" s="30">
        <f t="shared" ref="M61:N61" si="62">K61+M60</f>
        <v>141.6692024</v>
      </c>
      <c r="N61" s="30">
        <f t="shared" si="62"/>
        <v>175.1333334</v>
      </c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tr">
        <f>IFERROR(__xludf.DUMMYFUNCTION("""COMPUTED_VALUE"""),"Chile")</f>
        <v>Chile</v>
      </c>
      <c r="B62" s="18">
        <f>IFERROR(__xludf.DUMMYFUNCTION("""COMPUTED_VALUE"""),44326.0)</f>
        <v>44326</v>
      </c>
      <c r="C62" s="19">
        <f>IFERROR(__xludf.DUMMYFUNCTION("""COMPUTED_VALUE"""),44332.0)</f>
        <v>44332</v>
      </c>
      <c r="D62" s="17">
        <f>IFERROR(__xludf.DUMMYFUNCTION("""COMPUTED_VALUE"""),19.0)</f>
        <v>19</v>
      </c>
      <c r="E62" s="17">
        <f>IFERROR(__xludf.DUMMYFUNCTION("""COMPUTED_VALUE"""),2766.0)</f>
        <v>2766</v>
      </c>
      <c r="F62" s="17">
        <f>IFERROR(__xludf.DUMMYFUNCTION("""COMPUTED_VALUE"""),614.0)</f>
        <v>614</v>
      </c>
      <c r="G62" s="75"/>
      <c r="H62" s="63"/>
      <c r="I62" s="75"/>
      <c r="J62" s="21">
        <f t="shared" si="3"/>
        <v>810.5</v>
      </c>
      <c r="K62" s="30">
        <f>(F62/(VLOOKUP("Chile",Poblacion!$A$2:$B$5,2,0)))*100000</f>
        <v>3.195859</v>
      </c>
      <c r="L62" s="30">
        <f>(J62/(VLOOKUP("Chile",Poblacion!$A$2:$B$5,2,0)))*100000</f>
        <v>4.218637979</v>
      </c>
      <c r="M62" s="30">
        <f t="shared" ref="M62:N62" si="63">K62+M61</f>
        <v>144.8650614</v>
      </c>
      <c r="N62" s="30">
        <f t="shared" si="63"/>
        <v>179.3519714</v>
      </c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tr">
        <f>IFERROR(__xludf.DUMMYFUNCTION("""COMPUTED_VALUE"""),"Chile")</f>
        <v>Chile</v>
      </c>
      <c r="B63" s="18">
        <f>IFERROR(__xludf.DUMMYFUNCTION("""COMPUTED_VALUE"""),44333.0)</f>
        <v>44333</v>
      </c>
      <c r="C63" s="19">
        <f>IFERROR(__xludf.DUMMYFUNCTION("""COMPUTED_VALUE"""),44339.0)</f>
        <v>44339</v>
      </c>
      <c r="D63" s="17">
        <f>IFERROR(__xludf.DUMMYFUNCTION("""COMPUTED_VALUE"""),20.0)</f>
        <v>20</v>
      </c>
      <c r="E63" s="17">
        <f>IFERROR(__xludf.DUMMYFUNCTION("""COMPUTED_VALUE"""),2936.0)</f>
        <v>2936</v>
      </c>
      <c r="F63" s="17">
        <f>IFERROR(__xludf.DUMMYFUNCTION("""COMPUTED_VALUE"""),686.0)</f>
        <v>686</v>
      </c>
      <c r="G63" s="75"/>
      <c r="H63" s="63"/>
      <c r="I63" s="75"/>
      <c r="J63" s="21">
        <f t="shared" si="3"/>
        <v>898.75</v>
      </c>
      <c r="K63" s="30">
        <f>(F63/(VLOOKUP("Chile",Poblacion!$A$2:$B$5,2,0)))*100000</f>
        <v>3.57061771</v>
      </c>
      <c r="L63" s="30">
        <f>(J63/(VLOOKUP("Chile",Poblacion!$A$2:$B$5,2,0)))*100000</f>
        <v>4.677977648</v>
      </c>
      <c r="M63" s="30">
        <f t="shared" ref="M63:N63" si="64">K63+M62</f>
        <v>148.4356791</v>
      </c>
      <c r="N63" s="30">
        <f t="shared" si="64"/>
        <v>184.0299491</v>
      </c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tr">
        <f>IFERROR(__xludf.DUMMYFUNCTION("""COMPUTED_VALUE"""),"Chile")</f>
        <v>Chile</v>
      </c>
      <c r="B64" s="18">
        <f>IFERROR(__xludf.DUMMYFUNCTION("""COMPUTED_VALUE"""),44340.0)</f>
        <v>44340</v>
      </c>
      <c r="C64" s="19">
        <f>IFERROR(__xludf.DUMMYFUNCTION("""COMPUTED_VALUE"""),44346.0)</f>
        <v>44346</v>
      </c>
      <c r="D64" s="17">
        <f>IFERROR(__xludf.DUMMYFUNCTION("""COMPUTED_VALUE"""),21.0)</f>
        <v>21</v>
      </c>
      <c r="E64" s="17">
        <f>IFERROR(__xludf.DUMMYFUNCTION("""COMPUTED_VALUE"""),3081.0)</f>
        <v>3081</v>
      </c>
      <c r="F64" s="17">
        <f>IFERROR(__xludf.DUMMYFUNCTION("""COMPUTED_VALUE"""),650.0)</f>
        <v>650</v>
      </c>
      <c r="G64" s="75"/>
      <c r="H64" s="63"/>
      <c r="I64" s="75"/>
      <c r="J64" s="21">
        <f t="shared" si="3"/>
        <v>904.5</v>
      </c>
      <c r="K64" s="30">
        <f>(F64/(VLOOKUP("Chile",Poblacion!$A$2:$B$5,2,0)))*100000</f>
        <v>3.383238355</v>
      </c>
      <c r="L64" s="30">
        <f>(J64/(VLOOKUP("Chile",Poblacion!$A$2:$B$5,2,0)))*100000</f>
        <v>4.707906295</v>
      </c>
      <c r="M64" s="30">
        <f t="shared" ref="M64:N64" si="65">K64+M63</f>
        <v>151.8189174</v>
      </c>
      <c r="N64" s="30">
        <f t="shared" si="65"/>
        <v>188.7378553</v>
      </c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tr">
        <f>IFERROR(__xludf.DUMMYFUNCTION("""COMPUTED_VALUE"""),"Chile")</f>
        <v>Chile</v>
      </c>
      <c r="B65" s="18">
        <f>IFERROR(__xludf.DUMMYFUNCTION("""COMPUTED_VALUE"""),44347.0)</f>
        <v>44347</v>
      </c>
      <c r="C65" s="19">
        <f>IFERROR(__xludf.DUMMYFUNCTION("""COMPUTED_VALUE"""),44353.0)</f>
        <v>44353</v>
      </c>
      <c r="D65" s="17">
        <f>IFERROR(__xludf.DUMMYFUNCTION("""COMPUTED_VALUE"""),22.0)</f>
        <v>22</v>
      </c>
      <c r="E65" s="17">
        <f>IFERROR(__xludf.DUMMYFUNCTION("""COMPUTED_VALUE"""),3014.0)</f>
        <v>3014</v>
      </c>
      <c r="F65" s="17">
        <f>IFERROR(__xludf.DUMMYFUNCTION("""COMPUTED_VALUE"""),769.0)</f>
        <v>769</v>
      </c>
      <c r="G65" s="75"/>
      <c r="H65" s="63"/>
      <c r="I65" s="75"/>
      <c r="J65" s="21">
        <f t="shared" si="3"/>
        <v>806</v>
      </c>
      <c r="K65" s="30">
        <f>(F65/(VLOOKUP("Chile",Poblacion!$A$2:$B$5,2,0)))*100000</f>
        <v>4.002631223</v>
      </c>
      <c r="L65" s="30">
        <f>(J65/(VLOOKUP("Chile",Poblacion!$A$2:$B$5,2,0)))*100000</f>
        <v>4.19521556</v>
      </c>
      <c r="M65" s="30">
        <f t="shared" ref="M65:N65" si="66">K65+M64</f>
        <v>155.8215486</v>
      </c>
      <c r="N65" s="30">
        <f t="shared" si="66"/>
        <v>192.9330709</v>
      </c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tr">
        <f>IFERROR(__xludf.DUMMYFUNCTION("""COMPUTED_VALUE"""),"Chile")</f>
        <v>Chile</v>
      </c>
      <c r="B66" s="18">
        <f>IFERROR(__xludf.DUMMYFUNCTION("""COMPUTED_VALUE"""),44354.0)</f>
        <v>44354</v>
      </c>
      <c r="C66" s="19">
        <f>IFERROR(__xludf.DUMMYFUNCTION("""COMPUTED_VALUE"""),44360.0)</f>
        <v>44360</v>
      </c>
      <c r="D66" s="17">
        <f>IFERROR(__xludf.DUMMYFUNCTION("""COMPUTED_VALUE"""),23.0)</f>
        <v>23</v>
      </c>
      <c r="E66" s="17">
        <f>IFERROR(__xludf.DUMMYFUNCTION("""COMPUTED_VALUE"""),3132.0)</f>
        <v>3132</v>
      </c>
      <c r="F66" s="17">
        <f>IFERROR(__xludf.DUMMYFUNCTION("""COMPUTED_VALUE"""),770.0)</f>
        <v>770</v>
      </c>
      <c r="G66" s="75"/>
      <c r="H66" s="63"/>
      <c r="I66" s="75"/>
      <c r="J66" s="21">
        <f t="shared" si="3"/>
        <v>821.25</v>
      </c>
      <c r="K66" s="30">
        <f>(F66/(VLOOKUP("Chile",Poblacion!$A$2:$B$5,2,0)))*100000</f>
        <v>4.007836205</v>
      </c>
      <c r="L66" s="30">
        <f>(J66/(VLOOKUP("Chile",Poblacion!$A$2:$B$5,2,0)))*100000</f>
        <v>4.274591536</v>
      </c>
      <c r="M66" s="30">
        <f t="shared" ref="M66:N66" si="67">K66+M65</f>
        <v>159.8293849</v>
      </c>
      <c r="N66" s="30">
        <f t="shared" si="67"/>
        <v>197.2076624</v>
      </c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tr">
        <f>IFERROR(__xludf.DUMMYFUNCTION("""COMPUTED_VALUE"""),"Chile")</f>
        <v>Chile</v>
      </c>
      <c r="B67" s="18">
        <f>IFERROR(__xludf.DUMMYFUNCTION("""COMPUTED_VALUE"""),44361.0)</f>
        <v>44361</v>
      </c>
      <c r="C67" s="19">
        <f>IFERROR(__xludf.DUMMYFUNCTION("""COMPUTED_VALUE"""),44367.0)</f>
        <v>44367</v>
      </c>
      <c r="D67" s="17">
        <f>IFERROR(__xludf.DUMMYFUNCTION("""COMPUTED_VALUE"""),24.0)</f>
        <v>24</v>
      </c>
      <c r="E67" s="17">
        <f>IFERROR(__xludf.DUMMYFUNCTION("""COMPUTED_VALUE"""),3180.0)</f>
        <v>3180</v>
      </c>
      <c r="F67" s="17">
        <f>IFERROR(__xludf.DUMMYFUNCTION("""COMPUTED_VALUE"""),806.0)</f>
        <v>806</v>
      </c>
      <c r="G67" s="75"/>
      <c r="H67" s="63"/>
      <c r="I67" s="75"/>
      <c r="J67" s="21">
        <f t="shared" si="3"/>
        <v>764.75</v>
      </c>
      <c r="K67" s="30">
        <f>(F67/(VLOOKUP("Chile",Poblacion!$A$2:$B$5,2,0)))*100000</f>
        <v>4.19521556</v>
      </c>
      <c r="L67" s="30">
        <f>(J67/(VLOOKUP("Chile",Poblacion!$A$2:$B$5,2,0)))*100000</f>
        <v>3.980510049</v>
      </c>
      <c r="M67" s="30">
        <f t="shared" ref="M67:N67" si="68">K67+M66</f>
        <v>164.0246004</v>
      </c>
      <c r="N67" s="30">
        <f t="shared" si="68"/>
        <v>201.1881725</v>
      </c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tr">
        <f>IFERROR(__xludf.DUMMYFUNCTION("""COMPUTED_VALUE"""),"Chile")</f>
        <v>Chile</v>
      </c>
      <c r="B68" s="18">
        <f>IFERROR(__xludf.DUMMYFUNCTION("""COMPUTED_VALUE"""),44368.0)</f>
        <v>44368</v>
      </c>
      <c r="C68" s="19">
        <f>IFERROR(__xludf.DUMMYFUNCTION("""COMPUTED_VALUE"""),44374.0)</f>
        <v>44374</v>
      </c>
      <c r="D68" s="17">
        <f>IFERROR(__xludf.DUMMYFUNCTION("""COMPUTED_VALUE"""),25.0)</f>
        <v>25</v>
      </c>
      <c r="E68" s="17">
        <f>IFERROR(__xludf.DUMMYFUNCTION("""COMPUTED_VALUE"""),3194.0)</f>
        <v>3194</v>
      </c>
      <c r="F68" s="17">
        <f>IFERROR(__xludf.DUMMYFUNCTION("""COMPUTED_VALUE"""),785.0)</f>
        <v>785</v>
      </c>
      <c r="G68" s="75"/>
      <c r="H68" s="63"/>
      <c r="I68" s="75"/>
      <c r="J68" s="21">
        <f t="shared" si="3"/>
        <v>768.5</v>
      </c>
      <c r="K68" s="30">
        <f>(F68/(VLOOKUP("Chile",Poblacion!$A$2:$B$5,2,0)))*100000</f>
        <v>4.085910936</v>
      </c>
      <c r="L68" s="30">
        <f>(J68/(VLOOKUP("Chile",Poblacion!$A$2:$B$5,2,0)))*100000</f>
        <v>4.000028732</v>
      </c>
      <c r="M68" s="30">
        <f t="shared" ref="M68:N68" si="69">K68+M67</f>
        <v>168.1105113</v>
      </c>
      <c r="N68" s="30">
        <f t="shared" si="69"/>
        <v>205.1882012</v>
      </c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tr">
        <f>IFERROR(__xludf.DUMMYFUNCTION("""COMPUTED_VALUE"""),"Chile")</f>
        <v>Chile</v>
      </c>
      <c r="B69" s="18">
        <f>IFERROR(__xludf.DUMMYFUNCTION("""COMPUTED_VALUE"""),44375.0)</f>
        <v>44375</v>
      </c>
      <c r="C69" s="19">
        <f>IFERROR(__xludf.DUMMYFUNCTION("""COMPUTED_VALUE"""),44381.0)</f>
        <v>44381</v>
      </c>
      <c r="D69" s="17">
        <f>IFERROR(__xludf.DUMMYFUNCTION("""COMPUTED_VALUE"""),26.0)</f>
        <v>26</v>
      </c>
      <c r="E69" s="17">
        <f>IFERROR(__xludf.DUMMYFUNCTION("""COMPUTED_VALUE"""),3326.0)</f>
        <v>3326</v>
      </c>
      <c r="F69" s="17">
        <f>IFERROR(__xludf.DUMMYFUNCTION("""COMPUTED_VALUE"""),805.0)</f>
        <v>805</v>
      </c>
      <c r="G69" s="75"/>
      <c r="H69" s="63"/>
      <c r="I69" s="75"/>
      <c r="J69" s="21">
        <f t="shared" si="3"/>
        <v>885.25</v>
      </c>
      <c r="K69" s="30">
        <f>(F69/(VLOOKUP("Chile",Poblacion!$A$2:$B$5,2,0)))*100000</f>
        <v>4.190010578</v>
      </c>
      <c r="L69" s="30">
        <f>(J69/(VLOOKUP("Chile",Poblacion!$A$2:$B$5,2,0)))*100000</f>
        <v>4.60771039</v>
      </c>
      <c r="M69" s="30">
        <f t="shared" ref="M69:N69" si="70">K69+M68</f>
        <v>172.3005219</v>
      </c>
      <c r="N69" s="30">
        <f t="shared" si="70"/>
        <v>209.7959116</v>
      </c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tr">
        <f>IFERROR(__xludf.DUMMYFUNCTION("""COMPUTED_VALUE"""),"Chile")</f>
        <v>Chile</v>
      </c>
      <c r="B70" s="18">
        <f>IFERROR(__xludf.DUMMYFUNCTION("""COMPUTED_VALUE"""),44382.0)</f>
        <v>44382</v>
      </c>
      <c r="C70" s="19">
        <f>IFERROR(__xludf.DUMMYFUNCTION("""COMPUTED_VALUE"""),44388.0)</f>
        <v>44388</v>
      </c>
      <c r="D70" s="17">
        <f>IFERROR(__xludf.DUMMYFUNCTION("""COMPUTED_VALUE"""),27.0)</f>
        <v>27</v>
      </c>
      <c r="E70" s="17">
        <f>IFERROR(__xludf.DUMMYFUNCTION("""COMPUTED_VALUE"""),3119.0)</f>
        <v>3119</v>
      </c>
      <c r="F70" s="17">
        <f>IFERROR(__xludf.DUMMYFUNCTION("""COMPUTED_VALUE"""),774.0)</f>
        <v>774</v>
      </c>
      <c r="G70" s="75"/>
      <c r="H70" s="63"/>
      <c r="I70" s="75"/>
      <c r="J70" s="21">
        <f t="shared" si="3"/>
        <v>729</v>
      </c>
      <c r="K70" s="30">
        <f>(F70/(VLOOKUP("Chile",Poblacion!$A$2:$B$5,2,0)))*100000</f>
        <v>4.028656133</v>
      </c>
      <c r="L70" s="30">
        <f>(J70/(VLOOKUP("Chile",Poblacion!$A$2:$B$5,2,0)))*100000</f>
        <v>3.794431939</v>
      </c>
      <c r="M70" s="30">
        <f t="shared" ref="M70:N70" si="71">K70+M69</f>
        <v>176.3291781</v>
      </c>
      <c r="N70" s="30">
        <f t="shared" si="71"/>
        <v>213.5903436</v>
      </c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tr">
        <f>IFERROR(__xludf.DUMMYFUNCTION("""COMPUTED_VALUE"""),"Chile")</f>
        <v>Chile</v>
      </c>
      <c r="B71" s="18">
        <f>IFERROR(__xludf.DUMMYFUNCTION("""COMPUTED_VALUE"""),44389.0)</f>
        <v>44389</v>
      </c>
      <c r="C71" s="19">
        <f>IFERROR(__xludf.DUMMYFUNCTION("""COMPUTED_VALUE"""),44395.0)</f>
        <v>44395</v>
      </c>
      <c r="D71" s="17">
        <f>IFERROR(__xludf.DUMMYFUNCTION("""COMPUTED_VALUE"""),28.0)</f>
        <v>28</v>
      </c>
      <c r="E71" s="17">
        <f>IFERROR(__xludf.DUMMYFUNCTION("""COMPUTED_VALUE"""),3042.0)</f>
        <v>3042</v>
      </c>
      <c r="F71" s="17">
        <f>IFERROR(__xludf.DUMMYFUNCTION("""COMPUTED_VALUE"""),637.0)</f>
        <v>637</v>
      </c>
      <c r="G71" s="75"/>
      <c r="H71" s="63"/>
      <c r="I71" s="75"/>
      <c r="J71" s="21">
        <f t="shared" si="3"/>
        <v>681.25</v>
      </c>
      <c r="K71" s="30">
        <f>(F71/(VLOOKUP("Chile",Poblacion!$A$2:$B$5,2,0)))*100000</f>
        <v>3.315573587</v>
      </c>
      <c r="L71" s="30">
        <f>(J71/(VLOOKUP("Chile",Poblacion!$A$2:$B$5,2,0)))*100000</f>
        <v>3.545894045</v>
      </c>
      <c r="M71" s="30">
        <f t="shared" ref="M71:N71" si="72">K71+M70</f>
        <v>179.6447516</v>
      </c>
      <c r="N71" s="30">
        <f t="shared" si="72"/>
        <v>217.1362376</v>
      </c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tr">
        <f>IFERROR(__xludf.DUMMYFUNCTION("""COMPUTED_VALUE"""),"Chile")</f>
        <v>Chile</v>
      </c>
      <c r="B72" s="18">
        <f>IFERROR(__xludf.DUMMYFUNCTION("""COMPUTED_VALUE"""),44396.0)</f>
        <v>44396</v>
      </c>
      <c r="C72" s="19">
        <f>IFERROR(__xludf.DUMMYFUNCTION("""COMPUTED_VALUE"""),44402.0)</f>
        <v>44402</v>
      </c>
      <c r="D72" s="17">
        <f>IFERROR(__xludf.DUMMYFUNCTION("""COMPUTED_VALUE"""),29.0)</f>
        <v>29</v>
      </c>
      <c r="E72" s="17">
        <f>IFERROR(__xludf.DUMMYFUNCTION("""COMPUTED_VALUE"""),2866.0)</f>
        <v>2866</v>
      </c>
      <c r="F72" s="17">
        <f>IFERROR(__xludf.DUMMYFUNCTION("""COMPUTED_VALUE"""),512.0)</f>
        <v>512</v>
      </c>
      <c r="G72" s="75"/>
      <c r="H72" s="63"/>
      <c r="I72" s="75"/>
      <c r="J72" s="21">
        <f t="shared" si="3"/>
        <v>441.25</v>
      </c>
      <c r="K72" s="30">
        <f>(F72/(VLOOKUP("Chile",Poblacion!$A$2:$B$5,2,0)))*100000</f>
        <v>2.664950827</v>
      </c>
      <c r="L72" s="30">
        <f>(J72/(VLOOKUP("Chile",Poblacion!$A$2:$B$5,2,0)))*100000</f>
        <v>2.296698345</v>
      </c>
      <c r="M72" s="30">
        <f t="shared" ref="M72:N72" si="73">K72+M71</f>
        <v>182.3097025</v>
      </c>
      <c r="N72" s="30">
        <f t="shared" si="73"/>
        <v>219.4329359</v>
      </c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tr">
        <f>IFERROR(__xludf.DUMMYFUNCTION("""COMPUTED_VALUE"""),"Chile")</f>
        <v>Chile</v>
      </c>
      <c r="B73" s="18">
        <f>IFERROR(__xludf.DUMMYFUNCTION("""COMPUTED_VALUE"""),44403.0)</f>
        <v>44403</v>
      </c>
      <c r="C73" s="19">
        <f>IFERROR(__xludf.DUMMYFUNCTION("""COMPUTED_VALUE"""),44409.0)</f>
        <v>44409</v>
      </c>
      <c r="D73" s="17">
        <f>IFERROR(__xludf.DUMMYFUNCTION("""COMPUTED_VALUE"""),30.0)</f>
        <v>30</v>
      </c>
      <c r="E73" s="17">
        <f>IFERROR(__xludf.DUMMYFUNCTION("""COMPUTED_VALUE"""),2745.0)</f>
        <v>2745</v>
      </c>
      <c r="F73" s="17">
        <f>IFERROR(__xludf.DUMMYFUNCTION("""COMPUTED_VALUE"""),502.0)</f>
        <v>502</v>
      </c>
      <c r="G73" s="75"/>
      <c r="H73" s="63"/>
      <c r="I73" s="75"/>
      <c r="J73" s="21">
        <f t="shared" si="3"/>
        <v>375.25</v>
      </c>
      <c r="K73" s="30">
        <f>(F73/(VLOOKUP("Chile",Poblacion!$A$2:$B$5,2,0)))*100000</f>
        <v>2.612901006</v>
      </c>
      <c r="L73" s="30">
        <f>(J73/(VLOOKUP("Chile",Poblacion!$A$2:$B$5,2,0)))*100000</f>
        <v>1.953169527</v>
      </c>
      <c r="M73" s="30">
        <f t="shared" ref="M73:N73" si="74">K73+M72</f>
        <v>184.9226035</v>
      </c>
      <c r="N73" s="30">
        <f t="shared" si="74"/>
        <v>221.3861055</v>
      </c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tr">
        <f>IFERROR(__xludf.DUMMYFUNCTION("""COMPUTED_VALUE"""),"Chile")</f>
        <v>Chile</v>
      </c>
      <c r="B74" s="18">
        <f>IFERROR(__xludf.DUMMYFUNCTION("""COMPUTED_VALUE"""),44410.0)</f>
        <v>44410</v>
      </c>
      <c r="C74" s="19">
        <f>IFERROR(__xludf.DUMMYFUNCTION("""COMPUTED_VALUE"""),44416.0)</f>
        <v>44416</v>
      </c>
      <c r="D74" s="17">
        <f>IFERROR(__xludf.DUMMYFUNCTION("""COMPUTED_VALUE"""),31.0)</f>
        <v>31</v>
      </c>
      <c r="E74" s="17">
        <f>IFERROR(__xludf.DUMMYFUNCTION("""COMPUTED_VALUE"""),2639.0)</f>
        <v>2639</v>
      </c>
      <c r="F74" s="17">
        <f>IFERROR(__xludf.DUMMYFUNCTION("""COMPUTED_VALUE"""),488.0)</f>
        <v>488</v>
      </c>
      <c r="G74" s="75"/>
      <c r="H74" s="63"/>
      <c r="I74" s="75"/>
      <c r="J74" s="21">
        <f t="shared" si="3"/>
        <v>295</v>
      </c>
      <c r="K74" s="30">
        <f>(F74/(VLOOKUP("Chile",Poblacion!$A$2:$B$5,2,0)))*100000</f>
        <v>2.540031257</v>
      </c>
      <c r="L74" s="30">
        <f>(J74/(VLOOKUP("Chile",Poblacion!$A$2:$B$5,2,0)))*100000</f>
        <v>1.535469715</v>
      </c>
      <c r="M74" s="30">
        <f t="shared" ref="M74:N74" si="75">K74+M73</f>
        <v>187.4626347</v>
      </c>
      <c r="N74" s="30">
        <f t="shared" si="75"/>
        <v>222.9215752</v>
      </c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tr">
        <f>IFERROR(__xludf.DUMMYFUNCTION("""COMPUTED_VALUE"""),"Chile")</f>
        <v>Chile</v>
      </c>
      <c r="B75" s="18">
        <f>IFERROR(__xludf.DUMMYFUNCTION("""COMPUTED_VALUE"""),44417.0)</f>
        <v>44417</v>
      </c>
      <c r="C75" s="19">
        <f>IFERROR(__xludf.DUMMYFUNCTION("""COMPUTED_VALUE"""),44423.0)</f>
        <v>44423</v>
      </c>
      <c r="D75" s="17">
        <f>IFERROR(__xludf.DUMMYFUNCTION("""COMPUTED_VALUE"""),32.0)</f>
        <v>32</v>
      </c>
      <c r="E75" s="17">
        <f>IFERROR(__xludf.DUMMYFUNCTION("""COMPUTED_VALUE"""),2625.0)</f>
        <v>2625</v>
      </c>
      <c r="F75" s="17">
        <f>IFERROR(__xludf.DUMMYFUNCTION("""COMPUTED_VALUE"""),364.0)</f>
        <v>364</v>
      </c>
      <c r="G75" s="75"/>
      <c r="H75" s="63"/>
      <c r="I75" s="75"/>
      <c r="J75" s="21">
        <f t="shared" si="3"/>
        <v>347.25</v>
      </c>
      <c r="K75" s="30">
        <f>(F75/(VLOOKUP("Chile",Poblacion!$A$2:$B$5,2,0)))*100000</f>
        <v>1.894613479</v>
      </c>
      <c r="L75" s="30">
        <f>(J75/(VLOOKUP("Chile",Poblacion!$A$2:$B$5,2,0)))*100000</f>
        <v>1.807430029</v>
      </c>
      <c r="M75" s="30">
        <f t="shared" ref="M75:N75" si="76">K75+M74</f>
        <v>189.3572482</v>
      </c>
      <c r="N75" s="30">
        <f t="shared" si="76"/>
        <v>224.7290052</v>
      </c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tr">
        <f>IFERROR(__xludf.DUMMYFUNCTION("""COMPUTED_VALUE"""),"Chile")</f>
        <v>Chile</v>
      </c>
      <c r="B76" s="18">
        <f>IFERROR(__xludf.DUMMYFUNCTION("""COMPUTED_VALUE"""),44424.0)</f>
        <v>44424</v>
      </c>
      <c r="C76" s="19">
        <f>IFERROR(__xludf.DUMMYFUNCTION("""COMPUTED_VALUE"""),44430.0)</f>
        <v>44430</v>
      </c>
      <c r="D76" s="17">
        <f>IFERROR(__xludf.DUMMYFUNCTION("""COMPUTED_VALUE"""),33.0)</f>
        <v>33</v>
      </c>
      <c r="E76" s="17">
        <f>IFERROR(__xludf.DUMMYFUNCTION("""COMPUTED_VALUE"""),2608.0)</f>
        <v>2608</v>
      </c>
      <c r="F76" s="17">
        <f>IFERROR(__xludf.DUMMYFUNCTION("""COMPUTED_VALUE"""),270.0)</f>
        <v>270</v>
      </c>
      <c r="G76" s="75"/>
      <c r="H76" s="63"/>
      <c r="I76" s="75"/>
      <c r="J76" s="21">
        <f t="shared" si="3"/>
        <v>363</v>
      </c>
      <c r="K76" s="30">
        <f>(F76/(VLOOKUP("Chile",Poblacion!$A$2:$B$5,2,0)))*100000</f>
        <v>1.405345163</v>
      </c>
      <c r="L76" s="30">
        <f>(J76/(VLOOKUP("Chile",Poblacion!$A$2:$B$5,2,0)))*100000</f>
        <v>1.889408496</v>
      </c>
      <c r="M76" s="30">
        <f t="shared" ref="M76:N76" si="77">K76+M75</f>
        <v>190.7625934</v>
      </c>
      <c r="N76" s="30">
        <f t="shared" si="77"/>
        <v>226.6184137</v>
      </c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tr">
        <f>IFERROR(__xludf.DUMMYFUNCTION("""COMPUTED_VALUE"""),"Chile")</f>
        <v>Chile</v>
      </c>
      <c r="B77" s="18">
        <f>IFERROR(__xludf.DUMMYFUNCTION("""COMPUTED_VALUE"""),44431.0)</f>
        <v>44431</v>
      </c>
      <c r="C77" s="19">
        <f>IFERROR(__xludf.DUMMYFUNCTION("""COMPUTED_VALUE"""),44437.0)</f>
        <v>44437</v>
      </c>
      <c r="D77" s="17">
        <f>IFERROR(__xludf.DUMMYFUNCTION("""COMPUTED_VALUE"""),34.0)</f>
        <v>34</v>
      </c>
      <c r="E77" s="17">
        <f>IFERROR(__xludf.DUMMYFUNCTION("""COMPUTED_VALUE"""),2357.0)</f>
        <v>2357</v>
      </c>
      <c r="F77" s="17">
        <f>IFERROR(__xludf.DUMMYFUNCTION("""COMPUTED_VALUE"""),235.0)</f>
        <v>235</v>
      </c>
      <c r="G77" s="75"/>
      <c r="H77" s="63"/>
      <c r="I77" s="75"/>
      <c r="J77" s="21">
        <f t="shared" si="3"/>
        <v>134</v>
      </c>
      <c r="K77" s="30">
        <f>(F77/(VLOOKUP("Chile",Poblacion!$A$2:$B$5,2,0)))*100000</f>
        <v>1.22317079</v>
      </c>
      <c r="L77" s="30">
        <f>(J77/(VLOOKUP("Chile",Poblacion!$A$2:$B$5,2,0)))*100000</f>
        <v>0.6974675992</v>
      </c>
      <c r="M77" s="30">
        <f t="shared" ref="M77:N77" si="78">K77+M76</f>
        <v>191.9857642</v>
      </c>
      <c r="N77" s="30">
        <f t="shared" si="78"/>
        <v>227.3158813</v>
      </c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tr">
        <f>IFERROR(__xludf.DUMMYFUNCTION("""COMPUTED_VALUE"""),"Chile")</f>
        <v>Chile</v>
      </c>
      <c r="B78" s="18">
        <f>IFERROR(__xludf.DUMMYFUNCTION("""COMPUTED_VALUE"""),44438.0)</f>
        <v>44438</v>
      </c>
      <c r="C78" s="19">
        <f>IFERROR(__xludf.DUMMYFUNCTION("""COMPUTED_VALUE"""),44444.0)</f>
        <v>44444</v>
      </c>
      <c r="D78" s="17">
        <f>IFERROR(__xludf.DUMMYFUNCTION("""COMPUTED_VALUE"""),35.0)</f>
        <v>35</v>
      </c>
      <c r="E78" s="17">
        <f>IFERROR(__xludf.DUMMYFUNCTION("""COMPUTED_VALUE"""),2332.0)</f>
        <v>2332</v>
      </c>
      <c r="F78" s="17">
        <f>IFERROR(__xludf.DUMMYFUNCTION("""COMPUTED_VALUE"""),205.0)</f>
        <v>205</v>
      </c>
      <c r="G78" s="75"/>
      <c r="H78" s="63"/>
      <c r="I78" s="75"/>
      <c r="J78" s="21">
        <f t="shared" si="3"/>
        <v>177</v>
      </c>
      <c r="K78" s="30">
        <f>(F78/(VLOOKUP("Chile",Poblacion!$A$2:$B$5,2,0)))*100000</f>
        <v>1.067021327</v>
      </c>
      <c r="L78" s="30">
        <f>(J78/(VLOOKUP("Chile",Poblacion!$A$2:$B$5,2,0)))*100000</f>
        <v>0.9212818289</v>
      </c>
      <c r="M78" s="30">
        <f t="shared" ref="M78:N78" si="79">K78+M77</f>
        <v>193.0527855</v>
      </c>
      <c r="N78" s="30">
        <f t="shared" si="79"/>
        <v>228.2371631</v>
      </c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tr">
        <f>IFERROR(__xludf.DUMMYFUNCTION("""COMPUTED_VALUE"""),"Chile")</f>
        <v>Chile</v>
      </c>
      <c r="B79" s="18">
        <f>IFERROR(__xludf.DUMMYFUNCTION("""COMPUTED_VALUE"""),44445.0)</f>
        <v>44445</v>
      </c>
      <c r="C79" s="19">
        <f>IFERROR(__xludf.DUMMYFUNCTION("""COMPUTED_VALUE"""),44451.0)</f>
        <v>44451</v>
      </c>
      <c r="D79" s="17">
        <f>IFERROR(__xludf.DUMMYFUNCTION("""COMPUTED_VALUE"""),36.0)</f>
        <v>36</v>
      </c>
      <c r="E79" s="17">
        <f>IFERROR(__xludf.DUMMYFUNCTION("""COMPUTED_VALUE"""),2394.0)</f>
        <v>2394</v>
      </c>
      <c r="F79" s="17">
        <f>IFERROR(__xludf.DUMMYFUNCTION("""COMPUTED_VALUE"""),142.0)</f>
        <v>142</v>
      </c>
      <c r="G79" s="75"/>
      <c r="H79" s="63"/>
      <c r="I79" s="75"/>
      <c r="J79" s="21">
        <f t="shared" si="3"/>
        <v>180.75</v>
      </c>
      <c r="K79" s="30">
        <f>(F79/(VLOOKUP("Chile",Poblacion!$A$2:$B$5,2,0)))*100000</f>
        <v>0.7391074559</v>
      </c>
      <c r="L79" s="30">
        <f>(J79/(VLOOKUP("Chile",Poblacion!$A$2:$B$5,2,0)))*100000</f>
        <v>0.9408005117</v>
      </c>
      <c r="M79" s="30">
        <f t="shared" ref="M79:N79" si="80">K79+M78</f>
        <v>193.7918929</v>
      </c>
      <c r="N79" s="30">
        <f t="shared" si="80"/>
        <v>229.1779636</v>
      </c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tr">
        <f>IFERROR(__xludf.DUMMYFUNCTION("""COMPUTED_VALUE"""),"Chile")</f>
        <v>Chile</v>
      </c>
      <c r="B80" s="18">
        <f>IFERROR(__xludf.DUMMYFUNCTION("""COMPUTED_VALUE"""),44452.0)</f>
        <v>44452</v>
      </c>
      <c r="C80" s="19">
        <f>IFERROR(__xludf.DUMMYFUNCTION("""COMPUTED_VALUE"""),44458.0)</f>
        <v>44458</v>
      </c>
      <c r="D80" s="17">
        <f>IFERROR(__xludf.DUMMYFUNCTION("""COMPUTED_VALUE"""),37.0)</f>
        <v>37</v>
      </c>
      <c r="E80" s="17">
        <f>IFERROR(__xludf.DUMMYFUNCTION("""COMPUTED_VALUE"""),2383.0)</f>
        <v>2383</v>
      </c>
      <c r="F80" s="17">
        <f>IFERROR(__xludf.DUMMYFUNCTION("""COMPUTED_VALUE"""),127.0)</f>
        <v>127</v>
      </c>
      <c r="G80" s="75"/>
      <c r="H80" s="63"/>
      <c r="I80" s="75"/>
      <c r="J80" s="21">
        <f t="shared" si="3"/>
        <v>228.75</v>
      </c>
      <c r="K80" s="30">
        <f>(F80/(VLOOKUP("Chile",Poblacion!$A$2:$B$5,2,0)))*100000</f>
        <v>0.6610327247</v>
      </c>
      <c r="L80" s="30">
        <f>(J80/(VLOOKUP("Chile",Poblacion!$A$2:$B$5,2,0)))*100000</f>
        <v>1.190639652</v>
      </c>
      <c r="M80" s="30">
        <f t="shared" ref="M80:N80" si="81">K80+M79</f>
        <v>194.4529257</v>
      </c>
      <c r="N80" s="30">
        <f t="shared" si="81"/>
        <v>230.3686033</v>
      </c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tr">
        <f>IFERROR(__xludf.DUMMYFUNCTION("""COMPUTED_VALUE"""),"Chile")</f>
        <v>Chile</v>
      </c>
      <c r="B81" s="18">
        <f>IFERROR(__xludf.DUMMYFUNCTION("""COMPUTED_VALUE"""),44459.0)</f>
        <v>44459</v>
      </c>
      <c r="C81" s="19">
        <f>IFERROR(__xludf.DUMMYFUNCTION("""COMPUTED_VALUE"""),44465.0)</f>
        <v>44465</v>
      </c>
      <c r="D81" s="17">
        <f>IFERROR(__xludf.DUMMYFUNCTION("""COMPUTED_VALUE"""),38.0)</f>
        <v>38</v>
      </c>
      <c r="E81" s="17">
        <f>IFERROR(__xludf.DUMMYFUNCTION("""COMPUTED_VALUE"""),2354.0)</f>
        <v>2354</v>
      </c>
      <c r="F81" s="17">
        <f>IFERROR(__xludf.DUMMYFUNCTION("""COMPUTED_VALUE"""),81.0)</f>
        <v>81</v>
      </c>
      <c r="G81" s="75"/>
      <c r="H81" s="63"/>
      <c r="I81" s="75"/>
      <c r="J81" s="21">
        <f t="shared" si="3"/>
        <v>140.25</v>
      </c>
      <c r="K81" s="30">
        <f>(F81/(VLOOKUP("Chile",Poblacion!$A$2:$B$5,2,0)))*100000</f>
        <v>0.4216035488</v>
      </c>
      <c r="L81" s="30">
        <f>(J81/(VLOOKUP("Chile",Poblacion!$A$2:$B$5,2,0)))*100000</f>
        <v>0.7299987373</v>
      </c>
      <c r="M81" s="30">
        <f t="shared" ref="M81:N81" si="82">K81+M80</f>
        <v>194.8745292</v>
      </c>
      <c r="N81" s="30">
        <f t="shared" si="82"/>
        <v>231.098602</v>
      </c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tr">
        <f>IFERROR(__xludf.DUMMYFUNCTION("""COMPUTED_VALUE"""),"Chile")</f>
        <v>Chile</v>
      </c>
      <c r="B82" s="18">
        <f>IFERROR(__xludf.DUMMYFUNCTION("""COMPUTED_VALUE"""),44466.0)</f>
        <v>44466</v>
      </c>
      <c r="C82" s="19">
        <f>IFERROR(__xludf.DUMMYFUNCTION("""COMPUTED_VALUE"""),44472.0)</f>
        <v>44472</v>
      </c>
      <c r="D82" s="17">
        <f>IFERROR(__xludf.DUMMYFUNCTION("""COMPUTED_VALUE"""),39.0)</f>
        <v>39</v>
      </c>
      <c r="E82" s="17">
        <f>IFERROR(__xludf.DUMMYFUNCTION("""COMPUTED_VALUE"""),2244.0)</f>
        <v>2244</v>
      </c>
      <c r="F82" s="17">
        <f>IFERROR(__xludf.DUMMYFUNCTION("""COMPUTED_VALUE"""),54.0)</f>
        <v>54</v>
      </c>
      <c r="G82" s="75"/>
      <c r="H82" s="63"/>
      <c r="I82" s="75"/>
      <c r="J82" s="21">
        <f t="shared" si="3"/>
        <v>121.5</v>
      </c>
      <c r="K82" s="30">
        <f>(F82/(VLOOKUP("Chile",Poblacion!$A$2:$B$5,2,0)))*100000</f>
        <v>0.2810690325</v>
      </c>
      <c r="L82" s="30">
        <f>(J82/(VLOOKUP("Chile",Poblacion!$A$2:$B$5,2,0)))*100000</f>
        <v>0.6324053232</v>
      </c>
      <c r="M82" s="30">
        <f t="shared" ref="M82:N82" si="83">K82+M81</f>
        <v>195.1555983</v>
      </c>
      <c r="N82" s="30">
        <f t="shared" si="83"/>
        <v>231.7310074</v>
      </c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tr">
        <f>IFERROR(__xludf.DUMMYFUNCTION("""COMPUTED_VALUE"""),"Chile")</f>
        <v>Chile</v>
      </c>
      <c r="B83" s="18">
        <f>IFERROR(__xludf.DUMMYFUNCTION("""COMPUTED_VALUE"""),44473.0)</f>
        <v>44473</v>
      </c>
      <c r="C83" s="19">
        <f>IFERROR(__xludf.DUMMYFUNCTION("""COMPUTED_VALUE"""),44479.0)</f>
        <v>44479</v>
      </c>
      <c r="D83" s="17">
        <f>IFERROR(__xludf.DUMMYFUNCTION("""COMPUTED_VALUE"""),40.0)</f>
        <v>40</v>
      </c>
      <c r="E83" s="17">
        <f>IFERROR(__xludf.DUMMYFUNCTION("""COMPUTED_VALUE"""),2316.0)</f>
        <v>2316</v>
      </c>
      <c r="F83" s="17">
        <f>IFERROR(__xludf.DUMMYFUNCTION("""COMPUTED_VALUE"""),70.0)</f>
        <v>70</v>
      </c>
      <c r="G83" s="75"/>
      <c r="H83" s="63"/>
      <c r="I83" s="75"/>
      <c r="J83" s="21">
        <f t="shared" si="3"/>
        <v>246.75</v>
      </c>
      <c r="K83" s="30">
        <f>(F83/(VLOOKUP("Chile",Poblacion!$A$2:$B$5,2,0)))*100000</f>
        <v>0.3643487459</v>
      </c>
      <c r="L83" s="30">
        <f>(J83/(VLOOKUP("Chile",Poblacion!$A$2:$B$5,2,0)))*100000</f>
        <v>1.284329329</v>
      </c>
      <c r="M83" s="30">
        <f t="shared" ref="M83:N83" si="84">K83+M82</f>
        <v>195.519947</v>
      </c>
      <c r="N83" s="30">
        <f t="shared" si="84"/>
        <v>233.0153367</v>
      </c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tr">
        <f>IFERROR(__xludf.DUMMYFUNCTION("""COMPUTED_VALUE"""),"Chile")</f>
        <v>Chile</v>
      </c>
      <c r="B84" s="18">
        <f>IFERROR(__xludf.DUMMYFUNCTION("""COMPUTED_VALUE"""),44480.0)</f>
        <v>44480</v>
      </c>
      <c r="C84" s="19">
        <f>IFERROR(__xludf.DUMMYFUNCTION("""COMPUTED_VALUE"""),44486.0)</f>
        <v>44486</v>
      </c>
      <c r="D84" s="17">
        <f>IFERROR(__xludf.DUMMYFUNCTION("""COMPUTED_VALUE"""),41.0)</f>
        <v>41</v>
      </c>
      <c r="E84" s="17">
        <f>IFERROR(__xludf.DUMMYFUNCTION("""COMPUTED_VALUE"""),2325.0)</f>
        <v>2325</v>
      </c>
      <c r="F84" s="17">
        <f>IFERROR(__xludf.DUMMYFUNCTION("""COMPUTED_VALUE"""),45.0)</f>
        <v>45</v>
      </c>
      <c r="G84" s="75"/>
      <c r="H84" s="63"/>
      <c r="I84" s="75"/>
      <c r="J84" s="21">
        <f t="shared" si="3"/>
        <v>319.5</v>
      </c>
      <c r="K84" s="30">
        <f>(F84/(VLOOKUP("Chile",Poblacion!$A$2:$B$5,2,0)))*100000</f>
        <v>0.2342241938</v>
      </c>
      <c r="L84" s="30">
        <f>(J84/(VLOOKUP("Chile",Poblacion!$A$2:$B$5,2,0)))*100000</f>
        <v>1.662991776</v>
      </c>
      <c r="M84" s="30">
        <f t="shared" ref="M84:N84" si="85">K84+M83</f>
        <v>195.7541712</v>
      </c>
      <c r="N84" s="30">
        <f t="shared" si="85"/>
        <v>234.6783285</v>
      </c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tr">
        <f>IFERROR(__xludf.DUMMYFUNCTION("""COMPUTED_VALUE"""),"Chile")</f>
        <v>Chile</v>
      </c>
      <c r="B85" s="18">
        <f>IFERROR(__xludf.DUMMYFUNCTION("""COMPUTED_VALUE"""),44487.0)</f>
        <v>44487</v>
      </c>
      <c r="C85" s="19">
        <f>IFERROR(__xludf.DUMMYFUNCTION("""COMPUTED_VALUE"""),44493.0)</f>
        <v>44493</v>
      </c>
      <c r="D85" s="17">
        <f>IFERROR(__xludf.DUMMYFUNCTION("""COMPUTED_VALUE"""),42.0)</f>
        <v>42</v>
      </c>
      <c r="E85" s="17">
        <f>IFERROR(__xludf.DUMMYFUNCTION("""COMPUTED_VALUE"""),2112.0)</f>
        <v>2112</v>
      </c>
      <c r="F85" s="17">
        <f>IFERROR(__xludf.DUMMYFUNCTION("""COMPUTED_VALUE"""),60.0)</f>
        <v>60</v>
      </c>
      <c r="G85" s="17"/>
      <c r="H85" s="21"/>
      <c r="I85" s="17"/>
      <c r="J85" s="21">
        <f t="shared" si="3"/>
        <v>130.75</v>
      </c>
      <c r="K85" s="30">
        <f>(F85/(VLOOKUP("Chile",Poblacion!$A$2:$B$5,2,0)))*100000</f>
        <v>0.312298925</v>
      </c>
      <c r="L85" s="30">
        <f>(J85/(VLOOKUP("Chile",Poblacion!$A$2:$B$5,2,0)))*100000</f>
        <v>0.6805514075</v>
      </c>
      <c r="M85" s="30">
        <f t="shared" ref="M85:N85" si="86">K85+M84</f>
        <v>196.0664701</v>
      </c>
      <c r="N85" s="30">
        <f t="shared" si="86"/>
        <v>235.3588799</v>
      </c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/>
      <c r="B86" s="17"/>
      <c r="C86" s="17"/>
      <c r="D86" s="17"/>
      <c r="E86" s="17"/>
      <c r="F86" s="17"/>
      <c r="G86" s="17"/>
      <c r="H86" s="21"/>
      <c r="I86" s="17"/>
      <c r="J86" s="21"/>
      <c r="K86" s="30"/>
      <c r="L86" s="30"/>
      <c r="M86" s="30"/>
      <c r="N86" s="30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/>
      <c r="B87" s="17"/>
      <c r="C87" s="17"/>
      <c r="D87" s="17"/>
      <c r="E87" s="17"/>
      <c r="F87" s="17"/>
      <c r="G87" s="17"/>
      <c r="H87" s="21"/>
      <c r="I87" s="17"/>
      <c r="J87" s="21"/>
      <c r="K87" s="30"/>
      <c r="L87" s="30"/>
      <c r="M87" s="30"/>
      <c r="N87" s="30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/>
      <c r="B88" s="17"/>
      <c r="C88" s="17"/>
      <c r="D88" s="17"/>
      <c r="E88" s="17"/>
      <c r="F88" s="17"/>
      <c r="G88" s="17"/>
      <c r="H88" s="21"/>
      <c r="I88" s="17"/>
      <c r="J88" s="21"/>
      <c r="K88" s="30"/>
      <c r="L88" s="30"/>
      <c r="M88" s="30"/>
      <c r="N88" s="30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/>
      <c r="B89" s="17"/>
      <c r="C89" s="17"/>
      <c r="D89" s="17"/>
      <c r="E89" s="17"/>
      <c r="F89" s="17"/>
      <c r="G89" s="17"/>
      <c r="H89" s="21"/>
      <c r="I89" s="17"/>
      <c r="J89" s="21"/>
      <c r="K89" s="30"/>
      <c r="L89" s="30"/>
      <c r="M89" s="30"/>
      <c r="N89" s="30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/>
      <c r="B90" s="17"/>
      <c r="C90" s="17"/>
      <c r="D90" s="17"/>
      <c r="E90" s="17"/>
      <c r="F90" s="17"/>
      <c r="G90" s="17"/>
      <c r="H90" s="21"/>
      <c r="I90" s="17"/>
      <c r="J90" s="21"/>
      <c r="K90" s="30"/>
      <c r="L90" s="30"/>
      <c r="M90" s="30"/>
      <c r="N90" s="30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/>
      <c r="B91" s="17"/>
      <c r="C91" s="17"/>
      <c r="D91" s="17"/>
      <c r="E91" s="17"/>
      <c r="F91" s="17"/>
      <c r="G91" s="17"/>
      <c r="H91" s="21"/>
      <c r="I91" s="17"/>
      <c r="J91" s="21"/>
      <c r="K91" s="30"/>
      <c r="L91" s="30"/>
      <c r="M91" s="30"/>
      <c r="N91" s="30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/>
      <c r="B92" s="17"/>
      <c r="C92" s="17"/>
      <c r="D92" s="17"/>
      <c r="E92" s="17"/>
      <c r="F92" s="17"/>
      <c r="G92" s="17"/>
      <c r="H92" s="21"/>
      <c r="I92" s="17"/>
      <c r="J92" s="21"/>
      <c r="K92" s="30"/>
      <c r="L92" s="30"/>
      <c r="M92" s="30"/>
      <c r="N92" s="30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/>
      <c r="B93" s="17"/>
      <c r="C93" s="17"/>
      <c r="D93" s="17"/>
      <c r="E93" s="17"/>
      <c r="F93" s="17"/>
      <c r="G93" s="17"/>
      <c r="H93" s="21"/>
      <c r="I93" s="17"/>
      <c r="J93" s="21"/>
      <c r="K93" s="30"/>
      <c r="L93" s="30"/>
      <c r="M93" s="30"/>
      <c r="N93" s="30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/>
      <c r="B94" s="17"/>
      <c r="C94" s="17"/>
      <c r="D94" s="17"/>
      <c r="E94" s="17"/>
      <c r="F94" s="17"/>
      <c r="G94" s="17"/>
      <c r="H94" s="21"/>
      <c r="I94" s="17"/>
      <c r="J94" s="21"/>
      <c r="K94" s="30"/>
      <c r="L94" s="30"/>
      <c r="M94" s="30"/>
      <c r="N94" s="30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/>
      <c r="B95" s="17"/>
      <c r="C95" s="17"/>
      <c r="D95" s="17"/>
      <c r="E95" s="17"/>
      <c r="F95" s="17"/>
      <c r="G95" s="17"/>
      <c r="H95" s="21"/>
      <c r="I95" s="17"/>
      <c r="J95" s="21"/>
      <c r="K95" s="30"/>
      <c r="L95" s="30"/>
      <c r="M95" s="30"/>
      <c r="N95" s="30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/>
      <c r="B96" s="17"/>
      <c r="C96" s="17"/>
      <c r="D96" s="17"/>
      <c r="E96" s="17"/>
      <c r="F96" s="17"/>
      <c r="G96" s="17"/>
      <c r="H96" s="21"/>
      <c r="I96" s="17"/>
      <c r="J96" s="21"/>
      <c r="K96" s="30"/>
      <c r="L96" s="30"/>
      <c r="M96" s="30"/>
      <c r="N96" s="30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/>
      <c r="B97" s="17"/>
      <c r="C97" s="17"/>
      <c r="D97" s="17"/>
      <c r="E97" s="17"/>
      <c r="F97" s="17"/>
      <c r="G97" s="17"/>
      <c r="H97" s="21"/>
      <c r="I97" s="17"/>
      <c r="J97" s="21"/>
      <c r="K97" s="30"/>
      <c r="L97" s="30"/>
      <c r="M97" s="30"/>
      <c r="N97" s="30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/>
      <c r="B98" s="17"/>
      <c r="C98" s="17"/>
      <c r="D98" s="17"/>
      <c r="E98" s="17"/>
      <c r="F98" s="17"/>
      <c r="G98" s="17"/>
      <c r="H98" s="21"/>
      <c r="I98" s="17"/>
      <c r="J98" s="21"/>
      <c r="K98" s="30"/>
      <c r="L98" s="30"/>
      <c r="M98" s="30"/>
      <c r="N98" s="30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/>
      <c r="B99" s="17"/>
      <c r="C99" s="17"/>
      <c r="D99" s="17"/>
      <c r="E99" s="17"/>
      <c r="F99" s="17"/>
      <c r="G99" s="17"/>
      <c r="H99" s="21"/>
      <c r="I99" s="17"/>
      <c r="J99" s="21"/>
      <c r="K99" s="30"/>
      <c r="L99" s="30"/>
      <c r="M99" s="30"/>
      <c r="N99" s="30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/>
      <c r="B100" s="17"/>
      <c r="C100" s="17"/>
      <c r="D100" s="17"/>
      <c r="E100" s="17"/>
      <c r="F100" s="17"/>
      <c r="G100" s="17"/>
      <c r="H100" s="21"/>
      <c r="I100" s="17"/>
      <c r="J100" s="21"/>
      <c r="K100" s="30"/>
      <c r="L100" s="30"/>
      <c r="M100" s="30"/>
      <c r="N100" s="30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/>
      <c r="B101" s="17"/>
      <c r="C101" s="17"/>
      <c r="D101" s="17"/>
      <c r="E101" s="17"/>
      <c r="F101" s="17"/>
      <c r="G101" s="17"/>
      <c r="H101" s="21"/>
      <c r="I101" s="17"/>
      <c r="J101" s="21"/>
      <c r="K101" s="30"/>
      <c r="L101" s="30"/>
      <c r="M101" s="30"/>
      <c r="N101" s="30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/>
      <c r="B102" s="17"/>
      <c r="C102" s="17"/>
      <c r="D102" s="17"/>
      <c r="E102" s="17"/>
      <c r="F102" s="17"/>
      <c r="G102" s="17"/>
      <c r="H102" s="21"/>
      <c r="I102" s="17"/>
      <c r="J102" s="21"/>
      <c r="K102" s="30"/>
      <c r="L102" s="30"/>
      <c r="M102" s="30"/>
      <c r="N102" s="30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/>
      <c r="B103" s="17"/>
      <c r="C103" s="17"/>
      <c r="D103" s="17"/>
      <c r="E103" s="17"/>
      <c r="F103" s="17"/>
      <c r="G103" s="17"/>
      <c r="H103" s="21"/>
      <c r="I103" s="17"/>
      <c r="J103" s="21"/>
      <c r="K103" s="30"/>
      <c r="L103" s="30"/>
      <c r="M103" s="30"/>
      <c r="N103" s="30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/>
      <c r="B104" s="17"/>
      <c r="C104" s="17"/>
      <c r="D104" s="17"/>
      <c r="E104" s="17"/>
      <c r="F104" s="17"/>
      <c r="G104" s="17"/>
      <c r="H104" s="21"/>
      <c r="I104" s="17"/>
      <c r="J104" s="21"/>
      <c r="K104" s="30"/>
      <c r="L104" s="30"/>
      <c r="M104" s="30"/>
      <c r="N104" s="30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/>
      <c r="B105" s="17"/>
      <c r="C105" s="17"/>
      <c r="D105" s="17"/>
      <c r="E105" s="17"/>
      <c r="F105" s="17"/>
      <c r="G105" s="17"/>
      <c r="H105" s="21"/>
      <c r="I105" s="17"/>
      <c r="J105" s="21"/>
      <c r="K105" s="30"/>
      <c r="L105" s="30"/>
      <c r="M105" s="30"/>
      <c r="N105" s="30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/>
      <c r="B106" s="17"/>
      <c r="C106" s="17"/>
      <c r="D106" s="17"/>
      <c r="E106" s="17"/>
      <c r="F106" s="17"/>
      <c r="G106" s="17"/>
      <c r="H106" s="21"/>
      <c r="I106" s="17"/>
      <c r="J106" s="21"/>
      <c r="K106" s="30"/>
      <c r="L106" s="30"/>
      <c r="M106" s="30"/>
      <c r="N106" s="30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/>
      <c r="B107" s="17"/>
      <c r="C107" s="17"/>
      <c r="D107" s="17"/>
      <c r="E107" s="17"/>
      <c r="F107" s="17"/>
      <c r="G107" s="17"/>
      <c r="H107" s="21"/>
      <c r="I107" s="17"/>
      <c r="J107" s="21"/>
      <c r="K107" s="30"/>
      <c r="L107" s="30"/>
      <c r="M107" s="30"/>
      <c r="N107" s="30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/>
      <c r="B108" s="17"/>
      <c r="C108" s="17"/>
      <c r="D108" s="17"/>
      <c r="E108" s="17"/>
      <c r="F108" s="17"/>
      <c r="G108" s="17"/>
      <c r="H108" s="21"/>
      <c r="I108" s="17"/>
      <c r="J108" s="21"/>
      <c r="K108" s="30"/>
      <c r="L108" s="30"/>
      <c r="M108" s="30"/>
      <c r="N108" s="30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/>
      <c r="B109" s="17"/>
      <c r="C109" s="17"/>
      <c r="D109" s="17"/>
      <c r="E109" s="17"/>
      <c r="F109" s="17"/>
      <c r="G109" s="17"/>
      <c r="H109" s="21"/>
      <c r="I109" s="17"/>
      <c r="J109" s="21"/>
      <c r="K109" s="30"/>
      <c r="L109" s="30"/>
      <c r="M109" s="30"/>
      <c r="N109" s="30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/>
      <c r="B110" s="17"/>
      <c r="C110" s="17"/>
      <c r="D110" s="17"/>
      <c r="E110" s="17"/>
      <c r="F110" s="17"/>
      <c r="G110" s="17"/>
      <c r="H110" s="21"/>
      <c r="I110" s="17"/>
      <c r="J110" s="21"/>
      <c r="K110" s="30"/>
      <c r="L110" s="30"/>
      <c r="M110" s="30"/>
      <c r="N110" s="30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/>
      <c r="B111" s="17"/>
      <c r="C111" s="17"/>
      <c r="D111" s="17"/>
      <c r="E111" s="17"/>
      <c r="F111" s="17"/>
      <c r="G111" s="17"/>
      <c r="H111" s="21"/>
      <c r="I111" s="17"/>
      <c r="J111" s="21"/>
      <c r="K111" s="30"/>
      <c r="L111" s="30"/>
      <c r="M111" s="30"/>
      <c r="N111" s="30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/>
      <c r="B112" s="17"/>
      <c r="C112" s="17"/>
      <c r="D112" s="17"/>
      <c r="E112" s="17"/>
      <c r="F112" s="17"/>
      <c r="G112" s="17"/>
      <c r="H112" s="21"/>
      <c r="I112" s="17"/>
      <c r="J112" s="21"/>
      <c r="K112" s="30"/>
      <c r="L112" s="30"/>
      <c r="M112" s="30"/>
      <c r="N112" s="30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/>
      <c r="B113" s="17"/>
      <c r="C113" s="17"/>
      <c r="D113" s="17"/>
      <c r="E113" s="17"/>
      <c r="F113" s="17"/>
      <c r="G113" s="17"/>
      <c r="H113" s="21"/>
      <c r="I113" s="17"/>
      <c r="J113" s="21"/>
      <c r="K113" s="30"/>
      <c r="L113" s="30"/>
      <c r="M113" s="30"/>
      <c r="N113" s="30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/>
      <c r="B114" s="17"/>
      <c r="C114" s="17"/>
      <c r="D114" s="17"/>
      <c r="E114" s="17"/>
      <c r="F114" s="17"/>
      <c r="G114" s="17"/>
      <c r="H114" s="21"/>
      <c r="I114" s="17"/>
      <c r="J114" s="21"/>
      <c r="K114" s="30"/>
      <c r="L114" s="30"/>
      <c r="M114" s="30"/>
      <c r="N114" s="30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/>
      <c r="B115" s="17"/>
      <c r="C115" s="17"/>
      <c r="D115" s="17"/>
      <c r="E115" s="17"/>
      <c r="F115" s="17"/>
      <c r="G115" s="17"/>
      <c r="H115" s="21"/>
      <c r="I115" s="17"/>
      <c r="J115" s="21"/>
      <c r="K115" s="30"/>
      <c r="L115" s="30"/>
      <c r="M115" s="30"/>
      <c r="N115" s="30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/>
      <c r="B116" s="17"/>
      <c r="C116" s="17"/>
      <c r="D116" s="17"/>
      <c r="E116" s="17"/>
      <c r="F116" s="17"/>
      <c r="G116" s="17"/>
      <c r="H116" s="21"/>
      <c r="I116" s="17"/>
      <c r="J116" s="21"/>
      <c r="K116" s="30"/>
      <c r="L116" s="30"/>
      <c r="M116" s="30"/>
      <c r="N116" s="30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/>
      <c r="B117" s="17"/>
      <c r="C117" s="17"/>
      <c r="D117" s="17"/>
      <c r="E117" s="17"/>
      <c r="F117" s="17"/>
      <c r="G117" s="17"/>
      <c r="H117" s="21"/>
      <c r="I117" s="17"/>
      <c r="J117" s="21"/>
      <c r="K117" s="30"/>
      <c r="L117" s="30"/>
      <c r="M117" s="30"/>
      <c r="N117" s="30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/>
      <c r="B118" s="17"/>
      <c r="C118" s="17"/>
      <c r="D118" s="17"/>
      <c r="E118" s="17"/>
      <c r="F118" s="17"/>
      <c r="G118" s="17"/>
      <c r="H118" s="21"/>
      <c r="I118" s="17"/>
      <c r="J118" s="21"/>
      <c r="K118" s="30"/>
      <c r="L118" s="30"/>
      <c r="M118" s="30"/>
      <c r="N118" s="30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/>
      <c r="B119" s="17"/>
      <c r="C119" s="17"/>
      <c r="D119" s="17"/>
      <c r="E119" s="17"/>
      <c r="F119" s="17"/>
      <c r="G119" s="17"/>
      <c r="H119" s="21"/>
      <c r="I119" s="17"/>
      <c r="J119" s="21"/>
      <c r="K119" s="30"/>
      <c r="L119" s="30"/>
      <c r="M119" s="30"/>
      <c r="N119" s="30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/>
      <c r="B120" s="17"/>
      <c r="C120" s="17"/>
      <c r="D120" s="17"/>
      <c r="E120" s="17"/>
      <c r="F120" s="17"/>
      <c r="G120" s="17"/>
      <c r="H120" s="21"/>
      <c r="I120" s="17"/>
      <c r="J120" s="21"/>
      <c r="K120" s="30"/>
      <c r="L120" s="30"/>
      <c r="M120" s="30"/>
      <c r="N120" s="30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/>
      <c r="B121" s="17"/>
      <c r="C121" s="17"/>
      <c r="D121" s="17"/>
      <c r="E121" s="17"/>
      <c r="F121" s="17"/>
      <c r="G121" s="17"/>
      <c r="H121" s="21"/>
      <c r="I121" s="17"/>
      <c r="J121" s="21"/>
      <c r="K121" s="30"/>
      <c r="L121" s="30"/>
      <c r="M121" s="30"/>
      <c r="N121" s="30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/>
      <c r="B122" s="17"/>
      <c r="C122" s="17"/>
      <c r="D122" s="17"/>
      <c r="E122" s="17"/>
      <c r="F122" s="17"/>
      <c r="G122" s="17"/>
      <c r="H122" s="21"/>
      <c r="I122" s="17"/>
      <c r="J122" s="21"/>
      <c r="K122" s="30"/>
      <c r="L122" s="30"/>
      <c r="M122" s="30"/>
      <c r="N122" s="30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/>
      <c r="B123" s="17"/>
      <c r="C123" s="17"/>
      <c r="D123" s="17"/>
      <c r="E123" s="17"/>
      <c r="F123" s="17"/>
      <c r="G123" s="17"/>
      <c r="H123" s="21"/>
      <c r="I123" s="17"/>
      <c r="J123" s="21"/>
      <c r="K123" s="30"/>
      <c r="L123" s="30"/>
      <c r="M123" s="30"/>
      <c r="N123" s="30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/>
      <c r="B124" s="17"/>
      <c r="C124" s="17"/>
      <c r="D124" s="17"/>
      <c r="E124" s="17"/>
      <c r="F124" s="17"/>
      <c r="G124" s="17"/>
      <c r="H124" s="21"/>
      <c r="I124" s="17"/>
      <c r="J124" s="21"/>
      <c r="K124" s="30"/>
      <c r="L124" s="30"/>
      <c r="M124" s="30"/>
      <c r="N124" s="30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/>
      <c r="B125" s="17"/>
      <c r="C125" s="17"/>
      <c r="D125" s="17"/>
      <c r="E125" s="17"/>
      <c r="F125" s="17"/>
      <c r="G125" s="17"/>
      <c r="H125" s="21"/>
      <c r="I125" s="17"/>
      <c r="J125" s="21"/>
      <c r="K125" s="30"/>
      <c r="L125" s="30"/>
      <c r="M125" s="30"/>
      <c r="N125" s="30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/>
      <c r="B126" s="17"/>
      <c r="C126" s="17"/>
      <c r="D126" s="17"/>
      <c r="E126" s="17"/>
      <c r="F126" s="17"/>
      <c r="G126" s="17"/>
      <c r="H126" s="21"/>
      <c r="I126" s="17"/>
      <c r="J126" s="21"/>
      <c r="K126" s="30"/>
      <c r="L126" s="30"/>
      <c r="M126" s="30"/>
      <c r="N126" s="30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/>
      <c r="B127" s="17"/>
      <c r="C127" s="17"/>
      <c r="D127" s="17"/>
      <c r="E127" s="17"/>
      <c r="F127" s="17"/>
      <c r="G127" s="17"/>
      <c r="H127" s="21"/>
      <c r="I127" s="17"/>
      <c r="J127" s="21"/>
      <c r="K127" s="30"/>
      <c r="L127" s="30"/>
      <c r="M127" s="30"/>
      <c r="N127" s="30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/>
      <c r="B128" s="17"/>
      <c r="C128" s="17"/>
      <c r="D128" s="17"/>
      <c r="E128" s="17"/>
      <c r="F128" s="17"/>
      <c r="G128" s="17"/>
      <c r="H128" s="21"/>
      <c r="I128" s="17"/>
      <c r="J128" s="21"/>
      <c r="K128" s="30"/>
      <c r="L128" s="30"/>
      <c r="M128" s="30"/>
      <c r="N128" s="30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/>
      <c r="B129" s="17"/>
      <c r="C129" s="17"/>
      <c r="D129" s="17"/>
      <c r="E129" s="17"/>
      <c r="F129" s="17"/>
      <c r="G129" s="17"/>
      <c r="H129" s="21"/>
      <c r="I129" s="17"/>
      <c r="J129" s="21"/>
      <c r="K129" s="30"/>
      <c r="L129" s="30"/>
      <c r="M129" s="30"/>
      <c r="N129" s="30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/>
      <c r="B130" s="17"/>
      <c r="C130" s="17"/>
      <c r="D130" s="17"/>
      <c r="E130" s="17"/>
      <c r="F130" s="17"/>
      <c r="G130" s="17"/>
      <c r="H130" s="21"/>
      <c r="I130" s="17"/>
      <c r="J130" s="21"/>
      <c r="K130" s="30"/>
      <c r="L130" s="30"/>
      <c r="M130" s="30"/>
      <c r="N130" s="30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/>
      <c r="B131" s="17"/>
      <c r="C131" s="17"/>
      <c r="D131" s="17"/>
      <c r="E131" s="17"/>
      <c r="F131" s="17"/>
      <c r="G131" s="17"/>
      <c r="H131" s="21"/>
      <c r="I131" s="17"/>
      <c r="J131" s="21"/>
      <c r="K131" s="30"/>
      <c r="L131" s="30"/>
      <c r="M131" s="30"/>
      <c r="N131" s="30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/>
      <c r="B132" s="17"/>
      <c r="C132" s="17"/>
      <c r="D132" s="17"/>
      <c r="E132" s="17"/>
      <c r="F132" s="17"/>
      <c r="G132" s="17"/>
      <c r="H132" s="21"/>
      <c r="I132" s="17"/>
      <c r="J132" s="21"/>
      <c r="K132" s="30"/>
      <c r="L132" s="30"/>
      <c r="M132" s="30"/>
      <c r="N132" s="30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/>
      <c r="B133" s="17"/>
      <c r="C133" s="17"/>
      <c r="D133" s="17"/>
      <c r="E133" s="17"/>
      <c r="F133" s="17"/>
      <c r="G133" s="17"/>
      <c r="H133" s="21"/>
      <c r="I133" s="17"/>
      <c r="J133" s="21"/>
      <c r="K133" s="30"/>
      <c r="L133" s="30"/>
      <c r="M133" s="30"/>
      <c r="N133" s="30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/>
      <c r="B134" s="17"/>
      <c r="C134" s="17"/>
      <c r="D134" s="17"/>
      <c r="E134" s="17"/>
      <c r="F134" s="17"/>
      <c r="G134" s="17"/>
      <c r="H134" s="21"/>
      <c r="I134" s="17"/>
      <c r="J134" s="21"/>
      <c r="K134" s="30"/>
      <c r="L134" s="30"/>
      <c r="M134" s="30"/>
      <c r="N134" s="30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/>
      <c r="B135" s="17"/>
      <c r="C135" s="17"/>
      <c r="D135" s="17"/>
      <c r="E135" s="17"/>
      <c r="F135" s="17"/>
      <c r="G135" s="17"/>
      <c r="H135" s="21"/>
      <c r="I135" s="17"/>
      <c r="J135" s="21"/>
      <c r="K135" s="30"/>
      <c r="L135" s="30"/>
      <c r="M135" s="30"/>
      <c r="N135" s="30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/>
      <c r="B136" s="17"/>
      <c r="C136" s="17"/>
      <c r="D136" s="17"/>
      <c r="E136" s="17"/>
      <c r="F136" s="17"/>
      <c r="G136" s="17"/>
      <c r="H136" s="21"/>
      <c r="I136" s="17"/>
      <c r="J136" s="21"/>
      <c r="K136" s="30"/>
      <c r="L136" s="30"/>
      <c r="M136" s="30"/>
      <c r="N136" s="30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/>
      <c r="B137" s="17"/>
      <c r="C137" s="17"/>
      <c r="D137" s="17"/>
      <c r="E137" s="17"/>
      <c r="F137" s="17"/>
      <c r="G137" s="17"/>
      <c r="H137" s="21"/>
      <c r="I137" s="17"/>
      <c r="J137" s="21"/>
      <c r="K137" s="30"/>
      <c r="L137" s="30"/>
      <c r="M137" s="30"/>
      <c r="N137" s="30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/>
      <c r="B138" s="17"/>
      <c r="C138" s="17"/>
      <c r="D138" s="17"/>
      <c r="E138" s="17"/>
      <c r="F138" s="17"/>
      <c r="G138" s="17"/>
      <c r="H138" s="21"/>
      <c r="I138" s="17"/>
      <c r="J138" s="21"/>
      <c r="K138" s="30"/>
      <c r="L138" s="30"/>
      <c r="M138" s="30"/>
      <c r="N138" s="30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/>
      <c r="B139" s="17"/>
      <c r="C139" s="17"/>
      <c r="D139" s="17"/>
      <c r="E139" s="17"/>
      <c r="F139" s="17"/>
      <c r="G139" s="17"/>
      <c r="H139" s="21"/>
      <c r="I139" s="17"/>
      <c r="J139" s="21"/>
      <c r="K139" s="30"/>
      <c r="L139" s="30"/>
      <c r="M139" s="30"/>
      <c r="N139" s="30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/>
      <c r="B140" s="17"/>
      <c r="C140" s="17"/>
      <c r="D140" s="17"/>
      <c r="E140" s="17"/>
      <c r="F140" s="17"/>
      <c r="G140" s="17"/>
      <c r="H140" s="21"/>
      <c r="I140" s="17"/>
      <c r="J140" s="21"/>
      <c r="K140" s="30"/>
      <c r="L140" s="30"/>
      <c r="M140" s="30"/>
      <c r="N140" s="30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/>
      <c r="B141" s="17"/>
      <c r="C141" s="17"/>
      <c r="D141" s="17"/>
      <c r="E141" s="17"/>
      <c r="F141" s="17"/>
      <c r="G141" s="17"/>
      <c r="H141" s="21"/>
      <c r="I141" s="17"/>
      <c r="J141" s="21"/>
      <c r="K141" s="30"/>
      <c r="L141" s="30"/>
      <c r="M141" s="30"/>
      <c r="N141" s="30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/>
      <c r="B142" s="17"/>
      <c r="C142" s="17"/>
      <c r="D142" s="17"/>
      <c r="E142" s="17"/>
      <c r="F142" s="17"/>
      <c r="G142" s="17"/>
      <c r="H142" s="21"/>
      <c r="I142" s="17"/>
      <c r="J142" s="21"/>
      <c r="K142" s="30"/>
      <c r="L142" s="30"/>
      <c r="M142" s="30"/>
      <c r="N142" s="30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/>
      <c r="B143" s="17"/>
      <c r="C143" s="17"/>
      <c r="D143" s="17"/>
      <c r="E143" s="17"/>
      <c r="F143" s="17"/>
      <c r="G143" s="17"/>
      <c r="H143" s="21"/>
      <c r="I143" s="17"/>
      <c r="J143" s="21"/>
      <c r="K143" s="30"/>
      <c r="L143" s="30"/>
      <c r="M143" s="30"/>
      <c r="N143" s="30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/>
      <c r="B144" s="17"/>
      <c r="C144" s="17"/>
      <c r="D144" s="17"/>
      <c r="E144" s="17"/>
      <c r="F144" s="17"/>
      <c r="G144" s="17"/>
      <c r="H144" s="21"/>
      <c r="I144" s="17"/>
      <c r="J144" s="21"/>
      <c r="K144" s="30"/>
      <c r="L144" s="30"/>
      <c r="M144" s="30"/>
      <c r="N144" s="30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/>
      <c r="B145" s="17"/>
      <c r="C145" s="17"/>
      <c r="D145" s="17"/>
      <c r="E145" s="17"/>
      <c r="F145" s="17"/>
      <c r="G145" s="17"/>
      <c r="H145" s="21"/>
      <c r="I145" s="17"/>
      <c r="J145" s="21"/>
      <c r="K145" s="30"/>
      <c r="L145" s="30"/>
      <c r="M145" s="30"/>
      <c r="N145" s="30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/>
      <c r="B146" s="17"/>
      <c r="C146" s="17"/>
      <c r="D146" s="17"/>
      <c r="E146" s="17"/>
      <c r="F146" s="17"/>
      <c r="G146" s="17"/>
      <c r="H146" s="21"/>
      <c r="I146" s="17"/>
      <c r="J146" s="21"/>
      <c r="K146" s="30"/>
      <c r="L146" s="30"/>
      <c r="M146" s="30"/>
      <c r="N146" s="30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/>
      <c r="B147" s="17"/>
      <c r="C147" s="17"/>
      <c r="D147" s="17"/>
      <c r="E147" s="17"/>
      <c r="F147" s="17"/>
      <c r="G147" s="17"/>
      <c r="H147" s="21"/>
      <c r="I147" s="17"/>
      <c r="J147" s="21"/>
      <c r="K147" s="30"/>
      <c r="L147" s="30"/>
      <c r="M147" s="30"/>
      <c r="N147" s="30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/>
      <c r="B148" s="17"/>
      <c r="C148" s="17"/>
      <c r="D148" s="17"/>
      <c r="E148" s="17"/>
      <c r="F148" s="17"/>
      <c r="G148" s="17"/>
      <c r="H148" s="21"/>
      <c r="I148" s="17"/>
      <c r="J148" s="21"/>
      <c r="K148" s="30"/>
      <c r="L148" s="30"/>
      <c r="M148" s="30"/>
      <c r="N148" s="30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/>
      <c r="B149" s="17"/>
      <c r="C149" s="17"/>
      <c r="D149" s="17"/>
      <c r="E149" s="17"/>
      <c r="F149" s="17"/>
      <c r="G149" s="17"/>
      <c r="H149" s="21"/>
      <c r="I149" s="17"/>
      <c r="J149" s="21"/>
      <c r="K149" s="30"/>
      <c r="L149" s="30"/>
      <c r="M149" s="30"/>
      <c r="N149" s="30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/>
      <c r="B150" s="17"/>
      <c r="C150" s="17"/>
      <c r="D150" s="17"/>
      <c r="E150" s="17"/>
      <c r="F150" s="17"/>
      <c r="G150" s="17"/>
      <c r="H150" s="21"/>
      <c r="I150" s="17"/>
      <c r="J150" s="21"/>
      <c r="K150" s="30"/>
      <c r="L150" s="30"/>
      <c r="M150" s="30"/>
      <c r="N150" s="30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/>
      <c r="B151" s="17"/>
      <c r="C151" s="17"/>
      <c r="D151" s="17"/>
      <c r="E151" s="17"/>
      <c r="F151" s="17"/>
      <c r="G151" s="17"/>
      <c r="H151" s="21"/>
      <c r="I151" s="17"/>
      <c r="J151" s="21"/>
      <c r="K151" s="30"/>
      <c r="L151" s="30"/>
      <c r="M151" s="30"/>
      <c r="N151" s="30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/>
      <c r="B152" s="17"/>
      <c r="C152" s="17"/>
      <c r="D152" s="17"/>
      <c r="E152" s="17"/>
      <c r="F152" s="17"/>
      <c r="G152" s="17"/>
      <c r="H152" s="21"/>
      <c r="I152" s="17"/>
      <c r="J152" s="21"/>
      <c r="K152" s="30"/>
      <c r="L152" s="30"/>
      <c r="M152" s="30"/>
      <c r="N152" s="30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/>
      <c r="B153" s="17"/>
      <c r="C153" s="17"/>
      <c r="D153" s="17"/>
      <c r="E153" s="17"/>
      <c r="F153" s="17"/>
      <c r="G153" s="17"/>
      <c r="H153" s="21"/>
      <c r="I153" s="17"/>
      <c r="J153" s="21"/>
      <c r="K153" s="30"/>
      <c r="L153" s="30"/>
      <c r="M153" s="30"/>
      <c r="N153" s="30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/>
      <c r="B154" s="17"/>
      <c r="C154" s="17"/>
      <c r="D154" s="17"/>
      <c r="E154" s="17"/>
      <c r="F154" s="17"/>
      <c r="G154" s="17"/>
      <c r="H154" s="21"/>
      <c r="I154" s="17"/>
      <c r="J154" s="21"/>
      <c r="K154" s="30"/>
      <c r="L154" s="30"/>
      <c r="M154" s="30"/>
      <c r="N154" s="30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/>
      <c r="B155" s="17"/>
      <c r="C155" s="17"/>
      <c r="D155" s="17"/>
      <c r="E155" s="17"/>
      <c r="F155" s="17"/>
      <c r="G155" s="17"/>
      <c r="H155" s="21"/>
      <c r="I155" s="17"/>
      <c r="J155" s="21"/>
      <c r="K155" s="30"/>
      <c r="L155" s="30"/>
      <c r="M155" s="30"/>
      <c r="N155" s="30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/>
      <c r="B156" s="17"/>
      <c r="C156" s="17"/>
      <c r="D156" s="17"/>
      <c r="E156" s="17"/>
      <c r="F156" s="17"/>
      <c r="G156" s="17"/>
      <c r="H156" s="21"/>
      <c r="I156" s="17"/>
      <c r="J156" s="21"/>
      <c r="K156" s="30"/>
      <c r="L156" s="30"/>
      <c r="M156" s="30"/>
      <c r="N156" s="30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/>
      <c r="B157" s="17"/>
      <c r="C157" s="17"/>
      <c r="D157" s="17"/>
      <c r="E157" s="17"/>
      <c r="F157" s="17"/>
      <c r="G157" s="17"/>
      <c r="H157" s="21"/>
      <c r="I157" s="17"/>
      <c r="J157" s="21"/>
      <c r="K157" s="30"/>
      <c r="L157" s="30"/>
      <c r="M157" s="30"/>
      <c r="N157" s="30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/>
      <c r="B158" s="17"/>
      <c r="C158" s="17"/>
      <c r="D158" s="17"/>
      <c r="E158" s="17"/>
      <c r="F158" s="17"/>
      <c r="G158" s="17"/>
      <c r="H158" s="21"/>
      <c r="I158" s="17"/>
      <c r="J158" s="21"/>
      <c r="K158" s="30"/>
      <c r="L158" s="30"/>
      <c r="M158" s="30"/>
      <c r="N158" s="30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/>
      <c r="B159" s="17"/>
      <c r="C159" s="17"/>
      <c r="D159" s="17"/>
      <c r="E159" s="17"/>
      <c r="F159" s="17"/>
      <c r="G159" s="17"/>
      <c r="H159" s="21"/>
      <c r="I159" s="17"/>
      <c r="J159" s="21"/>
      <c r="K159" s="30"/>
      <c r="L159" s="30"/>
      <c r="M159" s="30"/>
      <c r="N159" s="30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/>
      <c r="B160" s="17"/>
      <c r="C160" s="17"/>
      <c r="D160" s="17"/>
      <c r="E160" s="17"/>
      <c r="F160" s="17"/>
      <c r="G160" s="17"/>
      <c r="H160" s="21"/>
      <c r="I160" s="17"/>
      <c r="J160" s="21"/>
      <c r="K160" s="30"/>
      <c r="L160" s="30"/>
      <c r="M160" s="30"/>
      <c r="N160" s="30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/>
      <c r="B161" s="17"/>
      <c r="C161" s="17"/>
      <c r="D161" s="17"/>
      <c r="E161" s="17"/>
      <c r="F161" s="17"/>
      <c r="G161" s="17"/>
      <c r="H161" s="21"/>
      <c r="I161" s="17"/>
      <c r="J161" s="21"/>
      <c r="K161" s="30"/>
      <c r="L161" s="30"/>
      <c r="M161" s="30"/>
      <c r="N161" s="30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/>
      <c r="B162" s="17"/>
      <c r="C162" s="17"/>
      <c r="D162" s="17"/>
      <c r="E162" s="17"/>
      <c r="F162" s="17"/>
      <c r="G162" s="17"/>
      <c r="H162" s="21"/>
      <c r="I162" s="17"/>
      <c r="J162" s="21"/>
      <c r="K162" s="30"/>
      <c r="L162" s="30"/>
      <c r="M162" s="30"/>
      <c r="N162" s="30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/>
      <c r="B163" s="17"/>
      <c r="C163" s="17"/>
      <c r="D163" s="17"/>
      <c r="E163" s="17"/>
      <c r="F163" s="17"/>
      <c r="G163" s="17"/>
      <c r="H163" s="21"/>
      <c r="I163" s="17"/>
      <c r="J163" s="21"/>
      <c r="K163" s="30"/>
      <c r="L163" s="30"/>
      <c r="M163" s="30"/>
      <c r="N163" s="30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/>
      <c r="B164" s="17"/>
      <c r="C164" s="17"/>
      <c r="D164" s="17"/>
      <c r="E164" s="17"/>
      <c r="F164" s="17"/>
      <c r="G164" s="17"/>
      <c r="H164" s="21"/>
      <c r="I164" s="17"/>
      <c r="J164" s="21"/>
      <c r="K164" s="30"/>
      <c r="L164" s="30"/>
      <c r="M164" s="30"/>
      <c r="N164" s="30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/>
      <c r="B165" s="17"/>
      <c r="C165" s="17"/>
      <c r="D165" s="17"/>
      <c r="E165" s="17"/>
      <c r="F165" s="17"/>
      <c r="G165" s="17"/>
      <c r="H165" s="21"/>
      <c r="I165" s="17"/>
      <c r="J165" s="21"/>
      <c r="K165" s="30"/>
      <c r="L165" s="30"/>
      <c r="M165" s="30"/>
      <c r="N165" s="30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/>
      <c r="B166" s="17"/>
      <c r="C166" s="17"/>
      <c r="D166" s="17"/>
      <c r="E166" s="17"/>
      <c r="F166" s="17"/>
      <c r="G166" s="17"/>
      <c r="H166" s="21"/>
      <c r="I166" s="17"/>
      <c r="J166" s="21"/>
      <c r="K166" s="30"/>
      <c r="L166" s="30"/>
      <c r="M166" s="30"/>
      <c r="N166" s="30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/>
      <c r="B167" s="17"/>
      <c r="C167" s="17"/>
      <c r="D167" s="17"/>
      <c r="E167" s="17"/>
      <c r="F167" s="17"/>
      <c r="G167" s="17"/>
      <c r="H167" s="21"/>
      <c r="I167" s="17"/>
      <c r="J167" s="21"/>
      <c r="K167" s="30"/>
      <c r="L167" s="30"/>
      <c r="M167" s="30"/>
      <c r="N167" s="30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/>
      <c r="B168" s="17"/>
      <c r="C168" s="17"/>
      <c r="D168" s="17"/>
      <c r="E168" s="17"/>
      <c r="F168" s="17"/>
      <c r="G168" s="17"/>
      <c r="H168" s="21"/>
      <c r="I168" s="17"/>
      <c r="J168" s="21"/>
      <c r="K168" s="30"/>
      <c r="L168" s="30"/>
      <c r="M168" s="30"/>
      <c r="N168" s="30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/>
      <c r="B169" s="17"/>
      <c r="C169" s="17"/>
      <c r="D169" s="17"/>
      <c r="E169" s="17"/>
      <c r="F169" s="17"/>
      <c r="G169" s="17"/>
      <c r="H169" s="21"/>
      <c r="I169" s="17"/>
      <c r="J169" s="21"/>
      <c r="K169" s="30"/>
      <c r="L169" s="30"/>
      <c r="M169" s="30"/>
      <c r="N169" s="30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/>
      <c r="B170" s="17"/>
      <c r="C170" s="17"/>
      <c r="D170" s="17"/>
      <c r="E170" s="17"/>
      <c r="F170" s="17"/>
      <c r="G170" s="17"/>
      <c r="H170" s="21"/>
      <c r="I170" s="17"/>
      <c r="J170" s="21"/>
      <c r="K170" s="30"/>
      <c r="L170" s="30"/>
      <c r="M170" s="30"/>
      <c r="N170" s="30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/>
      <c r="B171" s="17"/>
      <c r="C171" s="17"/>
      <c r="D171" s="17"/>
      <c r="E171" s="17"/>
      <c r="F171" s="17"/>
      <c r="G171" s="17"/>
      <c r="H171" s="21"/>
      <c r="I171" s="17"/>
      <c r="J171" s="21"/>
      <c r="K171" s="30"/>
      <c r="L171" s="30"/>
      <c r="M171" s="30"/>
      <c r="N171" s="30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21"/>
      <c r="K172" s="30"/>
      <c r="L172" s="30"/>
      <c r="M172" s="30"/>
      <c r="N172" s="30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21"/>
      <c r="K173" s="30"/>
      <c r="L173" s="30"/>
      <c r="M173" s="30"/>
      <c r="N173" s="30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21"/>
      <c r="K174" s="30"/>
      <c r="L174" s="30"/>
      <c r="M174" s="30"/>
      <c r="N174" s="30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21"/>
      <c r="K175" s="30"/>
      <c r="L175" s="30"/>
      <c r="M175" s="30"/>
      <c r="N175" s="30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21"/>
      <c r="K176" s="30"/>
      <c r="L176" s="30"/>
      <c r="M176" s="30"/>
      <c r="N176" s="30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21"/>
      <c r="K177" s="30"/>
      <c r="L177" s="30"/>
      <c r="M177" s="30"/>
      <c r="N177" s="30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21"/>
      <c r="K178" s="30"/>
      <c r="L178" s="30"/>
      <c r="M178" s="30"/>
      <c r="N178" s="30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21"/>
      <c r="K179" s="30"/>
      <c r="L179" s="30"/>
      <c r="M179" s="30"/>
      <c r="N179" s="30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21"/>
      <c r="K180" s="30"/>
      <c r="L180" s="30"/>
      <c r="M180" s="30"/>
      <c r="N180" s="30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21"/>
      <c r="K181" s="30"/>
      <c r="L181" s="30"/>
      <c r="M181" s="30"/>
      <c r="N181" s="30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21"/>
      <c r="K182" s="30"/>
      <c r="L182" s="30"/>
      <c r="M182" s="30"/>
      <c r="N182" s="30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21"/>
      <c r="K183" s="30"/>
      <c r="L183" s="30"/>
      <c r="M183" s="30"/>
      <c r="N183" s="30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21"/>
      <c r="K184" s="30"/>
      <c r="L184" s="30"/>
      <c r="M184" s="30"/>
      <c r="N184" s="30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21"/>
      <c r="K185" s="30"/>
      <c r="L185" s="30"/>
      <c r="M185" s="30"/>
      <c r="N185" s="30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21"/>
      <c r="K186" s="30"/>
      <c r="L186" s="30"/>
      <c r="M186" s="30"/>
      <c r="N186" s="30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21"/>
      <c r="K187" s="30"/>
      <c r="L187" s="30"/>
      <c r="M187" s="30"/>
      <c r="N187" s="30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21"/>
      <c r="K188" s="30"/>
      <c r="L188" s="30"/>
      <c r="M188" s="30"/>
      <c r="N188" s="30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21"/>
      <c r="K189" s="30"/>
      <c r="L189" s="30"/>
      <c r="M189" s="30"/>
      <c r="N189" s="30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21"/>
      <c r="K190" s="30"/>
      <c r="L190" s="30"/>
      <c r="M190" s="30"/>
      <c r="N190" s="30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21"/>
      <c r="K191" s="30"/>
      <c r="L191" s="30"/>
      <c r="M191" s="30"/>
      <c r="N191" s="30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21"/>
      <c r="K192" s="30"/>
      <c r="L192" s="30"/>
      <c r="M192" s="30"/>
      <c r="N192" s="30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21"/>
      <c r="K193" s="30"/>
      <c r="L193" s="30"/>
      <c r="M193" s="30"/>
      <c r="N193" s="30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21"/>
      <c r="K194" s="30"/>
      <c r="L194" s="30"/>
      <c r="M194" s="30"/>
      <c r="N194" s="30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21"/>
      <c r="K195" s="30"/>
      <c r="L195" s="30"/>
      <c r="M195" s="30"/>
      <c r="N195" s="30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21"/>
      <c r="K196" s="30"/>
      <c r="L196" s="30"/>
      <c r="M196" s="30"/>
      <c r="N196" s="30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21"/>
      <c r="K197" s="30"/>
      <c r="L197" s="30"/>
      <c r="M197" s="30"/>
      <c r="N197" s="30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21"/>
      <c r="K198" s="30"/>
      <c r="L198" s="30"/>
      <c r="M198" s="30"/>
      <c r="N198" s="30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21"/>
      <c r="K199" s="30"/>
      <c r="L199" s="30"/>
      <c r="M199" s="30"/>
      <c r="N199" s="30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21"/>
      <c r="K200" s="30"/>
      <c r="L200" s="30"/>
      <c r="M200" s="30"/>
      <c r="N200" s="30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21"/>
      <c r="K201" s="30"/>
      <c r="L201" s="30"/>
      <c r="M201" s="30"/>
      <c r="N201" s="30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21"/>
      <c r="K202" s="30"/>
      <c r="L202" s="30"/>
      <c r="M202" s="30"/>
      <c r="N202" s="30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21"/>
      <c r="K203" s="30"/>
      <c r="L203" s="30"/>
      <c r="M203" s="30"/>
      <c r="N203" s="30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21"/>
      <c r="K204" s="30"/>
      <c r="L204" s="30"/>
      <c r="M204" s="30"/>
      <c r="N204" s="30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21"/>
      <c r="K205" s="30"/>
      <c r="L205" s="30"/>
      <c r="M205" s="30"/>
      <c r="N205" s="30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21"/>
      <c r="K206" s="30"/>
      <c r="L206" s="30"/>
      <c r="M206" s="30"/>
      <c r="N206" s="30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21"/>
      <c r="K207" s="30"/>
      <c r="L207" s="30"/>
      <c r="M207" s="30"/>
      <c r="N207" s="30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21"/>
      <c r="K208" s="30"/>
      <c r="L208" s="30"/>
      <c r="M208" s="30"/>
      <c r="N208" s="30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21"/>
      <c r="K209" s="30"/>
      <c r="L209" s="30"/>
      <c r="M209" s="30"/>
      <c r="N209" s="30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21"/>
      <c r="K210" s="30"/>
      <c r="L210" s="30"/>
      <c r="M210" s="30"/>
      <c r="N210" s="30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21"/>
      <c r="K211" s="30"/>
      <c r="L211" s="30"/>
      <c r="M211" s="30"/>
      <c r="N211" s="30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21"/>
      <c r="K212" s="30"/>
      <c r="L212" s="30"/>
      <c r="M212" s="30"/>
      <c r="N212" s="30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21"/>
      <c r="K213" s="30"/>
      <c r="L213" s="30"/>
      <c r="M213" s="30"/>
      <c r="N213" s="30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21"/>
      <c r="K214" s="30"/>
      <c r="L214" s="30"/>
      <c r="M214" s="30"/>
      <c r="N214" s="30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21"/>
      <c r="K215" s="30"/>
      <c r="L215" s="30"/>
      <c r="M215" s="30"/>
      <c r="N215" s="30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21"/>
      <c r="K216" s="30"/>
      <c r="L216" s="30"/>
      <c r="M216" s="30"/>
      <c r="N216" s="30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21"/>
      <c r="K217" s="30"/>
      <c r="L217" s="30"/>
      <c r="M217" s="30"/>
      <c r="N217" s="30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21"/>
      <c r="K218" s="30"/>
      <c r="L218" s="30"/>
      <c r="M218" s="30"/>
      <c r="N218" s="30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21"/>
      <c r="K219" s="30"/>
      <c r="L219" s="30"/>
      <c r="M219" s="30"/>
      <c r="N219" s="30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21"/>
      <c r="K220" s="30"/>
      <c r="L220" s="30"/>
      <c r="M220" s="30"/>
      <c r="N220" s="30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21"/>
      <c r="K221" s="30"/>
      <c r="L221" s="30"/>
      <c r="M221" s="30"/>
      <c r="N221" s="30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21"/>
      <c r="K222" s="30"/>
      <c r="L222" s="30"/>
      <c r="M222" s="30"/>
      <c r="N222" s="30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21"/>
      <c r="K223" s="30"/>
      <c r="L223" s="30"/>
      <c r="M223" s="30"/>
      <c r="N223" s="30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21"/>
      <c r="K224" s="30"/>
      <c r="L224" s="30"/>
      <c r="M224" s="30"/>
      <c r="N224" s="30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21"/>
      <c r="K225" s="30"/>
      <c r="L225" s="30"/>
      <c r="M225" s="30"/>
      <c r="N225" s="30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21"/>
      <c r="K226" s="30"/>
      <c r="L226" s="30"/>
      <c r="M226" s="30"/>
      <c r="N226" s="30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21"/>
      <c r="K227" s="30"/>
      <c r="L227" s="30"/>
      <c r="M227" s="30"/>
      <c r="N227" s="30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21"/>
      <c r="K228" s="30"/>
      <c r="L228" s="30"/>
      <c r="M228" s="30"/>
      <c r="N228" s="30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21"/>
      <c r="K229" s="30"/>
      <c r="L229" s="30"/>
      <c r="M229" s="30"/>
      <c r="N229" s="30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21"/>
      <c r="K230" s="30"/>
      <c r="L230" s="30"/>
      <c r="M230" s="30"/>
      <c r="N230" s="30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21"/>
      <c r="K231" s="30"/>
      <c r="L231" s="30"/>
      <c r="M231" s="30"/>
      <c r="N231" s="30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21"/>
      <c r="K232" s="30"/>
      <c r="L232" s="30"/>
      <c r="M232" s="30"/>
      <c r="N232" s="30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21"/>
      <c r="K233" s="30"/>
      <c r="L233" s="30"/>
      <c r="M233" s="30"/>
      <c r="N233" s="30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21"/>
      <c r="K234" s="30"/>
      <c r="L234" s="30"/>
      <c r="M234" s="30"/>
      <c r="N234" s="30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21"/>
      <c r="K235" s="30"/>
      <c r="L235" s="30"/>
      <c r="M235" s="30"/>
      <c r="N235" s="30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21"/>
      <c r="K236" s="30"/>
      <c r="L236" s="30"/>
      <c r="M236" s="30"/>
      <c r="N236" s="30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21"/>
      <c r="K237" s="30"/>
      <c r="L237" s="30"/>
      <c r="M237" s="30"/>
      <c r="N237" s="30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21"/>
      <c r="K238" s="30"/>
      <c r="L238" s="30"/>
      <c r="M238" s="30"/>
      <c r="N238" s="30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21"/>
      <c r="K239" s="30"/>
      <c r="L239" s="30"/>
      <c r="M239" s="30"/>
      <c r="N239" s="30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21"/>
      <c r="K240" s="30"/>
      <c r="L240" s="30"/>
      <c r="M240" s="30"/>
      <c r="N240" s="30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21"/>
      <c r="K241" s="30"/>
      <c r="L241" s="30"/>
      <c r="M241" s="30"/>
      <c r="N241" s="30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21"/>
      <c r="K242" s="30"/>
      <c r="L242" s="30"/>
      <c r="M242" s="30"/>
      <c r="N242" s="30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21"/>
      <c r="K243" s="30"/>
      <c r="L243" s="30"/>
      <c r="M243" s="30"/>
      <c r="N243" s="30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21"/>
      <c r="K244" s="30"/>
      <c r="L244" s="30"/>
      <c r="M244" s="30"/>
      <c r="N244" s="30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21"/>
      <c r="K245" s="30"/>
      <c r="L245" s="30"/>
      <c r="M245" s="30"/>
      <c r="N245" s="30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21"/>
      <c r="K246" s="30"/>
      <c r="L246" s="30"/>
      <c r="M246" s="30"/>
      <c r="N246" s="30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21"/>
      <c r="K247" s="30"/>
      <c r="L247" s="30"/>
      <c r="M247" s="30"/>
      <c r="N247" s="30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21"/>
      <c r="K248" s="30"/>
      <c r="L248" s="30"/>
      <c r="M248" s="30"/>
      <c r="N248" s="30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21"/>
      <c r="K249" s="30"/>
      <c r="L249" s="30"/>
      <c r="M249" s="30"/>
      <c r="N249" s="30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21"/>
      <c r="K250" s="30"/>
      <c r="L250" s="30"/>
      <c r="M250" s="30"/>
      <c r="N250" s="30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21"/>
      <c r="K251" s="30"/>
      <c r="L251" s="30"/>
      <c r="M251" s="30"/>
      <c r="N251" s="30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21"/>
      <c r="K252" s="30"/>
      <c r="L252" s="30"/>
      <c r="M252" s="30"/>
      <c r="N252" s="30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21"/>
      <c r="K253" s="30"/>
      <c r="L253" s="30"/>
      <c r="M253" s="30"/>
      <c r="N253" s="30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21"/>
      <c r="K254" s="30"/>
      <c r="L254" s="30"/>
      <c r="M254" s="30"/>
      <c r="N254" s="30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21"/>
      <c r="K255" s="30"/>
      <c r="L255" s="30"/>
      <c r="M255" s="30"/>
      <c r="N255" s="30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21"/>
      <c r="K256" s="30"/>
      <c r="L256" s="30"/>
      <c r="M256" s="30"/>
      <c r="N256" s="30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21"/>
      <c r="K257" s="30"/>
      <c r="L257" s="30"/>
      <c r="M257" s="30"/>
      <c r="N257" s="30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21"/>
      <c r="K258" s="30"/>
      <c r="L258" s="30"/>
      <c r="M258" s="30"/>
      <c r="N258" s="30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21"/>
      <c r="K259" s="30"/>
      <c r="L259" s="30"/>
      <c r="M259" s="30"/>
      <c r="N259" s="30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21"/>
      <c r="K260" s="30"/>
      <c r="L260" s="30"/>
      <c r="M260" s="30"/>
      <c r="N260" s="30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21"/>
      <c r="K261" s="30"/>
      <c r="L261" s="30"/>
      <c r="M261" s="30"/>
      <c r="N261" s="30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21"/>
      <c r="K262" s="30"/>
      <c r="L262" s="30"/>
      <c r="M262" s="30"/>
      <c r="N262" s="30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21"/>
      <c r="K263" s="30"/>
      <c r="L263" s="30"/>
      <c r="M263" s="30"/>
      <c r="N263" s="30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21"/>
      <c r="K264" s="30"/>
      <c r="L264" s="30"/>
      <c r="M264" s="30"/>
      <c r="N264" s="30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21"/>
      <c r="K265" s="30"/>
      <c r="L265" s="30"/>
      <c r="M265" s="30"/>
      <c r="N265" s="30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21"/>
      <c r="K266" s="30"/>
      <c r="L266" s="30"/>
      <c r="M266" s="30"/>
      <c r="N266" s="30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21"/>
      <c r="K267" s="30"/>
      <c r="L267" s="30"/>
      <c r="M267" s="30"/>
      <c r="N267" s="30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21"/>
      <c r="K268" s="30"/>
      <c r="L268" s="30"/>
      <c r="M268" s="30"/>
      <c r="N268" s="30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21"/>
      <c r="K269" s="30"/>
      <c r="L269" s="30"/>
      <c r="M269" s="30"/>
      <c r="N269" s="30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21"/>
      <c r="K270" s="30"/>
      <c r="L270" s="30"/>
      <c r="M270" s="30"/>
      <c r="N270" s="30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21"/>
      <c r="K271" s="30"/>
      <c r="L271" s="30"/>
      <c r="M271" s="30"/>
      <c r="N271" s="30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21"/>
      <c r="K272" s="30"/>
      <c r="L272" s="30"/>
      <c r="M272" s="30"/>
      <c r="N272" s="30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21"/>
      <c r="K273" s="30"/>
      <c r="L273" s="30"/>
      <c r="M273" s="30"/>
      <c r="N273" s="30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21"/>
      <c r="K274" s="30"/>
      <c r="L274" s="30"/>
      <c r="M274" s="30"/>
      <c r="N274" s="30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21"/>
      <c r="K275" s="30"/>
      <c r="L275" s="30"/>
      <c r="M275" s="30"/>
      <c r="N275" s="30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21"/>
      <c r="K276" s="30"/>
      <c r="L276" s="30"/>
      <c r="M276" s="30"/>
      <c r="N276" s="30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21"/>
      <c r="K277" s="30"/>
      <c r="L277" s="30"/>
      <c r="M277" s="30"/>
      <c r="N277" s="30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21"/>
      <c r="K278" s="30"/>
      <c r="L278" s="30"/>
      <c r="M278" s="30"/>
      <c r="N278" s="30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21"/>
      <c r="K279" s="30"/>
      <c r="L279" s="30"/>
      <c r="M279" s="30"/>
      <c r="N279" s="30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21"/>
      <c r="K280" s="30"/>
      <c r="L280" s="30"/>
      <c r="M280" s="30"/>
      <c r="N280" s="30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21"/>
      <c r="K281" s="30"/>
      <c r="L281" s="30"/>
      <c r="M281" s="30"/>
      <c r="N281" s="30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21"/>
      <c r="K282" s="30"/>
      <c r="L282" s="30"/>
      <c r="M282" s="30"/>
      <c r="N282" s="30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21"/>
      <c r="K283" s="30"/>
      <c r="L283" s="30"/>
      <c r="M283" s="30"/>
      <c r="N283" s="30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21"/>
      <c r="K284" s="30"/>
      <c r="L284" s="30"/>
      <c r="M284" s="30"/>
      <c r="N284" s="30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21"/>
      <c r="K285" s="30"/>
      <c r="L285" s="30"/>
      <c r="M285" s="30"/>
      <c r="N285" s="30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21"/>
      <c r="K286" s="30"/>
      <c r="L286" s="30"/>
      <c r="M286" s="30"/>
      <c r="N286" s="30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21"/>
      <c r="K287" s="30"/>
      <c r="L287" s="30"/>
      <c r="M287" s="30"/>
      <c r="N287" s="30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21"/>
      <c r="K288" s="30"/>
      <c r="L288" s="30"/>
      <c r="M288" s="30"/>
      <c r="N288" s="30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21"/>
      <c r="K289" s="30"/>
      <c r="L289" s="30"/>
      <c r="M289" s="30"/>
      <c r="N289" s="30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21"/>
      <c r="K290" s="30"/>
      <c r="L290" s="30"/>
      <c r="M290" s="30"/>
      <c r="N290" s="30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21"/>
      <c r="K291" s="30"/>
      <c r="L291" s="30"/>
      <c r="M291" s="30"/>
      <c r="N291" s="30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21"/>
      <c r="K292" s="30"/>
      <c r="L292" s="30"/>
      <c r="M292" s="30"/>
      <c r="N292" s="30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21"/>
      <c r="K293" s="30"/>
      <c r="L293" s="30"/>
      <c r="M293" s="30"/>
      <c r="N293" s="30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21"/>
      <c r="K294" s="30"/>
      <c r="L294" s="30"/>
      <c r="M294" s="30"/>
      <c r="N294" s="30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21"/>
      <c r="K295" s="30"/>
      <c r="L295" s="30"/>
      <c r="M295" s="30"/>
      <c r="N295" s="30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21"/>
      <c r="K296" s="30"/>
      <c r="L296" s="30"/>
      <c r="M296" s="30"/>
      <c r="N296" s="30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21"/>
      <c r="K297" s="30"/>
      <c r="L297" s="30"/>
      <c r="M297" s="30"/>
      <c r="N297" s="30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21"/>
      <c r="K298" s="30"/>
      <c r="L298" s="30"/>
      <c r="M298" s="30"/>
      <c r="N298" s="30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21"/>
      <c r="K299" s="30"/>
      <c r="L299" s="30"/>
      <c r="M299" s="30"/>
      <c r="N299" s="30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21"/>
      <c r="K300" s="30"/>
      <c r="L300" s="30"/>
      <c r="M300" s="30"/>
      <c r="N300" s="30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21"/>
      <c r="K301" s="30"/>
      <c r="L301" s="30"/>
      <c r="M301" s="30"/>
      <c r="N301" s="30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21"/>
      <c r="K302" s="30"/>
      <c r="L302" s="30"/>
      <c r="M302" s="30"/>
      <c r="N302" s="30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21"/>
      <c r="K303" s="30"/>
      <c r="L303" s="30"/>
      <c r="M303" s="30"/>
      <c r="N303" s="30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21"/>
      <c r="K304" s="30"/>
      <c r="L304" s="30"/>
      <c r="M304" s="30"/>
      <c r="N304" s="30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21"/>
      <c r="K305" s="30"/>
      <c r="L305" s="30"/>
      <c r="M305" s="30"/>
      <c r="N305" s="30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21"/>
      <c r="K306" s="30"/>
      <c r="L306" s="30"/>
      <c r="M306" s="30"/>
      <c r="N306" s="30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21"/>
      <c r="K307" s="30"/>
      <c r="L307" s="30"/>
      <c r="M307" s="30"/>
      <c r="N307" s="30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21"/>
      <c r="K308" s="30"/>
      <c r="L308" s="30"/>
      <c r="M308" s="30"/>
      <c r="N308" s="30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21"/>
      <c r="K309" s="30"/>
      <c r="L309" s="30"/>
      <c r="M309" s="30"/>
      <c r="N309" s="30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21"/>
      <c r="K310" s="30"/>
      <c r="L310" s="30"/>
      <c r="M310" s="30"/>
      <c r="N310" s="30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21"/>
      <c r="K311" s="30"/>
      <c r="L311" s="30"/>
      <c r="M311" s="30"/>
      <c r="N311" s="30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21"/>
      <c r="K312" s="30"/>
      <c r="L312" s="30"/>
      <c r="M312" s="30"/>
      <c r="N312" s="30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21"/>
      <c r="K313" s="30"/>
      <c r="L313" s="30"/>
      <c r="M313" s="30"/>
      <c r="N313" s="30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21"/>
      <c r="K314" s="30"/>
      <c r="L314" s="30"/>
      <c r="M314" s="30"/>
      <c r="N314" s="30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21"/>
      <c r="K315" s="30"/>
      <c r="L315" s="30"/>
      <c r="M315" s="30"/>
      <c r="N315" s="30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21"/>
      <c r="K316" s="30"/>
      <c r="L316" s="30"/>
      <c r="M316" s="30"/>
      <c r="N316" s="30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21"/>
      <c r="K317" s="30"/>
      <c r="L317" s="30"/>
      <c r="M317" s="30"/>
      <c r="N317" s="30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21"/>
      <c r="K318" s="30"/>
      <c r="L318" s="30"/>
      <c r="M318" s="30"/>
      <c r="N318" s="30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21"/>
      <c r="K319" s="30"/>
      <c r="L319" s="30"/>
      <c r="M319" s="30"/>
      <c r="N319" s="30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21"/>
      <c r="K320" s="30"/>
      <c r="L320" s="30"/>
      <c r="M320" s="30"/>
      <c r="N320" s="30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21"/>
      <c r="K321" s="30"/>
      <c r="L321" s="30"/>
      <c r="M321" s="30"/>
      <c r="N321" s="30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21"/>
      <c r="K322" s="30"/>
      <c r="L322" s="30"/>
      <c r="M322" s="30"/>
      <c r="N322" s="30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21"/>
      <c r="K323" s="30"/>
      <c r="L323" s="30"/>
      <c r="M323" s="30"/>
      <c r="N323" s="30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21"/>
      <c r="K324" s="30"/>
      <c r="L324" s="30"/>
      <c r="M324" s="30"/>
      <c r="N324" s="30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21"/>
      <c r="K325" s="30"/>
      <c r="L325" s="30"/>
      <c r="M325" s="30"/>
      <c r="N325" s="30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21"/>
      <c r="K326" s="30"/>
      <c r="L326" s="30"/>
      <c r="M326" s="30"/>
      <c r="N326" s="30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21"/>
      <c r="K327" s="30"/>
      <c r="L327" s="30"/>
      <c r="M327" s="30"/>
      <c r="N327" s="30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21"/>
      <c r="K328" s="30"/>
      <c r="L328" s="30"/>
      <c r="M328" s="30"/>
      <c r="N328" s="30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21"/>
      <c r="K329" s="30"/>
      <c r="L329" s="30"/>
      <c r="M329" s="30"/>
      <c r="N329" s="30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21"/>
      <c r="K330" s="30"/>
      <c r="L330" s="30"/>
      <c r="M330" s="30"/>
      <c r="N330" s="30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21"/>
      <c r="K331" s="30"/>
      <c r="L331" s="30"/>
      <c r="M331" s="30"/>
      <c r="N331" s="30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21"/>
      <c r="K332" s="30"/>
      <c r="L332" s="30"/>
      <c r="M332" s="30"/>
      <c r="N332" s="30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21"/>
      <c r="K333" s="30"/>
      <c r="L333" s="30"/>
      <c r="M333" s="30"/>
      <c r="N333" s="30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21"/>
      <c r="K334" s="30"/>
      <c r="L334" s="30"/>
      <c r="M334" s="30"/>
      <c r="N334" s="30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21"/>
      <c r="K335" s="30"/>
      <c r="L335" s="30"/>
      <c r="M335" s="30"/>
      <c r="N335" s="30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21"/>
      <c r="K336" s="30"/>
      <c r="L336" s="30"/>
      <c r="M336" s="30"/>
      <c r="N336" s="30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21"/>
      <c r="K337" s="30"/>
      <c r="L337" s="30"/>
      <c r="M337" s="30"/>
      <c r="N337" s="30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21"/>
      <c r="K338" s="30"/>
      <c r="L338" s="30"/>
      <c r="M338" s="30"/>
      <c r="N338" s="30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21"/>
      <c r="K339" s="30"/>
      <c r="L339" s="30"/>
      <c r="M339" s="30"/>
      <c r="N339" s="30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21"/>
      <c r="K340" s="30"/>
      <c r="L340" s="30"/>
      <c r="M340" s="30"/>
      <c r="N340" s="30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21"/>
      <c r="K341" s="30"/>
      <c r="L341" s="30"/>
      <c r="M341" s="30"/>
      <c r="N341" s="30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21"/>
      <c r="K342" s="30"/>
      <c r="L342" s="30"/>
      <c r="M342" s="30"/>
      <c r="N342" s="30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21"/>
      <c r="K343" s="30"/>
      <c r="L343" s="30"/>
      <c r="M343" s="30"/>
      <c r="N343" s="30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21"/>
      <c r="K344" s="30"/>
      <c r="L344" s="30"/>
      <c r="M344" s="30"/>
      <c r="N344" s="30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21"/>
      <c r="K345" s="30"/>
      <c r="L345" s="30"/>
      <c r="M345" s="30"/>
      <c r="N345" s="30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21"/>
      <c r="K346" s="30"/>
      <c r="L346" s="30"/>
      <c r="M346" s="30"/>
      <c r="N346" s="30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21"/>
      <c r="K347" s="30"/>
      <c r="L347" s="30"/>
      <c r="M347" s="30"/>
      <c r="N347" s="30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21"/>
      <c r="K348" s="30"/>
      <c r="L348" s="30"/>
      <c r="M348" s="30"/>
      <c r="N348" s="30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21"/>
      <c r="K349" s="30"/>
      <c r="L349" s="30"/>
      <c r="M349" s="30"/>
      <c r="N349" s="30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21"/>
      <c r="K350" s="30"/>
      <c r="L350" s="30"/>
      <c r="M350" s="30"/>
      <c r="N350" s="30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21"/>
      <c r="K351" s="30"/>
      <c r="L351" s="30"/>
      <c r="M351" s="30"/>
      <c r="N351" s="30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21"/>
      <c r="K352" s="30"/>
      <c r="L352" s="30"/>
      <c r="M352" s="30"/>
      <c r="N352" s="30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21"/>
      <c r="K353" s="30"/>
      <c r="L353" s="30"/>
      <c r="M353" s="30"/>
      <c r="N353" s="30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21"/>
      <c r="K354" s="30"/>
      <c r="L354" s="30"/>
      <c r="M354" s="30"/>
      <c r="N354" s="30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21"/>
      <c r="K355" s="30"/>
      <c r="L355" s="30"/>
      <c r="M355" s="30"/>
      <c r="N355" s="30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21"/>
      <c r="K356" s="30"/>
      <c r="L356" s="30"/>
      <c r="M356" s="30"/>
      <c r="N356" s="30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21"/>
      <c r="K357" s="30"/>
      <c r="L357" s="30"/>
      <c r="M357" s="30"/>
      <c r="N357" s="30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21"/>
      <c r="K358" s="30"/>
      <c r="L358" s="30"/>
      <c r="M358" s="30"/>
      <c r="N358" s="30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21"/>
      <c r="K359" s="30"/>
      <c r="L359" s="30"/>
      <c r="M359" s="30"/>
      <c r="N359" s="30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21"/>
      <c r="K360" s="30"/>
      <c r="L360" s="30"/>
      <c r="M360" s="30"/>
      <c r="N360" s="30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21"/>
      <c r="K361" s="30"/>
      <c r="L361" s="30"/>
      <c r="M361" s="30"/>
      <c r="N361" s="30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21"/>
      <c r="K362" s="30"/>
      <c r="L362" s="30"/>
      <c r="M362" s="30"/>
      <c r="N362" s="30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21"/>
      <c r="K363" s="30"/>
      <c r="L363" s="30"/>
      <c r="M363" s="30"/>
      <c r="N363" s="30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21"/>
      <c r="K364" s="30"/>
      <c r="L364" s="30"/>
      <c r="M364" s="30"/>
      <c r="N364" s="30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21"/>
      <c r="K365" s="30"/>
      <c r="L365" s="30"/>
      <c r="M365" s="30"/>
      <c r="N365" s="30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21"/>
      <c r="K366" s="30"/>
      <c r="L366" s="30"/>
      <c r="M366" s="30"/>
      <c r="N366" s="30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21"/>
      <c r="K367" s="30"/>
      <c r="L367" s="30"/>
      <c r="M367" s="30"/>
      <c r="N367" s="30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21"/>
      <c r="K368" s="30"/>
      <c r="L368" s="30"/>
      <c r="M368" s="30"/>
      <c r="N368" s="30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21"/>
      <c r="K369" s="30"/>
      <c r="L369" s="30"/>
      <c r="M369" s="30"/>
      <c r="N369" s="30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21"/>
      <c r="K370" s="30"/>
      <c r="L370" s="30"/>
      <c r="M370" s="30"/>
      <c r="N370" s="30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21"/>
      <c r="K371" s="30"/>
      <c r="L371" s="30"/>
      <c r="M371" s="30"/>
      <c r="N371" s="30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21"/>
      <c r="K372" s="30"/>
      <c r="L372" s="30"/>
      <c r="M372" s="30"/>
      <c r="N372" s="30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21"/>
      <c r="K373" s="30"/>
      <c r="L373" s="30"/>
      <c r="M373" s="30"/>
      <c r="N373" s="30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21"/>
      <c r="K374" s="30"/>
      <c r="L374" s="30"/>
      <c r="M374" s="30"/>
      <c r="N374" s="30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21"/>
      <c r="K375" s="30"/>
      <c r="L375" s="30"/>
      <c r="M375" s="30"/>
      <c r="N375" s="30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21"/>
      <c r="K376" s="30"/>
      <c r="L376" s="30"/>
      <c r="M376" s="30"/>
      <c r="N376" s="30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21"/>
      <c r="K377" s="30"/>
      <c r="L377" s="30"/>
      <c r="M377" s="30"/>
      <c r="N377" s="30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21"/>
      <c r="K378" s="30"/>
      <c r="L378" s="30"/>
      <c r="M378" s="30"/>
      <c r="N378" s="30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21"/>
      <c r="K379" s="30"/>
      <c r="L379" s="30"/>
      <c r="M379" s="30"/>
      <c r="N379" s="30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21"/>
      <c r="K380" s="30"/>
      <c r="L380" s="30"/>
      <c r="M380" s="30"/>
      <c r="N380" s="30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21"/>
      <c r="K381" s="30"/>
      <c r="L381" s="30"/>
      <c r="M381" s="30"/>
      <c r="N381" s="30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21"/>
      <c r="K382" s="30"/>
      <c r="L382" s="30"/>
      <c r="M382" s="30"/>
      <c r="N382" s="30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21"/>
      <c r="K383" s="30"/>
      <c r="L383" s="30"/>
      <c r="M383" s="30"/>
      <c r="N383" s="30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21"/>
      <c r="K384" s="30"/>
      <c r="L384" s="30"/>
      <c r="M384" s="30"/>
      <c r="N384" s="30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21"/>
      <c r="K385" s="30"/>
      <c r="L385" s="30"/>
      <c r="M385" s="30"/>
      <c r="N385" s="30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21"/>
      <c r="K386" s="30"/>
      <c r="L386" s="30"/>
      <c r="M386" s="30"/>
      <c r="N386" s="30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21"/>
      <c r="K387" s="30"/>
      <c r="L387" s="30"/>
      <c r="M387" s="30"/>
      <c r="N387" s="30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21"/>
      <c r="K388" s="30"/>
      <c r="L388" s="30"/>
      <c r="M388" s="30"/>
      <c r="N388" s="30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21"/>
      <c r="K389" s="30"/>
      <c r="L389" s="30"/>
      <c r="M389" s="30"/>
      <c r="N389" s="30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21"/>
      <c r="K390" s="30"/>
      <c r="L390" s="30"/>
      <c r="M390" s="30"/>
      <c r="N390" s="30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21"/>
      <c r="K391" s="30"/>
      <c r="L391" s="30"/>
      <c r="M391" s="30"/>
      <c r="N391" s="30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21"/>
      <c r="K392" s="30"/>
      <c r="L392" s="30"/>
      <c r="M392" s="30"/>
      <c r="N392" s="30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21"/>
      <c r="K393" s="30"/>
      <c r="L393" s="30"/>
      <c r="M393" s="30"/>
      <c r="N393" s="30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21"/>
      <c r="K394" s="30"/>
      <c r="L394" s="30"/>
      <c r="M394" s="30"/>
      <c r="N394" s="30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21"/>
      <c r="K395" s="30"/>
      <c r="L395" s="30"/>
      <c r="M395" s="30"/>
      <c r="N395" s="30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21"/>
      <c r="K396" s="30"/>
      <c r="L396" s="30"/>
      <c r="M396" s="30"/>
      <c r="N396" s="30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21"/>
      <c r="K397" s="30"/>
      <c r="L397" s="30"/>
      <c r="M397" s="30"/>
      <c r="N397" s="30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21"/>
      <c r="K398" s="30"/>
      <c r="L398" s="30"/>
      <c r="M398" s="30"/>
      <c r="N398" s="30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21"/>
      <c r="K399" s="30"/>
      <c r="L399" s="30"/>
      <c r="M399" s="30"/>
      <c r="N399" s="30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21"/>
      <c r="K400" s="30"/>
      <c r="L400" s="30"/>
      <c r="M400" s="30"/>
      <c r="N400" s="30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21"/>
      <c r="K401" s="30"/>
      <c r="L401" s="30"/>
      <c r="M401" s="30"/>
      <c r="N401" s="30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21"/>
      <c r="K402" s="30"/>
      <c r="L402" s="30"/>
      <c r="M402" s="30"/>
      <c r="N402" s="30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21"/>
      <c r="K403" s="30"/>
      <c r="L403" s="30"/>
      <c r="M403" s="30"/>
      <c r="N403" s="30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21"/>
      <c r="K404" s="30"/>
      <c r="L404" s="30"/>
      <c r="M404" s="30"/>
      <c r="N404" s="30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21"/>
      <c r="K405" s="30"/>
      <c r="L405" s="30"/>
      <c r="M405" s="30"/>
      <c r="N405" s="30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21"/>
      <c r="K406" s="30"/>
      <c r="L406" s="30"/>
      <c r="M406" s="30"/>
      <c r="N406" s="30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21"/>
      <c r="K407" s="30"/>
      <c r="L407" s="30"/>
      <c r="M407" s="30"/>
      <c r="N407" s="30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21"/>
      <c r="K408" s="30"/>
      <c r="L408" s="30"/>
      <c r="M408" s="30"/>
      <c r="N408" s="30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21"/>
      <c r="K409" s="30"/>
      <c r="L409" s="30"/>
      <c r="M409" s="30"/>
      <c r="N409" s="30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21"/>
      <c r="K410" s="30"/>
      <c r="L410" s="30"/>
      <c r="M410" s="30"/>
      <c r="N410" s="30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21"/>
      <c r="K411" s="30"/>
      <c r="L411" s="30"/>
      <c r="M411" s="30"/>
      <c r="N411" s="30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21"/>
      <c r="K412" s="30"/>
      <c r="L412" s="30"/>
      <c r="M412" s="30"/>
      <c r="N412" s="30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21"/>
      <c r="K413" s="30"/>
      <c r="L413" s="30"/>
      <c r="M413" s="30"/>
      <c r="N413" s="30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21"/>
      <c r="K414" s="30"/>
      <c r="L414" s="30"/>
      <c r="M414" s="30"/>
      <c r="N414" s="30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21"/>
      <c r="K415" s="30"/>
      <c r="L415" s="30"/>
      <c r="M415" s="30"/>
      <c r="N415" s="30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21"/>
      <c r="K416" s="30"/>
      <c r="L416" s="30"/>
      <c r="M416" s="30"/>
      <c r="N416" s="30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21"/>
      <c r="K417" s="30"/>
      <c r="L417" s="30"/>
      <c r="M417" s="30"/>
      <c r="N417" s="30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21"/>
      <c r="K418" s="30"/>
      <c r="L418" s="30"/>
      <c r="M418" s="30"/>
      <c r="N418" s="30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21"/>
      <c r="K419" s="30"/>
      <c r="L419" s="30"/>
      <c r="M419" s="30"/>
      <c r="N419" s="30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21"/>
      <c r="K420" s="30"/>
      <c r="L420" s="30"/>
      <c r="M420" s="30"/>
      <c r="N420" s="30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21"/>
      <c r="K421" s="30"/>
      <c r="L421" s="30"/>
      <c r="M421" s="30"/>
      <c r="N421" s="30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21"/>
      <c r="K422" s="30"/>
      <c r="L422" s="30"/>
      <c r="M422" s="30"/>
      <c r="N422" s="30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21"/>
      <c r="K423" s="30"/>
      <c r="L423" s="30"/>
      <c r="M423" s="30"/>
      <c r="N423" s="30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21"/>
      <c r="K424" s="30"/>
      <c r="L424" s="30"/>
      <c r="M424" s="30"/>
      <c r="N424" s="30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21"/>
      <c r="K425" s="30"/>
      <c r="L425" s="30"/>
      <c r="M425" s="30"/>
      <c r="N425" s="30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21"/>
      <c r="K426" s="30"/>
      <c r="L426" s="30"/>
      <c r="M426" s="30"/>
      <c r="N426" s="30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21"/>
      <c r="K427" s="30"/>
      <c r="L427" s="30"/>
      <c r="M427" s="30"/>
      <c r="N427" s="30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21"/>
      <c r="K428" s="30"/>
      <c r="L428" s="30"/>
      <c r="M428" s="30"/>
      <c r="N428" s="30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21"/>
      <c r="K429" s="30"/>
      <c r="L429" s="30"/>
      <c r="M429" s="30"/>
      <c r="N429" s="30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21"/>
      <c r="K430" s="30"/>
      <c r="L430" s="30"/>
      <c r="M430" s="30"/>
      <c r="N430" s="30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21"/>
      <c r="K431" s="30"/>
      <c r="L431" s="30"/>
      <c r="M431" s="30"/>
      <c r="N431" s="30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21"/>
      <c r="K432" s="30"/>
      <c r="L432" s="30"/>
      <c r="M432" s="30"/>
      <c r="N432" s="30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21"/>
      <c r="K433" s="30"/>
      <c r="L433" s="30"/>
      <c r="M433" s="30"/>
      <c r="N433" s="30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21"/>
      <c r="K434" s="30"/>
      <c r="L434" s="30"/>
      <c r="M434" s="30"/>
      <c r="N434" s="30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21"/>
      <c r="K435" s="30"/>
      <c r="L435" s="30"/>
      <c r="M435" s="30"/>
      <c r="N435" s="30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21"/>
      <c r="K436" s="30"/>
      <c r="L436" s="30"/>
      <c r="M436" s="30"/>
      <c r="N436" s="30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21"/>
      <c r="K437" s="30"/>
      <c r="L437" s="30"/>
      <c r="M437" s="30"/>
      <c r="N437" s="30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21"/>
      <c r="K438" s="30"/>
      <c r="L438" s="30"/>
      <c r="M438" s="30"/>
      <c r="N438" s="30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21"/>
      <c r="K439" s="30"/>
      <c r="L439" s="30"/>
      <c r="M439" s="30"/>
      <c r="N439" s="30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21"/>
      <c r="K440" s="30"/>
      <c r="L440" s="30"/>
      <c r="M440" s="30"/>
      <c r="N440" s="30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21"/>
      <c r="K441" s="30"/>
      <c r="L441" s="30"/>
      <c r="M441" s="30"/>
      <c r="N441" s="30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21"/>
      <c r="K442" s="30"/>
      <c r="L442" s="30"/>
      <c r="M442" s="30"/>
      <c r="N442" s="30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21"/>
      <c r="K443" s="30"/>
      <c r="L443" s="30"/>
      <c r="M443" s="30"/>
      <c r="N443" s="30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21"/>
      <c r="K444" s="30"/>
      <c r="L444" s="30"/>
      <c r="M444" s="30"/>
      <c r="N444" s="30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21"/>
      <c r="K445" s="30"/>
      <c r="L445" s="30"/>
      <c r="M445" s="30"/>
      <c r="N445" s="30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21"/>
      <c r="K446" s="30"/>
      <c r="L446" s="30"/>
      <c r="M446" s="30"/>
      <c r="N446" s="30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21"/>
      <c r="K447" s="30"/>
      <c r="L447" s="30"/>
      <c r="M447" s="30"/>
      <c r="N447" s="30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21"/>
      <c r="K448" s="30"/>
      <c r="L448" s="30"/>
      <c r="M448" s="30"/>
      <c r="N448" s="30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21"/>
      <c r="K449" s="30"/>
      <c r="L449" s="30"/>
      <c r="M449" s="30"/>
      <c r="N449" s="30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21"/>
      <c r="K450" s="30"/>
      <c r="L450" s="30"/>
      <c r="M450" s="30"/>
      <c r="N450" s="30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21"/>
      <c r="K451" s="30"/>
      <c r="L451" s="30"/>
      <c r="M451" s="30"/>
      <c r="N451" s="30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21"/>
      <c r="K452" s="30"/>
      <c r="L452" s="30"/>
      <c r="M452" s="30"/>
      <c r="N452" s="30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21"/>
      <c r="K453" s="30"/>
      <c r="L453" s="30"/>
      <c r="M453" s="30"/>
      <c r="N453" s="30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21"/>
      <c r="K454" s="30"/>
      <c r="L454" s="30"/>
      <c r="M454" s="30"/>
      <c r="N454" s="30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21"/>
      <c r="K455" s="30"/>
      <c r="L455" s="30"/>
      <c r="M455" s="30"/>
      <c r="N455" s="30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21"/>
      <c r="K456" s="30"/>
      <c r="L456" s="30"/>
      <c r="M456" s="30"/>
      <c r="N456" s="30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21"/>
      <c r="K457" s="30"/>
      <c r="L457" s="30"/>
      <c r="M457" s="30"/>
      <c r="N457" s="30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21"/>
      <c r="K458" s="30"/>
      <c r="L458" s="30"/>
      <c r="M458" s="30"/>
      <c r="N458" s="30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21"/>
      <c r="K459" s="30"/>
      <c r="L459" s="30"/>
      <c r="M459" s="30"/>
      <c r="N459" s="30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21"/>
      <c r="K460" s="30"/>
      <c r="L460" s="30"/>
      <c r="M460" s="30"/>
      <c r="N460" s="30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21"/>
      <c r="K461" s="30"/>
      <c r="L461" s="30"/>
      <c r="M461" s="30"/>
      <c r="N461" s="30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21"/>
      <c r="K462" s="30"/>
      <c r="L462" s="30"/>
      <c r="M462" s="30"/>
      <c r="N462" s="30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21"/>
      <c r="K463" s="30"/>
      <c r="L463" s="30"/>
      <c r="M463" s="30"/>
      <c r="N463" s="30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21"/>
      <c r="K464" s="30"/>
      <c r="L464" s="30"/>
      <c r="M464" s="30"/>
      <c r="N464" s="30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21"/>
      <c r="K465" s="30"/>
      <c r="L465" s="30"/>
      <c r="M465" s="30"/>
      <c r="N465" s="30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21"/>
      <c r="K466" s="30"/>
      <c r="L466" s="30"/>
      <c r="M466" s="30"/>
      <c r="N466" s="30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21"/>
      <c r="K467" s="30"/>
      <c r="L467" s="30"/>
      <c r="M467" s="30"/>
      <c r="N467" s="30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21"/>
      <c r="K468" s="30"/>
      <c r="L468" s="30"/>
      <c r="M468" s="30"/>
      <c r="N468" s="30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21"/>
      <c r="K469" s="30"/>
      <c r="L469" s="30"/>
      <c r="M469" s="30"/>
      <c r="N469" s="30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21"/>
      <c r="K470" s="30"/>
      <c r="L470" s="30"/>
      <c r="M470" s="30"/>
      <c r="N470" s="30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21"/>
      <c r="K471" s="30"/>
      <c r="L471" s="30"/>
      <c r="M471" s="30"/>
      <c r="N471" s="30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21"/>
      <c r="K472" s="30"/>
      <c r="L472" s="30"/>
      <c r="M472" s="30"/>
      <c r="N472" s="30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21"/>
      <c r="K473" s="30"/>
      <c r="L473" s="30"/>
      <c r="M473" s="30"/>
      <c r="N473" s="30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21"/>
      <c r="K474" s="30"/>
      <c r="L474" s="30"/>
      <c r="M474" s="30"/>
      <c r="N474" s="30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21"/>
      <c r="K475" s="30"/>
      <c r="L475" s="30"/>
      <c r="M475" s="30"/>
      <c r="N475" s="30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21"/>
      <c r="K476" s="30"/>
      <c r="L476" s="30"/>
      <c r="M476" s="30"/>
      <c r="N476" s="30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21"/>
      <c r="K477" s="30"/>
      <c r="L477" s="30"/>
      <c r="M477" s="30"/>
      <c r="N477" s="30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21"/>
      <c r="K478" s="30"/>
      <c r="L478" s="30"/>
      <c r="M478" s="30"/>
      <c r="N478" s="30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21"/>
      <c r="K479" s="30"/>
      <c r="L479" s="30"/>
      <c r="M479" s="30"/>
      <c r="N479" s="30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21"/>
      <c r="K480" s="30"/>
      <c r="L480" s="30"/>
      <c r="M480" s="30"/>
      <c r="N480" s="30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21"/>
      <c r="K481" s="30"/>
      <c r="L481" s="30"/>
      <c r="M481" s="30"/>
      <c r="N481" s="30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21"/>
      <c r="K482" s="30"/>
      <c r="L482" s="30"/>
      <c r="M482" s="30"/>
      <c r="N482" s="30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21"/>
      <c r="K483" s="30"/>
      <c r="L483" s="30"/>
      <c r="M483" s="30"/>
      <c r="N483" s="30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21"/>
      <c r="K484" s="30"/>
      <c r="L484" s="30"/>
      <c r="M484" s="30"/>
      <c r="N484" s="30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21"/>
      <c r="K485" s="30"/>
      <c r="L485" s="30"/>
      <c r="M485" s="30"/>
      <c r="N485" s="30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21"/>
      <c r="K486" s="30"/>
      <c r="L486" s="30"/>
      <c r="M486" s="30"/>
      <c r="N486" s="30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21"/>
      <c r="K487" s="30"/>
      <c r="L487" s="30"/>
      <c r="M487" s="30"/>
      <c r="N487" s="30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21"/>
      <c r="K488" s="30"/>
      <c r="L488" s="30"/>
      <c r="M488" s="30"/>
      <c r="N488" s="30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21"/>
      <c r="K489" s="30"/>
      <c r="L489" s="30"/>
      <c r="M489" s="30"/>
      <c r="N489" s="30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21"/>
      <c r="K490" s="30"/>
      <c r="L490" s="30"/>
      <c r="M490" s="30"/>
      <c r="N490" s="30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21"/>
      <c r="K491" s="30"/>
      <c r="L491" s="30"/>
      <c r="M491" s="30"/>
      <c r="N491" s="30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21"/>
      <c r="K492" s="30"/>
      <c r="L492" s="30"/>
      <c r="M492" s="30"/>
      <c r="N492" s="30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21"/>
      <c r="K493" s="30"/>
      <c r="L493" s="30"/>
      <c r="M493" s="30"/>
      <c r="N493" s="30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21"/>
      <c r="K494" s="30"/>
      <c r="L494" s="30"/>
      <c r="M494" s="30"/>
      <c r="N494" s="30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21"/>
      <c r="K495" s="30"/>
      <c r="L495" s="30"/>
      <c r="M495" s="30"/>
      <c r="N495" s="30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21"/>
      <c r="K496" s="30"/>
      <c r="L496" s="30"/>
      <c r="M496" s="30"/>
      <c r="N496" s="30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21"/>
      <c r="K497" s="30"/>
      <c r="L497" s="30"/>
      <c r="M497" s="30"/>
      <c r="N497" s="30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21"/>
      <c r="K498" s="30"/>
      <c r="L498" s="30"/>
      <c r="M498" s="30"/>
      <c r="N498" s="30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21"/>
      <c r="K499" s="30"/>
      <c r="L499" s="30"/>
      <c r="M499" s="30"/>
      <c r="N499" s="30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21"/>
      <c r="K500" s="30"/>
      <c r="L500" s="30"/>
      <c r="M500" s="30"/>
      <c r="N500" s="30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21"/>
      <c r="K501" s="30"/>
      <c r="L501" s="30"/>
      <c r="M501" s="30"/>
      <c r="N501" s="30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21"/>
      <c r="K502" s="30"/>
      <c r="L502" s="30"/>
      <c r="M502" s="30"/>
      <c r="N502" s="30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21"/>
      <c r="K503" s="30"/>
      <c r="L503" s="30"/>
      <c r="M503" s="30"/>
      <c r="N503" s="30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21"/>
      <c r="K504" s="30"/>
      <c r="L504" s="30"/>
      <c r="M504" s="30"/>
      <c r="N504" s="30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21"/>
      <c r="K505" s="30"/>
      <c r="L505" s="30"/>
      <c r="M505" s="30"/>
      <c r="N505" s="30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21"/>
      <c r="K506" s="30"/>
      <c r="L506" s="30"/>
      <c r="M506" s="30"/>
      <c r="N506" s="30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21"/>
      <c r="K507" s="30"/>
      <c r="L507" s="30"/>
      <c r="M507" s="30"/>
      <c r="N507" s="30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21"/>
      <c r="K508" s="30"/>
      <c r="L508" s="30"/>
      <c r="M508" s="30"/>
      <c r="N508" s="30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21"/>
      <c r="K509" s="30"/>
      <c r="L509" s="30"/>
      <c r="M509" s="30"/>
      <c r="N509" s="30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21"/>
      <c r="K510" s="30"/>
      <c r="L510" s="30"/>
      <c r="M510" s="30"/>
      <c r="N510" s="30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21"/>
      <c r="K511" s="30"/>
      <c r="L511" s="30"/>
      <c r="M511" s="30"/>
      <c r="N511" s="30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21"/>
      <c r="K512" s="30"/>
      <c r="L512" s="30"/>
      <c r="M512" s="30"/>
      <c r="N512" s="30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21"/>
      <c r="K513" s="30"/>
      <c r="L513" s="30"/>
      <c r="M513" s="30"/>
      <c r="N513" s="30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21"/>
      <c r="K514" s="30"/>
      <c r="L514" s="30"/>
      <c r="M514" s="30"/>
      <c r="N514" s="30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21"/>
      <c r="K515" s="30"/>
      <c r="L515" s="30"/>
      <c r="M515" s="30"/>
      <c r="N515" s="30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21"/>
      <c r="K516" s="30"/>
      <c r="L516" s="30"/>
      <c r="M516" s="30"/>
      <c r="N516" s="30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21"/>
      <c r="K517" s="30"/>
      <c r="L517" s="30"/>
      <c r="M517" s="30"/>
      <c r="N517" s="30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21"/>
      <c r="K518" s="30"/>
      <c r="L518" s="30"/>
      <c r="M518" s="30"/>
      <c r="N518" s="30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21"/>
      <c r="K519" s="30"/>
      <c r="L519" s="30"/>
      <c r="M519" s="30"/>
      <c r="N519" s="30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21"/>
      <c r="K520" s="30"/>
      <c r="L520" s="30"/>
      <c r="M520" s="30"/>
      <c r="N520" s="30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21"/>
      <c r="K521" s="30"/>
      <c r="L521" s="30"/>
      <c r="M521" s="30"/>
      <c r="N521" s="30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21"/>
      <c r="K522" s="30"/>
      <c r="L522" s="30"/>
      <c r="M522" s="30"/>
      <c r="N522" s="30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21"/>
      <c r="K523" s="30"/>
      <c r="L523" s="30"/>
      <c r="M523" s="30"/>
      <c r="N523" s="30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21"/>
      <c r="K524" s="30"/>
      <c r="L524" s="30"/>
      <c r="M524" s="30"/>
      <c r="N524" s="30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21"/>
      <c r="K525" s="30"/>
      <c r="L525" s="30"/>
      <c r="M525" s="30"/>
      <c r="N525" s="30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21"/>
      <c r="K526" s="30"/>
      <c r="L526" s="30"/>
      <c r="M526" s="30"/>
      <c r="N526" s="30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21"/>
      <c r="K527" s="30"/>
      <c r="L527" s="30"/>
      <c r="M527" s="30"/>
      <c r="N527" s="30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21"/>
      <c r="K528" s="30"/>
      <c r="L528" s="30"/>
      <c r="M528" s="30"/>
      <c r="N528" s="30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21"/>
      <c r="K529" s="30"/>
      <c r="L529" s="30"/>
      <c r="M529" s="30"/>
      <c r="N529" s="30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21"/>
      <c r="K530" s="30"/>
      <c r="L530" s="30"/>
      <c r="M530" s="30"/>
      <c r="N530" s="30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21"/>
      <c r="K531" s="30"/>
      <c r="L531" s="30"/>
      <c r="M531" s="30"/>
      <c r="N531" s="30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21"/>
      <c r="K532" s="30"/>
      <c r="L532" s="30"/>
      <c r="M532" s="30"/>
      <c r="N532" s="30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21"/>
      <c r="K533" s="30"/>
      <c r="L533" s="30"/>
      <c r="M533" s="30"/>
      <c r="N533" s="30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21"/>
      <c r="K534" s="30"/>
      <c r="L534" s="30"/>
      <c r="M534" s="30"/>
      <c r="N534" s="30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21"/>
      <c r="K535" s="30"/>
      <c r="L535" s="30"/>
      <c r="M535" s="30"/>
      <c r="N535" s="30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21"/>
      <c r="K536" s="30"/>
      <c r="L536" s="30"/>
      <c r="M536" s="30"/>
      <c r="N536" s="30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21"/>
      <c r="K537" s="30"/>
      <c r="L537" s="30"/>
      <c r="M537" s="30"/>
      <c r="N537" s="30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21"/>
      <c r="K538" s="30"/>
      <c r="L538" s="30"/>
      <c r="M538" s="30"/>
      <c r="N538" s="30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21"/>
      <c r="K539" s="30"/>
      <c r="L539" s="30"/>
      <c r="M539" s="30"/>
      <c r="N539" s="30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21"/>
      <c r="K540" s="30"/>
      <c r="L540" s="30"/>
      <c r="M540" s="30"/>
      <c r="N540" s="30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21"/>
      <c r="K541" s="30"/>
      <c r="L541" s="30"/>
      <c r="M541" s="30"/>
      <c r="N541" s="30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21"/>
      <c r="K542" s="30"/>
      <c r="L542" s="30"/>
      <c r="M542" s="30"/>
      <c r="N542" s="30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21"/>
      <c r="K543" s="30"/>
      <c r="L543" s="30"/>
      <c r="M543" s="30"/>
      <c r="N543" s="30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21"/>
      <c r="K544" s="30"/>
      <c r="L544" s="30"/>
      <c r="M544" s="30"/>
      <c r="N544" s="30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21"/>
      <c r="K545" s="30"/>
      <c r="L545" s="30"/>
      <c r="M545" s="30"/>
      <c r="N545" s="30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21"/>
      <c r="K546" s="30"/>
      <c r="L546" s="30"/>
      <c r="M546" s="30"/>
      <c r="N546" s="30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21"/>
      <c r="K547" s="30"/>
      <c r="L547" s="30"/>
      <c r="M547" s="30"/>
      <c r="N547" s="30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21"/>
      <c r="K548" s="30"/>
      <c r="L548" s="30"/>
      <c r="M548" s="30"/>
      <c r="N548" s="30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21"/>
      <c r="K549" s="30"/>
      <c r="L549" s="30"/>
      <c r="M549" s="30"/>
      <c r="N549" s="30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21"/>
      <c r="K550" s="30"/>
      <c r="L550" s="30"/>
      <c r="M550" s="30"/>
      <c r="N550" s="30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21"/>
      <c r="K551" s="30"/>
      <c r="L551" s="30"/>
      <c r="M551" s="30"/>
      <c r="N551" s="30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21"/>
      <c r="K552" s="30"/>
      <c r="L552" s="30"/>
      <c r="M552" s="30"/>
      <c r="N552" s="30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21"/>
      <c r="K553" s="30"/>
      <c r="L553" s="30"/>
      <c r="M553" s="30"/>
      <c r="N553" s="30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21"/>
      <c r="K554" s="30"/>
      <c r="L554" s="30"/>
      <c r="M554" s="30"/>
      <c r="N554" s="30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21"/>
      <c r="K555" s="30"/>
      <c r="L555" s="30"/>
      <c r="M555" s="30"/>
      <c r="N555" s="30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21"/>
      <c r="K556" s="30"/>
      <c r="L556" s="30"/>
      <c r="M556" s="30"/>
      <c r="N556" s="30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21"/>
      <c r="K557" s="30"/>
      <c r="L557" s="30"/>
      <c r="M557" s="30"/>
      <c r="N557" s="30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21"/>
      <c r="K558" s="30"/>
      <c r="L558" s="30"/>
      <c r="M558" s="30"/>
      <c r="N558" s="30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21"/>
      <c r="K559" s="30"/>
      <c r="L559" s="30"/>
      <c r="M559" s="30"/>
      <c r="N559" s="30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21"/>
      <c r="K560" s="30"/>
      <c r="L560" s="30"/>
      <c r="M560" s="30"/>
      <c r="N560" s="30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21"/>
      <c r="K561" s="30"/>
      <c r="L561" s="30"/>
      <c r="M561" s="30"/>
      <c r="N561" s="30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21"/>
      <c r="K562" s="30"/>
      <c r="L562" s="30"/>
      <c r="M562" s="30"/>
      <c r="N562" s="30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21"/>
      <c r="K563" s="30"/>
      <c r="L563" s="30"/>
      <c r="M563" s="30"/>
      <c r="N563" s="30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21"/>
      <c r="K564" s="30"/>
      <c r="L564" s="30"/>
      <c r="M564" s="30"/>
      <c r="N564" s="30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21"/>
      <c r="K565" s="30"/>
      <c r="L565" s="30"/>
      <c r="M565" s="30"/>
      <c r="N565" s="30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21"/>
      <c r="K566" s="30"/>
      <c r="L566" s="30"/>
      <c r="M566" s="30"/>
      <c r="N566" s="30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21"/>
      <c r="K567" s="30"/>
      <c r="L567" s="30"/>
      <c r="M567" s="30"/>
      <c r="N567" s="30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21"/>
      <c r="K568" s="30"/>
      <c r="L568" s="30"/>
      <c r="M568" s="30"/>
      <c r="N568" s="30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21"/>
      <c r="K569" s="30"/>
      <c r="L569" s="30"/>
      <c r="M569" s="30"/>
      <c r="N569" s="30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21"/>
      <c r="K570" s="30"/>
      <c r="L570" s="30"/>
      <c r="M570" s="30"/>
      <c r="N570" s="30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21"/>
      <c r="K571" s="30"/>
      <c r="L571" s="30"/>
      <c r="M571" s="30"/>
      <c r="N571" s="30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21"/>
      <c r="K572" s="30"/>
      <c r="L572" s="30"/>
      <c r="M572" s="30"/>
      <c r="N572" s="30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21"/>
      <c r="K573" s="30"/>
      <c r="L573" s="30"/>
      <c r="M573" s="30"/>
      <c r="N573" s="30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21"/>
      <c r="K574" s="30"/>
      <c r="L574" s="30"/>
      <c r="M574" s="30"/>
      <c r="N574" s="30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21"/>
      <c r="K575" s="30"/>
      <c r="L575" s="30"/>
      <c r="M575" s="30"/>
      <c r="N575" s="30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21"/>
      <c r="K576" s="30"/>
      <c r="L576" s="30"/>
      <c r="M576" s="30"/>
      <c r="N576" s="30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21"/>
      <c r="K577" s="30"/>
      <c r="L577" s="30"/>
      <c r="M577" s="30"/>
      <c r="N577" s="30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21"/>
      <c r="K578" s="30"/>
      <c r="L578" s="30"/>
      <c r="M578" s="30"/>
      <c r="N578" s="30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21"/>
      <c r="K579" s="30"/>
      <c r="L579" s="30"/>
      <c r="M579" s="30"/>
      <c r="N579" s="30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21"/>
      <c r="K580" s="30"/>
      <c r="L580" s="30"/>
      <c r="M580" s="30"/>
      <c r="N580" s="30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21"/>
      <c r="K581" s="30"/>
      <c r="L581" s="30"/>
      <c r="M581" s="30"/>
      <c r="N581" s="30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21"/>
      <c r="K582" s="30"/>
      <c r="L582" s="30"/>
      <c r="M582" s="30"/>
      <c r="N582" s="30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21"/>
      <c r="K583" s="30"/>
      <c r="L583" s="30"/>
      <c r="M583" s="30"/>
      <c r="N583" s="30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21"/>
      <c r="K584" s="30"/>
      <c r="L584" s="30"/>
      <c r="M584" s="30"/>
      <c r="N584" s="30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21"/>
      <c r="K585" s="30"/>
      <c r="L585" s="30"/>
      <c r="M585" s="30"/>
      <c r="N585" s="30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21"/>
      <c r="K586" s="30"/>
      <c r="L586" s="30"/>
      <c r="M586" s="30"/>
      <c r="N586" s="30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21"/>
      <c r="K587" s="30"/>
      <c r="L587" s="30"/>
      <c r="M587" s="30"/>
      <c r="N587" s="30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21"/>
      <c r="K588" s="30"/>
      <c r="L588" s="30"/>
      <c r="M588" s="30"/>
      <c r="N588" s="30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21"/>
      <c r="K589" s="30"/>
      <c r="L589" s="30"/>
      <c r="M589" s="30"/>
      <c r="N589" s="30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21"/>
      <c r="K590" s="30"/>
      <c r="L590" s="30"/>
      <c r="M590" s="30"/>
      <c r="N590" s="30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21"/>
      <c r="K591" s="30"/>
      <c r="L591" s="30"/>
      <c r="M591" s="30"/>
      <c r="N591" s="30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21"/>
      <c r="K592" s="30"/>
      <c r="L592" s="30"/>
      <c r="M592" s="30"/>
      <c r="N592" s="30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21"/>
      <c r="K593" s="30"/>
      <c r="L593" s="30"/>
      <c r="M593" s="30"/>
      <c r="N593" s="30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21"/>
      <c r="K594" s="30"/>
      <c r="L594" s="30"/>
      <c r="M594" s="30"/>
      <c r="N594" s="30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21"/>
      <c r="K595" s="30"/>
      <c r="L595" s="30"/>
      <c r="M595" s="30"/>
      <c r="N595" s="30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21"/>
      <c r="K596" s="30"/>
      <c r="L596" s="30"/>
      <c r="M596" s="30"/>
      <c r="N596" s="30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21"/>
      <c r="K597" s="30"/>
      <c r="L597" s="30"/>
      <c r="M597" s="30"/>
      <c r="N597" s="30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21"/>
      <c r="K598" s="30"/>
      <c r="L598" s="30"/>
      <c r="M598" s="30"/>
      <c r="N598" s="30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21"/>
      <c r="K599" s="30"/>
      <c r="L599" s="30"/>
      <c r="M599" s="30"/>
      <c r="N599" s="30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21"/>
      <c r="K600" s="30"/>
      <c r="L600" s="30"/>
      <c r="M600" s="30"/>
      <c r="N600" s="30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21"/>
      <c r="K601" s="30"/>
      <c r="L601" s="30"/>
      <c r="M601" s="30"/>
      <c r="N601" s="30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21"/>
      <c r="K602" s="30"/>
      <c r="L602" s="30"/>
      <c r="M602" s="30"/>
      <c r="N602" s="30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21"/>
      <c r="K603" s="30"/>
      <c r="L603" s="30"/>
      <c r="M603" s="30"/>
      <c r="N603" s="30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21"/>
      <c r="K604" s="30"/>
      <c r="L604" s="30"/>
      <c r="M604" s="30"/>
      <c r="N604" s="30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21"/>
      <c r="K605" s="30"/>
      <c r="L605" s="30"/>
      <c r="M605" s="30"/>
      <c r="N605" s="30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21"/>
      <c r="K606" s="30"/>
      <c r="L606" s="30"/>
      <c r="M606" s="30"/>
      <c r="N606" s="30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21"/>
      <c r="K607" s="30"/>
      <c r="L607" s="30"/>
      <c r="M607" s="30"/>
      <c r="N607" s="30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21"/>
      <c r="K608" s="30"/>
      <c r="L608" s="30"/>
      <c r="M608" s="30"/>
      <c r="N608" s="30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21"/>
      <c r="K609" s="30"/>
      <c r="L609" s="30"/>
      <c r="M609" s="30"/>
      <c r="N609" s="30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21"/>
      <c r="K610" s="30"/>
      <c r="L610" s="30"/>
      <c r="M610" s="30"/>
      <c r="N610" s="30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21"/>
      <c r="K611" s="30"/>
      <c r="L611" s="30"/>
      <c r="M611" s="30"/>
      <c r="N611" s="30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21"/>
      <c r="K612" s="30"/>
      <c r="L612" s="30"/>
      <c r="M612" s="30"/>
      <c r="N612" s="30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21"/>
      <c r="K613" s="30"/>
      <c r="L613" s="30"/>
      <c r="M613" s="30"/>
      <c r="N613" s="30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21"/>
      <c r="K614" s="30"/>
      <c r="L614" s="30"/>
      <c r="M614" s="30"/>
      <c r="N614" s="30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21"/>
      <c r="K615" s="30"/>
      <c r="L615" s="30"/>
      <c r="M615" s="30"/>
      <c r="N615" s="30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21"/>
      <c r="K616" s="30"/>
      <c r="L616" s="30"/>
      <c r="M616" s="30"/>
      <c r="N616" s="30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21"/>
      <c r="K617" s="30"/>
      <c r="L617" s="30"/>
      <c r="M617" s="30"/>
      <c r="N617" s="30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21"/>
      <c r="K618" s="30"/>
      <c r="L618" s="30"/>
      <c r="M618" s="30"/>
      <c r="N618" s="30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21"/>
      <c r="K619" s="30"/>
      <c r="L619" s="30"/>
      <c r="M619" s="30"/>
      <c r="N619" s="30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21"/>
      <c r="K620" s="30"/>
      <c r="L620" s="30"/>
      <c r="M620" s="30"/>
      <c r="N620" s="30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21"/>
      <c r="K621" s="30"/>
      <c r="L621" s="30"/>
      <c r="M621" s="30"/>
      <c r="N621" s="30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21"/>
      <c r="K622" s="30"/>
      <c r="L622" s="30"/>
      <c r="M622" s="30"/>
      <c r="N622" s="30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21"/>
      <c r="K623" s="30"/>
      <c r="L623" s="30"/>
      <c r="M623" s="30"/>
      <c r="N623" s="30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21"/>
      <c r="K624" s="30"/>
      <c r="L624" s="30"/>
      <c r="M624" s="30"/>
      <c r="N624" s="30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21"/>
      <c r="K625" s="30"/>
      <c r="L625" s="30"/>
      <c r="M625" s="30"/>
      <c r="N625" s="30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21"/>
      <c r="K626" s="30"/>
      <c r="L626" s="30"/>
      <c r="M626" s="30"/>
      <c r="N626" s="30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21"/>
      <c r="K627" s="30"/>
      <c r="L627" s="30"/>
      <c r="M627" s="30"/>
      <c r="N627" s="30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21"/>
      <c r="K628" s="30"/>
      <c r="L628" s="30"/>
      <c r="M628" s="30"/>
      <c r="N628" s="30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21"/>
      <c r="K629" s="30"/>
      <c r="L629" s="30"/>
      <c r="M629" s="30"/>
      <c r="N629" s="30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21"/>
      <c r="K630" s="30"/>
      <c r="L630" s="30"/>
      <c r="M630" s="30"/>
      <c r="N630" s="30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21"/>
      <c r="K631" s="30"/>
      <c r="L631" s="30"/>
      <c r="M631" s="30"/>
      <c r="N631" s="30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21"/>
      <c r="K632" s="30"/>
      <c r="L632" s="30"/>
      <c r="M632" s="30"/>
      <c r="N632" s="30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21"/>
      <c r="K633" s="30"/>
      <c r="L633" s="30"/>
      <c r="M633" s="30"/>
      <c r="N633" s="30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21"/>
      <c r="K634" s="30"/>
      <c r="L634" s="30"/>
      <c r="M634" s="30"/>
      <c r="N634" s="30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21"/>
      <c r="K635" s="30"/>
      <c r="L635" s="30"/>
      <c r="M635" s="30"/>
      <c r="N635" s="30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21"/>
      <c r="K636" s="30"/>
      <c r="L636" s="30"/>
      <c r="M636" s="30"/>
      <c r="N636" s="30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21"/>
      <c r="K637" s="30"/>
      <c r="L637" s="30"/>
      <c r="M637" s="30"/>
      <c r="N637" s="30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21"/>
      <c r="K638" s="30"/>
      <c r="L638" s="30"/>
      <c r="M638" s="30"/>
      <c r="N638" s="30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21"/>
      <c r="K639" s="30"/>
      <c r="L639" s="30"/>
      <c r="M639" s="30"/>
      <c r="N639" s="30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21"/>
      <c r="K640" s="30"/>
      <c r="L640" s="30"/>
      <c r="M640" s="30"/>
      <c r="N640" s="30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21"/>
      <c r="K641" s="30"/>
      <c r="L641" s="30"/>
      <c r="M641" s="30"/>
      <c r="N641" s="30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21"/>
      <c r="K642" s="30"/>
      <c r="L642" s="30"/>
      <c r="M642" s="30"/>
      <c r="N642" s="30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21"/>
      <c r="K643" s="30"/>
      <c r="L643" s="30"/>
      <c r="M643" s="30"/>
      <c r="N643" s="30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21"/>
      <c r="K644" s="30"/>
      <c r="L644" s="30"/>
      <c r="M644" s="30"/>
      <c r="N644" s="30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21"/>
      <c r="K645" s="30"/>
      <c r="L645" s="30"/>
      <c r="M645" s="30"/>
      <c r="N645" s="30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21"/>
      <c r="K646" s="30"/>
      <c r="L646" s="30"/>
      <c r="M646" s="30"/>
      <c r="N646" s="30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21"/>
      <c r="K647" s="30"/>
      <c r="L647" s="30"/>
      <c r="M647" s="30"/>
      <c r="N647" s="30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21"/>
      <c r="K648" s="30"/>
      <c r="L648" s="30"/>
      <c r="M648" s="30"/>
      <c r="N648" s="30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21"/>
      <c r="K649" s="30"/>
      <c r="L649" s="30"/>
      <c r="M649" s="30"/>
      <c r="N649" s="30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21"/>
      <c r="K650" s="30"/>
      <c r="L650" s="30"/>
      <c r="M650" s="30"/>
      <c r="N650" s="30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21"/>
      <c r="K651" s="30"/>
      <c r="L651" s="30"/>
      <c r="M651" s="30"/>
      <c r="N651" s="30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21"/>
      <c r="K652" s="30"/>
      <c r="L652" s="30"/>
      <c r="M652" s="30"/>
      <c r="N652" s="30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21"/>
      <c r="K653" s="30"/>
      <c r="L653" s="30"/>
      <c r="M653" s="30"/>
      <c r="N653" s="30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21"/>
      <c r="K654" s="30"/>
      <c r="L654" s="30"/>
      <c r="M654" s="30"/>
      <c r="N654" s="30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21"/>
      <c r="K655" s="30"/>
      <c r="L655" s="30"/>
      <c r="M655" s="30"/>
      <c r="N655" s="30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21"/>
      <c r="K656" s="30"/>
      <c r="L656" s="30"/>
      <c r="M656" s="30"/>
      <c r="N656" s="30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21"/>
      <c r="K657" s="30"/>
      <c r="L657" s="30"/>
      <c r="M657" s="30"/>
      <c r="N657" s="30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21"/>
      <c r="K658" s="30"/>
      <c r="L658" s="30"/>
      <c r="M658" s="30"/>
      <c r="N658" s="30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21"/>
      <c r="K659" s="30"/>
      <c r="L659" s="30"/>
      <c r="M659" s="30"/>
      <c r="N659" s="30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21"/>
      <c r="K660" s="30"/>
      <c r="L660" s="30"/>
      <c r="M660" s="30"/>
      <c r="N660" s="30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21"/>
      <c r="K661" s="30"/>
      <c r="L661" s="30"/>
      <c r="M661" s="30"/>
      <c r="N661" s="30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21"/>
      <c r="K662" s="30"/>
      <c r="L662" s="30"/>
      <c r="M662" s="30"/>
      <c r="N662" s="30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21"/>
      <c r="K663" s="30"/>
      <c r="L663" s="30"/>
      <c r="M663" s="30"/>
      <c r="N663" s="30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21"/>
      <c r="K664" s="30"/>
      <c r="L664" s="30"/>
      <c r="M664" s="30"/>
      <c r="N664" s="30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21"/>
      <c r="K665" s="30"/>
      <c r="L665" s="30"/>
      <c r="M665" s="30"/>
      <c r="N665" s="30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21"/>
      <c r="K666" s="30"/>
      <c r="L666" s="30"/>
      <c r="M666" s="30"/>
      <c r="N666" s="30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21"/>
      <c r="K667" s="30"/>
      <c r="L667" s="30"/>
      <c r="M667" s="30"/>
      <c r="N667" s="30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21"/>
      <c r="K668" s="30"/>
      <c r="L668" s="30"/>
      <c r="M668" s="30"/>
      <c r="N668" s="30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21"/>
      <c r="K669" s="30"/>
      <c r="L669" s="30"/>
      <c r="M669" s="30"/>
      <c r="N669" s="30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21"/>
      <c r="K670" s="30"/>
      <c r="L670" s="30"/>
      <c r="M670" s="30"/>
      <c r="N670" s="30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21"/>
      <c r="K671" s="30"/>
      <c r="L671" s="30"/>
      <c r="M671" s="30"/>
      <c r="N671" s="30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21"/>
      <c r="K672" s="30"/>
      <c r="L672" s="30"/>
      <c r="M672" s="30"/>
      <c r="N672" s="30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21"/>
      <c r="K673" s="30"/>
      <c r="L673" s="30"/>
      <c r="M673" s="30"/>
      <c r="N673" s="30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21"/>
      <c r="K674" s="30"/>
      <c r="L674" s="30"/>
      <c r="M674" s="30"/>
      <c r="N674" s="30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21"/>
      <c r="K675" s="30"/>
      <c r="L675" s="30"/>
      <c r="M675" s="30"/>
      <c r="N675" s="30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21"/>
      <c r="K676" s="30"/>
      <c r="L676" s="30"/>
      <c r="M676" s="30"/>
      <c r="N676" s="30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21"/>
      <c r="K677" s="30"/>
      <c r="L677" s="30"/>
      <c r="M677" s="30"/>
      <c r="N677" s="30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21"/>
      <c r="K678" s="30"/>
      <c r="L678" s="30"/>
      <c r="M678" s="30"/>
      <c r="N678" s="30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21"/>
      <c r="K679" s="30"/>
      <c r="L679" s="30"/>
      <c r="M679" s="30"/>
      <c r="N679" s="30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21"/>
      <c r="K680" s="30"/>
      <c r="L680" s="30"/>
      <c r="M680" s="30"/>
      <c r="N680" s="30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21"/>
      <c r="K681" s="30"/>
      <c r="L681" s="30"/>
      <c r="M681" s="30"/>
      <c r="N681" s="30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21"/>
      <c r="K682" s="30"/>
      <c r="L682" s="30"/>
      <c r="M682" s="30"/>
      <c r="N682" s="30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21"/>
      <c r="K683" s="30"/>
      <c r="L683" s="30"/>
      <c r="M683" s="30"/>
      <c r="N683" s="30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21"/>
      <c r="K684" s="30"/>
      <c r="L684" s="30"/>
      <c r="M684" s="30"/>
      <c r="N684" s="30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21"/>
      <c r="K685" s="30"/>
      <c r="L685" s="30"/>
      <c r="M685" s="30"/>
      <c r="N685" s="30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21"/>
      <c r="K686" s="30"/>
      <c r="L686" s="30"/>
      <c r="M686" s="30"/>
      <c r="N686" s="30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21"/>
      <c r="K687" s="30"/>
      <c r="L687" s="30"/>
      <c r="M687" s="30"/>
      <c r="N687" s="30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21"/>
      <c r="K688" s="30"/>
      <c r="L688" s="30"/>
      <c r="M688" s="30"/>
      <c r="N688" s="30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21"/>
      <c r="K689" s="30"/>
      <c r="L689" s="30"/>
      <c r="M689" s="30"/>
      <c r="N689" s="30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21"/>
      <c r="K690" s="30"/>
      <c r="L690" s="30"/>
      <c r="M690" s="30"/>
      <c r="N690" s="30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21"/>
      <c r="K691" s="30"/>
      <c r="L691" s="30"/>
      <c r="M691" s="30"/>
      <c r="N691" s="30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21"/>
      <c r="K692" s="30"/>
      <c r="L692" s="30"/>
      <c r="M692" s="30"/>
      <c r="N692" s="30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21"/>
      <c r="K693" s="30"/>
      <c r="L693" s="30"/>
      <c r="M693" s="30"/>
      <c r="N693" s="30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21"/>
      <c r="K694" s="30"/>
      <c r="L694" s="30"/>
      <c r="M694" s="30"/>
      <c r="N694" s="30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21"/>
      <c r="K695" s="30"/>
      <c r="L695" s="30"/>
      <c r="M695" s="30"/>
      <c r="N695" s="30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21"/>
      <c r="K696" s="30"/>
      <c r="L696" s="30"/>
      <c r="M696" s="30"/>
      <c r="N696" s="30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21"/>
      <c r="K697" s="30"/>
      <c r="L697" s="30"/>
      <c r="M697" s="30"/>
      <c r="N697" s="30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21"/>
      <c r="K698" s="30"/>
      <c r="L698" s="30"/>
      <c r="M698" s="30"/>
      <c r="N698" s="30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21"/>
      <c r="K699" s="30"/>
      <c r="L699" s="30"/>
      <c r="M699" s="30"/>
      <c r="N699" s="30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21"/>
      <c r="K700" s="30"/>
      <c r="L700" s="30"/>
      <c r="M700" s="30"/>
      <c r="N700" s="30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21"/>
      <c r="K701" s="30"/>
      <c r="L701" s="30"/>
      <c r="M701" s="30"/>
      <c r="N701" s="30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21"/>
      <c r="K702" s="30"/>
      <c r="L702" s="30"/>
      <c r="M702" s="30"/>
      <c r="N702" s="30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21"/>
      <c r="K703" s="30"/>
      <c r="L703" s="30"/>
      <c r="M703" s="30"/>
      <c r="N703" s="30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21"/>
      <c r="K704" s="30"/>
      <c r="L704" s="30"/>
      <c r="M704" s="30"/>
      <c r="N704" s="30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21"/>
      <c r="K705" s="30"/>
      <c r="L705" s="30"/>
      <c r="M705" s="30"/>
      <c r="N705" s="30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21"/>
      <c r="K706" s="30"/>
      <c r="L706" s="30"/>
      <c r="M706" s="30"/>
      <c r="N706" s="30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21"/>
      <c r="K707" s="30"/>
      <c r="L707" s="30"/>
      <c r="M707" s="30"/>
      <c r="N707" s="30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21"/>
      <c r="K708" s="30"/>
      <c r="L708" s="30"/>
      <c r="M708" s="30"/>
      <c r="N708" s="30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21"/>
      <c r="K709" s="30"/>
      <c r="L709" s="30"/>
      <c r="M709" s="30"/>
      <c r="N709" s="30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21"/>
      <c r="K710" s="30"/>
      <c r="L710" s="30"/>
      <c r="M710" s="30"/>
      <c r="N710" s="30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21"/>
      <c r="K711" s="30"/>
      <c r="L711" s="30"/>
      <c r="M711" s="30"/>
      <c r="N711" s="30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21"/>
      <c r="K712" s="30"/>
      <c r="L712" s="30"/>
      <c r="M712" s="30"/>
      <c r="N712" s="30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21"/>
      <c r="K713" s="30"/>
      <c r="L713" s="30"/>
      <c r="M713" s="30"/>
      <c r="N713" s="30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21"/>
      <c r="K714" s="30"/>
      <c r="L714" s="30"/>
      <c r="M714" s="30"/>
      <c r="N714" s="30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21"/>
      <c r="K715" s="30"/>
      <c r="L715" s="30"/>
      <c r="M715" s="30"/>
      <c r="N715" s="30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21"/>
      <c r="K716" s="30"/>
      <c r="L716" s="30"/>
      <c r="M716" s="30"/>
      <c r="N716" s="30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21"/>
      <c r="K717" s="30"/>
      <c r="L717" s="30"/>
      <c r="M717" s="30"/>
      <c r="N717" s="30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21"/>
      <c r="K718" s="30"/>
      <c r="L718" s="30"/>
      <c r="M718" s="30"/>
      <c r="N718" s="30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21"/>
      <c r="K719" s="30"/>
      <c r="L719" s="30"/>
      <c r="M719" s="30"/>
      <c r="N719" s="30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21"/>
      <c r="K720" s="30"/>
      <c r="L720" s="30"/>
      <c r="M720" s="30"/>
      <c r="N720" s="30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21"/>
      <c r="K721" s="30"/>
      <c r="L721" s="30"/>
      <c r="M721" s="30"/>
      <c r="N721" s="30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21"/>
      <c r="K722" s="30"/>
      <c r="L722" s="30"/>
      <c r="M722" s="30"/>
      <c r="N722" s="30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21"/>
      <c r="K723" s="30"/>
      <c r="L723" s="30"/>
      <c r="M723" s="30"/>
      <c r="N723" s="30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21"/>
      <c r="K724" s="30"/>
      <c r="L724" s="30"/>
      <c r="M724" s="30"/>
      <c r="N724" s="30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21"/>
      <c r="K725" s="30"/>
      <c r="L725" s="30"/>
      <c r="M725" s="30"/>
      <c r="N725" s="30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21"/>
      <c r="K726" s="30"/>
      <c r="L726" s="30"/>
      <c r="M726" s="30"/>
      <c r="N726" s="30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21"/>
      <c r="K727" s="30"/>
      <c r="L727" s="30"/>
      <c r="M727" s="30"/>
      <c r="N727" s="30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21"/>
      <c r="K728" s="30"/>
      <c r="L728" s="30"/>
      <c r="M728" s="30"/>
      <c r="N728" s="30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21"/>
      <c r="K729" s="30"/>
      <c r="L729" s="30"/>
      <c r="M729" s="30"/>
      <c r="N729" s="30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21"/>
      <c r="K730" s="30"/>
      <c r="L730" s="30"/>
      <c r="M730" s="30"/>
      <c r="N730" s="30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21"/>
      <c r="K731" s="30"/>
      <c r="L731" s="30"/>
      <c r="M731" s="30"/>
      <c r="N731" s="30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21"/>
      <c r="K732" s="30"/>
      <c r="L732" s="30"/>
      <c r="M732" s="30"/>
      <c r="N732" s="30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21"/>
      <c r="K733" s="30"/>
      <c r="L733" s="30"/>
      <c r="M733" s="30"/>
      <c r="N733" s="30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21"/>
      <c r="K734" s="30"/>
      <c r="L734" s="30"/>
      <c r="M734" s="30"/>
      <c r="N734" s="30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21"/>
      <c r="K735" s="30"/>
      <c r="L735" s="30"/>
      <c r="M735" s="30"/>
      <c r="N735" s="30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21"/>
      <c r="K736" s="30"/>
      <c r="L736" s="30"/>
      <c r="M736" s="30"/>
      <c r="N736" s="30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21"/>
      <c r="K737" s="30"/>
      <c r="L737" s="30"/>
      <c r="M737" s="30"/>
      <c r="N737" s="30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21"/>
      <c r="K738" s="30"/>
      <c r="L738" s="30"/>
      <c r="M738" s="30"/>
      <c r="N738" s="30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21"/>
      <c r="K739" s="30"/>
      <c r="L739" s="30"/>
      <c r="M739" s="30"/>
      <c r="N739" s="30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21"/>
      <c r="K740" s="30"/>
      <c r="L740" s="30"/>
      <c r="M740" s="30"/>
      <c r="N740" s="30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21"/>
      <c r="K741" s="30"/>
      <c r="L741" s="30"/>
      <c r="M741" s="30"/>
      <c r="N741" s="30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21"/>
      <c r="K742" s="30"/>
      <c r="L742" s="30"/>
      <c r="M742" s="30"/>
      <c r="N742" s="30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21"/>
      <c r="K743" s="30"/>
      <c r="L743" s="30"/>
      <c r="M743" s="30"/>
      <c r="N743" s="30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21"/>
      <c r="K744" s="30"/>
      <c r="L744" s="30"/>
      <c r="M744" s="30"/>
      <c r="N744" s="30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21"/>
      <c r="K745" s="30"/>
      <c r="L745" s="30"/>
      <c r="M745" s="30"/>
      <c r="N745" s="30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21"/>
      <c r="K746" s="30"/>
      <c r="L746" s="30"/>
      <c r="M746" s="30"/>
      <c r="N746" s="30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21"/>
      <c r="K747" s="30"/>
      <c r="L747" s="30"/>
      <c r="M747" s="30"/>
      <c r="N747" s="30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21"/>
      <c r="K748" s="30"/>
      <c r="L748" s="30"/>
      <c r="M748" s="30"/>
      <c r="N748" s="30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21"/>
      <c r="K749" s="30"/>
      <c r="L749" s="30"/>
      <c r="M749" s="30"/>
      <c r="N749" s="30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21"/>
      <c r="K750" s="30"/>
      <c r="L750" s="30"/>
      <c r="M750" s="30"/>
      <c r="N750" s="30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21"/>
      <c r="K751" s="30"/>
      <c r="L751" s="30"/>
      <c r="M751" s="30"/>
      <c r="N751" s="30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21"/>
      <c r="K752" s="30"/>
      <c r="L752" s="30"/>
      <c r="M752" s="30"/>
      <c r="N752" s="30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21"/>
      <c r="K753" s="30"/>
      <c r="L753" s="30"/>
      <c r="M753" s="30"/>
      <c r="N753" s="30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21"/>
      <c r="K754" s="30"/>
      <c r="L754" s="30"/>
      <c r="M754" s="30"/>
      <c r="N754" s="30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21"/>
      <c r="K755" s="30"/>
      <c r="L755" s="30"/>
      <c r="M755" s="30"/>
      <c r="N755" s="30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21"/>
      <c r="K756" s="30"/>
      <c r="L756" s="30"/>
      <c r="M756" s="30"/>
      <c r="N756" s="30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21"/>
      <c r="K757" s="30"/>
      <c r="L757" s="30"/>
      <c r="M757" s="30"/>
      <c r="N757" s="30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21"/>
      <c r="K758" s="30"/>
      <c r="L758" s="30"/>
      <c r="M758" s="30"/>
      <c r="N758" s="30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21"/>
      <c r="K759" s="30"/>
      <c r="L759" s="30"/>
      <c r="M759" s="30"/>
      <c r="N759" s="30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21"/>
      <c r="K760" s="30"/>
      <c r="L760" s="30"/>
      <c r="M760" s="30"/>
      <c r="N760" s="30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21"/>
      <c r="K761" s="30"/>
      <c r="L761" s="30"/>
      <c r="M761" s="30"/>
      <c r="N761" s="30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21"/>
      <c r="K762" s="30"/>
      <c r="L762" s="30"/>
      <c r="M762" s="30"/>
      <c r="N762" s="30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21"/>
      <c r="K763" s="30"/>
      <c r="L763" s="30"/>
      <c r="M763" s="30"/>
      <c r="N763" s="30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21"/>
      <c r="K764" s="30"/>
      <c r="L764" s="30"/>
      <c r="M764" s="30"/>
      <c r="N764" s="30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21"/>
      <c r="K765" s="30"/>
      <c r="L765" s="30"/>
      <c r="M765" s="30"/>
      <c r="N765" s="30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21"/>
      <c r="K766" s="30"/>
      <c r="L766" s="30"/>
      <c r="M766" s="30"/>
      <c r="N766" s="30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21"/>
      <c r="K767" s="30"/>
      <c r="L767" s="30"/>
      <c r="M767" s="30"/>
      <c r="N767" s="30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21"/>
      <c r="K768" s="30"/>
      <c r="L768" s="30"/>
      <c r="M768" s="30"/>
      <c r="N768" s="30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21"/>
      <c r="K769" s="30"/>
      <c r="L769" s="30"/>
      <c r="M769" s="30"/>
      <c r="N769" s="30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21"/>
      <c r="K770" s="30"/>
      <c r="L770" s="30"/>
      <c r="M770" s="30"/>
      <c r="N770" s="30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21"/>
      <c r="K771" s="30"/>
      <c r="L771" s="30"/>
      <c r="M771" s="30"/>
      <c r="N771" s="30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21"/>
      <c r="K772" s="30"/>
      <c r="L772" s="30"/>
      <c r="M772" s="30"/>
      <c r="N772" s="30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21"/>
      <c r="K773" s="30"/>
      <c r="L773" s="30"/>
      <c r="M773" s="30"/>
      <c r="N773" s="30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21"/>
      <c r="K774" s="30"/>
      <c r="L774" s="30"/>
      <c r="M774" s="30"/>
      <c r="N774" s="30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21"/>
      <c r="K775" s="30"/>
      <c r="L775" s="30"/>
      <c r="M775" s="30"/>
      <c r="N775" s="30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21"/>
      <c r="K776" s="30"/>
      <c r="L776" s="30"/>
      <c r="M776" s="30"/>
      <c r="N776" s="30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21"/>
      <c r="K777" s="30"/>
      <c r="L777" s="30"/>
      <c r="M777" s="30"/>
      <c r="N777" s="30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21"/>
      <c r="K778" s="30"/>
      <c r="L778" s="30"/>
      <c r="M778" s="30"/>
      <c r="N778" s="30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21"/>
      <c r="K779" s="30"/>
      <c r="L779" s="30"/>
      <c r="M779" s="30"/>
      <c r="N779" s="30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21"/>
      <c r="K780" s="30"/>
      <c r="L780" s="30"/>
      <c r="M780" s="30"/>
      <c r="N780" s="30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21"/>
      <c r="K781" s="30"/>
      <c r="L781" s="30"/>
      <c r="M781" s="30"/>
      <c r="N781" s="30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21"/>
      <c r="K782" s="30"/>
      <c r="L782" s="30"/>
      <c r="M782" s="30"/>
      <c r="N782" s="30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21"/>
      <c r="K783" s="30"/>
      <c r="L783" s="30"/>
      <c r="M783" s="30"/>
      <c r="N783" s="30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21"/>
      <c r="K784" s="30"/>
      <c r="L784" s="30"/>
      <c r="M784" s="30"/>
      <c r="N784" s="30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21"/>
      <c r="K785" s="30"/>
      <c r="L785" s="30"/>
      <c r="M785" s="30"/>
      <c r="N785" s="30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21"/>
      <c r="K786" s="30"/>
      <c r="L786" s="30"/>
      <c r="M786" s="30"/>
      <c r="N786" s="30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21"/>
      <c r="K787" s="30"/>
      <c r="L787" s="30"/>
      <c r="M787" s="30"/>
      <c r="N787" s="30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21"/>
      <c r="K788" s="30"/>
      <c r="L788" s="30"/>
      <c r="M788" s="30"/>
      <c r="N788" s="30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21"/>
      <c r="K789" s="30"/>
      <c r="L789" s="30"/>
      <c r="M789" s="30"/>
      <c r="N789" s="30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21"/>
      <c r="K790" s="30"/>
      <c r="L790" s="30"/>
      <c r="M790" s="30"/>
      <c r="N790" s="30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21"/>
      <c r="K791" s="30"/>
      <c r="L791" s="30"/>
      <c r="M791" s="30"/>
      <c r="N791" s="30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21"/>
      <c r="K792" s="30"/>
      <c r="L792" s="30"/>
      <c r="M792" s="30"/>
      <c r="N792" s="30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21"/>
      <c r="K793" s="30"/>
      <c r="L793" s="30"/>
      <c r="M793" s="30"/>
      <c r="N793" s="30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21"/>
      <c r="K794" s="30"/>
      <c r="L794" s="30"/>
      <c r="M794" s="30"/>
      <c r="N794" s="30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21"/>
      <c r="K795" s="30"/>
      <c r="L795" s="30"/>
      <c r="M795" s="30"/>
      <c r="N795" s="30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21"/>
      <c r="K796" s="30"/>
      <c r="L796" s="30"/>
      <c r="M796" s="30"/>
      <c r="N796" s="30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21"/>
      <c r="K797" s="30"/>
      <c r="L797" s="30"/>
      <c r="M797" s="30"/>
      <c r="N797" s="30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21"/>
      <c r="K798" s="30"/>
      <c r="L798" s="30"/>
      <c r="M798" s="30"/>
      <c r="N798" s="30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21"/>
      <c r="K799" s="30"/>
      <c r="L799" s="30"/>
      <c r="M799" s="30"/>
      <c r="N799" s="30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21"/>
      <c r="K800" s="30"/>
      <c r="L800" s="30"/>
      <c r="M800" s="30"/>
      <c r="N800" s="30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21"/>
      <c r="K801" s="30"/>
      <c r="L801" s="30"/>
      <c r="M801" s="30"/>
      <c r="N801" s="30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21"/>
      <c r="K802" s="30"/>
      <c r="L802" s="30"/>
      <c r="M802" s="30"/>
      <c r="N802" s="30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21"/>
      <c r="K803" s="30"/>
      <c r="L803" s="30"/>
      <c r="M803" s="30"/>
      <c r="N803" s="30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21"/>
      <c r="K804" s="30"/>
      <c r="L804" s="30"/>
      <c r="M804" s="30"/>
      <c r="N804" s="30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21"/>
      <c r="K805" s="30"/>
      <c r="L805" s="30"/>
      <c r="M805" s="30"/>
      <c r="N805" s="30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21"/>
      <c r="K806" s="30"/>
      <c r="L806" s="30"/>
      <c r="M806" s="30"/>
      <c r="N806" s="30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21"/>
      <c r="K807" s="30"/>
      <c r="L807" s="30"/>
      <c r="M807" s="30"/>
      <c r="N807" s="30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21"/>
      <c r="K808" s="30"/>
      <c r="L808" s="30"/>
      <c r="M808" s="30"/>
      <c r="N808" s="30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21"/>
      <c r="K809" s="30"/>
      <c r="L809" s="30"/>
      <c r="M809" s="30"/>
      <c r="N809" s="30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21"/>
      <c r="K810" s="30"/>
      <c r="L810" s="30"/>
      <c r="M810" s="30"/>
      <c r="N810" s="30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21"/>
      <c r="K811" s="30"/>
      <c r="L811" s="30"/>
      <c r="M811" s="30"/>
      <c r="N811" s="30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21"/>
      <c r="K812" s="30"/>
      <c r="L812" s="30"/>
      <c r="M812" s="30"/>
      <c r="N812" s="30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21"/>
      <c r="K813" s="30"/>
      <c r="L813" s="30"/>
      <c r="M813" s="30"/>
      <c r="N813" s="30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21"/>
      <c r="K814" s="30"/>
      <c r="L814" s="30"/>
      <c r="M814" s="30"/>
      <c r="N814" s="30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21"/>
      <c r="K815" s="30"/>
      <c r="L815" s="30"/>
      <c r="M815" s="30"/>
      <c r="N815" s="30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21"/>
      <c r="K816" s="30"/>
      <c r="L816" s="30"/>
      <c r="M816" s="30"/>
      <c r="N816" s="30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21"/>
      <c r="K817" s="30"/>
      <c r="L817" s="30"/>
      <c r="M817" s="30"/>
      <c r="N817" s="30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21"/>
      <c r="K818" s="30"/>
      <c r="L818" s="30"/>
      <c r="M818" s="30"/>
      <c r="N818" s="30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21"/>
      <c r="K819" s="30"/>
      <c r="L819" s="30"/>
      <c r="M819" s="30"/>
      <c r="N819" s="30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21"/>
      <c r="K820" s="30"/>
      <c r="L820" s="30"/>
      <c r="M820" s="30"/>
      <c r="N820" s="30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21"/>
      <c r="K821" s="30"/>
      <c r="L821" s="30"/>
      <c r="M821" s="30"/>
      <c r="N821" s="30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21"/>
      <c r="K822" s="30"/>
      <c r="L822" s="30"/>
      <c r="M822" s="30"/>
      <c r="N822" s="30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21"/>
      <c r="K823" s="30"/>
      <c r="L823" s="30"/>
      <c r="M823" s="30"/>
      <c r="N823" s="30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21"/>
      <c r="K824" s="30"/>
      <c r="L824" s="30"/>
      <c r="M824" s="30"/>
      <c r="N824" s="30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21"/>
      <c r="K825" s="30"/>
      <c r="L825" s="30"/>
      <c r="M825" s="30"/>
      <c r="N825" s="30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21"/>
      <c r="K826" s="30"/>
      <c r="L826" s="30"/>
      <c r="M826" s="30"/>
      <c r="N826" s="30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21"/>
      <c r="K827" s="30"/>
      <c r="L827" s="30"/>
      <c r="M827" s="30"/>
      <c r="N827" s="30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21"/>
      <c r="K828" s="30"/>
      <c r="L828" s="30"/>
      <c r="M828" s="30"/>
      <c r="N828" s="30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21"/>
      <c r="K829" s="30"/>
      <c r="L829" s="30"/>
      <c r="M829" s="30"/>
      <c r="N829" s="30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21"/>
      <c r="K830" s="30"/>
      <c r="L830" s="30"/>
      <c r="M830" s="30"/>
      <c r="N830" s="30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21"/>
      <c r="K831" s="30"/>
      <c r="L831" s="30"/>
      <c r="M831" s="30"/>
      <c r="N831" s="30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21"/>
      <c r="K832" s="30"/>
      <c r="L832" s="30"/>
      <c r="M832" s="30"/>
      <c r="N832" s="30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21"/>
      <c r="K833" s="30"/>
      <c r="L833" s="30"/>
      <c r="M833" s="30"/>
      <c r="N833" s="30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21"/>
      <c r="K834" s="30"/>
      <c r="L834" s="30"/>
      <c r="M834" s="30"/>
      <c r="N834" s="30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21"/>
      <c r="K835" s="30"/>
      <c r="L835" s="30"/>
      <c r="M835" s="30"/>
      <c r="N835" s="30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21"/>
      <c r="K836" s="30"/>
      <c r="L836" s="30"/>
      <c r="M836" s="30"/>
      <c r="N836" s="30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21"/>
      <c r="K837" s="30"/>
      <c r="L837" s="30"/>
      <c r="M837" s="30"/>
      <c r="N837" s="30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21"/>
      <c r="K838" s="30"/>
      <c r="L838" s="30"/>
      <c r="M838" s="30"/>
      <c r="N838" s="30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21"/>
      <c r="K839" s="30"/>
      <c r="L839" s="30"/>
      <c r="M839" s="30"/>
      <c r="N839" s="30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21"/>
      <c r="K840" s="30"/>
      <c r="L840" s="30"/>
      <c r="M840" s="30"/>
      <c r="N840" s="30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21"/>
      <c r="K841" s="30"/>
      <c r="L841" s="30"/>
      <c r="M841" s="30"/>
      <c r="N841" s="30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21"/>
      <c r="K842" s="30"/>
      <c r="L842" s="30"/>
      <c r="M842" s="30"/>
      <c r="N842" s="30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21"/>
      <c r="K843" s="30"/>
      <c r="L843" s="30"/>
      <c r="M843" s="30"/>
      <c r="N843" s="30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21"/>
      <c r="K844" s="30"/>
      <c r="L844" s="30"/>
      <c r="M844" s="30"/>
      <c r="N844" s="30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21"/>
      <c r="K845" s="30"/>
      <c r="L845" s="30"/>
      <c r="M845" s="30"/>
      <c r="N845" s="30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21"/>
      <c r="K846" s="30"/>
      <c r="L846" s="30"/>
      <c r="M846" s="30"/>
      <c r="N846" s="30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21"/>
      <c r="K847" s="30"/>
      <c r="L847" s="30"/>
      <c r="M847" s="30"/>
      <c r="N847" s="30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21"/>
      <c r="K848" s="30"/>
      <c r="L848" s="30"/>
      <c r="M848" s="30"/>
      <c r="N848" s="30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21"/>
      <c r="K849" s="30"/>
      <c r="L849" s="30"/>
      <c r="M849" s="30"/>
      <c r="N849" s="30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21"/>
      <c r="K850" s="30"/>
      <c r="L850" s="30"/>
      <c r="M850" s="30"/>
      <c r="N850" s="30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21"/>
      <c r="K851" s="30"/>
      <c r="L851" s="30"/>
      <c r="M851" s="30"/>
      <c r="N851" s="30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21"/>
      <c r="K852" s="30"/>
      <c r="L852" s="30"/>
      <c r="M852" s="30"/>
      <c r="N852" s="30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21"/>
      <c r="K853" s="30"/>
      <c r="L853" s="30"/>
      <c r="M853" s="30"/>
      <c r="N853" s="30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21"/>
      <c r="K854" s="30"/>
      <c r="L854" s="30"/>
      <c r="M854" s="30"/>
      <c r="N854" s="30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21"/>
      <c r="K855" s="30"/>
      <c r="L855" s="30"/>
      <c r="M855" s="30"/>
      <c r="N855" s="30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21"/>
      <c r="K856" s="30"/>
      <c r="L856" s="30"/>
      <c r="M856" s="30"/>
      <c r="N856" s="30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21"/>
      <c r="K857" s="30"/>
      <c r="L857" s="30"/>
      <c r="M857" s="30"/>
      <c r="N857" s="30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21"/>
      <c r="K858" s="30"/>
      <c r="L858" s="30"/>
      <c r="M858" s="30"/>
      <c r="N858" s="30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21"/>
      <c r="K859" s="30"/>
      <c r="L859" s="30"/>
      <c r="M859" s="30"/>
      <c r="N859" s="30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21"/>
      <c r="K860" s="30"/>
      <c r="L860" s="30"/>
      <c r="M860" s="30"/>
      <c r="N860" s="30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21"/>
      <c r="K861" s="30"/>
      <c r="L861" s="30"/>
      <c r="M861" s="30"/>
      <c r="N861" s="30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21"/>
      <c r="K862" s="30"/>
      <c r="L862" s="30"/>
      <c r="M862" s="30"/>
      <c r="N862" s="30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21"/>
      <c r="K863" s="30"/>
      <c r="L863" s="30"/>
      <c r="M863" s="30"/>
      <c r="N863" s="30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21"/>
      <c r="K864" s="30"/>
      <c r="L864" s="30"/>
      <c r="M864" s="30"/>
      <c r="N864" s="30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21"/>
      <c r="K865" s="30"/>
      <c r="L865" s="30"/>
      <c r="M865" s="30"/>
      <c r="N865" s="30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21"/>
      <c r="K866" s="30"/>
      <c r="L866" s="30"/>
      <c r="M866" s="30"/>
      <c r="N866" s="30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21"/>
      <c r="K867" s="30"/>
      <c r="L867" s="30"/>
      <c r="M867" s="30"/>
      <c r="N867" s="30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21"/>
      <c r="K868" s="30"/>
      <c r="L868" s="30"/>
      <c r="M868" s="30"/>
      <c r="N868" s="30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21"/>
      <c r="K869" s="30"/>
      <c r="L869" s="30"/>
      <c r="M869" s="30"/>
      <c r="N869" s="30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21"/>
      <c r="K870" s="30"/>
      <c r="L870" s="30"/>
      <c r="M870" s="30"/>
      <c r="N870" s="30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21"/>
      <c r="K871" s="30"/>
      <c r="L871" s="30"/>
      <c r="M871" s="30"/>
      <c r="N871" s="30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21"/>
      <c r="K872" s="30"/>
      <c r="L872" s="30"/>
      <c r="M872" s="30"/>
      <c r="N872" s="30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21"/>
      <c r="K873" s="30"/>
      <c r="L873" s="30"/>
      <c r="M873" s="30"/>
      <c r="N873" s="30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21"/>
      <c r="K874" s="30"/>
      <c r="L874" s="30"/>
      <c r="M874" s="30"/>
      <c r="N874" s="30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21"/>
      <c r="K875" s="30"/>
      <c r="L875" s="30"/>
      <c r="M875" s="30"/>
      <c r="N875" s="30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21"/>
      <c r="K876" s="30"/>
      <c r="L876" s="30"/>
      <c r="M876" s="30"/>
      <c r="N876" s="30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21"/>
      <c r="K877" s="30"/>
      <c r="L877" s="30"/>
      <c r="M877" s="30"/>
      <c r="N877" s="30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21"/>
      <c r="K878" s="30"/>
      <c r="L878" s="30"/>
      <c r="M878" s="30"/>
      <c r="N878" s="30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21"/>
      <c r="K879" s="30"/>
      <c r="L879" s="30"/>
      <c r="M879" s="30"/>
      <c r="N879" s="30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21"/>
      <c r="K880" s="30"/>
      <c r="L880" s="30"/>
      <c r="M880" s="30"/>
      <c r="N880" s="30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21"/>
      <c r="K881" s="30"/>
      <c r="L881" s="30"/>
      <c r="M881" s="30"/>
      <c r="N881" s="30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21"/>
      <c r="K882" s="30"/>
      <c r="L882" s="30"/>
      <c r="M882" s="30"/>
      <c r="N882" s="30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21"/>
      <c r="K883" s="30"/>
      <c r="L883" s="30"/>
      <c r="M883" s="30"/>
      <c r="N883" s="30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21"/>
      <c r="K884" s="30"/>
      <c r="L884" s="30"/>
      <c r="M884" s="30"/>
      <c r="N884" s="30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21"/>
      <c r="K885" s="30"/>
      <c r="L885" s="30"/>
      <c r="M885" s="30"/>
      <c r="N885" s="30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21"/>
      <c r="K886" s="30"/>
      <c r="L886" s="30"/>
      <c r="M886" s="30"/>
      <c r="N886" s="30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21"/>
      <c r="K887" s="30"/>
      <c r="L887" s="30"/>
      <c r="M887" s="30"/>
      <c r="N887" s="30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21"/>
      <c r="K888" s="30"/>
      <c r="L888" s="30"/>
      <c r="M888" s="30"/>
      <c r="N888" s="30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21"/>
      <c r="K889" s="30"/>
      <c r="L889" s="30"/>
      <c r="M889" s="30"/>
      <c r="N889" s="30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21"/>
      <c r="K890" s="30"/>
      <c r="L890" s="30"/>
      <c r="M890" s="30"/>
      <c r="N890" s="30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21"/>
      <c r="K891" s="30"/>
      <c r="L891" s="30"/>
      <c r="M891" s="30"/>
      <c r="N891" s="30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21"/>
      <c r="K892" s="30"/>
      <c r="L892" s="30"/>
      <c r="M892" s="30"/>
      <c r="N892" s="30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21"/>
      <c r="K893" s="30"/>
      <c r="L893" s="30"/>
      <c r="M893" s="30"/>
      <c r="N893" s="30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21"/>
      <c r="K894" s="30"/>
      <c r="L894" s="30"/>
      <c r="M894" s="30"/>
      <c r="N894" s="30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21"/>
      <c r="K895" s="30"/>
      <c r="L895" s="30"/>
      <c r="M895" s="30"/>
      <c r="N895" s="30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21"/>
      <c r="K896" s="30"/>
      <c r="L896" s="30"/>
      <c r="M896" s="30"/>
      <c r="N896" s="30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21"/>
      <c r="K897" s="30"/>
      <c r="L897" s="30"/>
      <c r="M897" s="30"/>
      <c r="N897" s="30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21"/>
      <c r="K898" s="30"/>
      <c r="L898" s="30"/>
      <c r="M898" s="30"/>
      <c r="N898" s="30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21"/>
      <c r="K899" s="30"/>
      <c r="L899" s="30"/>
      <c r="M899" s="30"/>
      <c r="N899" s="30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21"/>
      <c r="K900" s="30"/>
      <c r="L900" s="30"/>
      <c r="M900" s="30"/>
      <c r="N900" s="30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21"/>
      <c r="K901" s="30"/>
      <c r="L901" s="30"/>
      <c r="M901" s="30"/>
      <c r="N901" s="30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21"/>
      <c r="K902" s="30"/>
      <c r="L902" s="30"/>
      <c r="M902" s="30"/>
      <c r="N902" s="30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21"/>
      <c r="K903" s="30"/>
      <c r="L903" s="30"/>
      <c r="M903" s="30"/>
      <c r="N903" s="30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21"/>
      <c r="K904" s="30"/>
      <c r="L904" s="30"/>
      <c r="M904" s="30"/>
      <c r="N904" s="30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21"/>
      <c r="K905" s="30"/>
      <c r="L905" s="30"/>
      <c r="M905" s="30"/>
      <c r="N905" s="30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21"/>
      <c r="K906" s="30"/>
      <c r="L906" s="30"/>
      <c r="M906" s="30"/>
      <c r="N906" s="30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21"/>
      <c r="K907" s="30"/>
      <c r="L907" s="30"/>
      <c r="M907" s="30"/>
      <c r="N907" s="30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21"/>
      <c r="K908" s="30"/>
      <c r="L908" s="30"/>
      <c r="M908" s="30"/>
      <c r="N908" s="30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21"/>
      <c r="K909" s="30"/>
      <c r="L909" s="30"/>
      <c r="M909" s="30"/>
      <c r="N909" s="30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21"/>
      <c r="K910" s="30"/>
      <c r="L910" s="30"/>
      <c r="M910" s="30"/>
      <c r="N910" s="30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21"/>
      <c r="K911" s="30"/>
      <c r="L911" s="30"/>
      <c r="M911" s="30"/>
      <c r="N911" s="30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21"/>
      <c r="K912" s="30"/>
      <c r="L912" s="30"/>
      <c r="M912" s="30"/>
      <c r="N912" s="30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21"/>
      <c r="K913" s="30"/>
      <c r="L913" s="30"/>
      <c r="M913" s="30"/>
      <c r="N913" s="30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21"/>
      <c r="K914" s="30"/>
      <c r="L914" s="30"/>
      <c r="M914" s="30"/>
      <c r="N914" s="30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21"/>
      <c r="K915" s="30"/>
      <c r="L915" s="30"/>
      <c r="M915" s="30"/>
      <c r="N915" s="30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21"/>
      <c r="K916" s="30"/>
      <c r="L916" s="30"/>
      <c r="M916" s="30"/>
      <c r="N916" s="30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21"/>
      <c r="K917" s="30"/>
      <c r="L917" s="30"/>
      <c r="M917" s="30"/>
      <c r="N917" s="30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21"/>
      <c r="K918" s="30"/>
      <c r="L918" s="30"/>
      <c r="M918" s="30"/>
      <c r="N918" s="30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21"/>
      <c r="K919" s="30"/>
      <c r="L919" s="30"/>
      <c r="M919" s="30"/>
      <c r="N919" s="30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21"/>
      <c r="K920" s="30"/>
      <c r="L920" s="30"/>
      <c r="M920" s="30"/>
      <c r="N920" s="30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21"/>
      <c r="K921" s="30"/>
      <c r="L921" s="30"/>
      <c r="M921" s="30"/>
      <c r="N921" s="30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21"/>
      <c r="K922" s="30"/>
      <c r="L922" s="30"/>
      <c r="M922" s="30"/>
      <c r="N922" s="30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21"/>
      <c r="K923" s="30"/>
      <c r="L923" s="30"/>
      <c r="M923" s="30"/>
      <c r="N923" s="30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21"/>
      <c r="K924" s="30"/>
      <c r="L924" s="30"/>
      <c r="M924" s="30"/>
      <c r="N924" s="30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21"/>
      <c r="K925" s="30"/>
      <c r="L925" s="30"/>
      <c r="M925" s="30"/>
      <c r="N925" s="30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21"/>
      <c r="K926" s="30"/>
      <c r="L926" s="30"/>
      <c r="M926" s="30"/>
      <c r="N926" s="30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21"/>
      <c r="K927" s="30"/>
      <c r="L927" s="30"/>
      <c r="M927" s="30"/>
      <c r="N927" s="30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21"/>
      <c r="K928" s="30"/>
      <c r="L928" s="30"/>
      <c r="M928" s="30"/>
      <c r="N928" s="30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21"/>
      <c r="K929" s="30"/>
      <c r="L929" s="30"/>
      <c r="M929" s="30"/>
      <c r="N929" s="30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21"/>
      <c r="K930" s="30"/>
      <c r="L930" s="30"/>
      <c r="M930" s="30"/>
      <c r="N930" s="30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21"/>
      <c r="K931" s="30"/>
      <c r="L931" s="30"/>
      <c r="M931" s="30"/>
      <c r="N931" s="30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21"/>
      <c r="K932" s="30"/>
      <c r="L932" s="30"/>
      <c r="M932" s="30"/>
      <c r="N932" s="30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21"/>
      <c r="K933" s="30"/>
      <c r="L933" s="30"/>
      <c r="M933" s="30"/>
      <c r="N933" s="30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21"/>
      <c r="K934" s="30"/>
      <c r="L934" s="30"/>
      <c r="M934" s="30"/>
      <c r="N934" s="30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21"/>
      <c r="K935" s="30"/>
      <c r="L935" s="30"/>
      <c r="M935" s="30"/>
      <c r="N935" s="30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21"/>
      <c r="K936" s="30"/>
      <c r="L936" s="30"/>
      <c r="M936" s="30"/>
      <c r="N936" s="30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21"/>
      <c r="K937" s="30"/>
      <c r="L937" s="30"/>
      <c r="M937" s="30"/>
      <c r="N937" s="30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21"/>
      <c r="K938" s="30"/>
      <c r="L938" s="30"/>
      <c r="M938" s="30"/>
      <c r="N938" s="30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21"/>
      <c r="K939" s="30"/>
      <c r="L939" s="30"/>
      <c r="M939" s="30"/>
      <c r="N939" s="30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21"/>
      <c r="K940" s="30"/>
      <c r="L940" s="30"/>
      <c r="M940" s="30"/>
      <c r="N940" s="30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21"/>
      <c r="K941" s="30"/>
      <c r="L941" s="30"/>
      <c r="M941" s="30"/>
      <c r="N941" s="30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21"/>
      <c r="K942" s="30"/>
      <c r="L942" s="30"/>
      <c r="M942" s="30"/>
      <c r="N942" s="30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21"/>
      <c r="K943" s="30"/>
      <c r="L943" s="30"/>
      <c r="M943" s="30"/>
      <c r="N943" s="30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21"/>
      <c r="K944" s="30"/>
      <c r="L944" s="30"/>
      <c r="M944" s="30"/>
      <c r="N944" s="30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21"/>
      <c r="K945" s="30"/>
      <c r="L945" s="30"/>
      <c r="M945" s="30"/>
      <c r="N945" s="30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21"/>
      <c r="K946" s="30"/>
      <c r="L946" s="30"/>
      <c r="M946" s="30"/>
      <c r="N946" s="30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21"/>
      <c r="K947" s="30"/>
      <c r="L947" s="30"/>
      <c r="M947" s="30"/>
      <c r="N947" s="30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21"/>
      <c r="K948" s="30"/>
      <c r="L948" s="30"/>
      <c r="M948" s="30"/>
      <c r="N948" s="30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21"/>
      <c r="K949" s="30"/>
      <c r="L949" s="30"/>
      <c r="M949" s="30"/>
      <c r="N949" s="30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21"/>
      <c r="K950" s="30"/>
      <c r="L950" s="30"/>
      <c r="M950" s="30"/>
      <c r="N950" s="30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21"/>
      <c r="K951" s="30"/>
      <c r="L951" s="30"/>
      <c r="M951" s="30"/>
      <c r="N951" s="30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21"/>
      <c r="K952" s="30"/>
      <c r="L952" s="30"/>
      <c r="M952" s="30"/>
      <c r="N952" s="30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21"/>
      <c r="K953" s="30"/>
      <c r="L953" s="30"/>
      <c r="M953" s="30"/>
      <c r="N953" s="30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21"/>
      <c r="K954" s="30"/>
      <c r="L954" s="30"/>
      <c r="M954" s="30"/>
      <c r="N954" s="30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21"/>
      <c r="K955" s="30"/>
      <c r="L955" s="30"/>
      <c r="M955" s="30"/>
      <c r="N955" s="30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21"/>
      <c r="K956" s="30"/>
      <c r="L956" s="30"/>
      <c r="M956" s="30"/>
      <c r="N956" s="30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21"/>
      <c r="K957" s="30"/>
      <c r="L957" s="30"/>
      <c r="M957" s="30"/>
      <c r="N957" s="30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21"/>
      <c r="K958" s="30"/>
      <c r="L958" s="30"/>
      <c r="M958" s="30"/>
      <c r="N958" s="30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21"/>
      <c r="K959" s="30"/>
      <c r="L959" s="30"/>
      <c r="M959" s="30"/>
      <c r="N959" s="30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21"/>
      <c r="K960" s="30"/>
      <c r="L960" s="30"/>
      <c r="M960" s="30"/>
      <c r="N960" s="30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21"/>
      <c r="K961" s="30"/>
      <c r="L961" s="30"/>
      <c r="M961" s="30"/>
      <c r="N961" s="30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21"/>
      <c r="K962" s="30"/>
      <c r="L962" s="30"/>
      <c r="M962" s="30"/>
      <c r="N962" s="30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21"/>
      <c r="K963" s="30"/>
      <c r="L963" s="30"/>
      <c r="M963" s="30"/>
      <c r="N963" s="30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21"/>
      <c r="K964" s="30"/>
      <c r="L964" s="30"/>
      <c r="M964" s="30"/>
      <c r="N964" s="30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21"/>
      <c r="K965" s="30"/>
      <c r="L965" s="30"/>
      <c r="M965" s="30"/>
      <c r="N965" s="30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21"/>
      <c r="K966" s="30"/>
      <c r="L966" s="30"/>
      <c r="M966" s="30"/>
      <c r="N966" s="30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21"/>
      <c r="K967" s="30"/>
      <c r="L967" s="30"/>
      <c r="M967" s="30"/>
      <c r="N967" s="30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21"/>
      <c r="K968" s="30"/>
      <c r="L968" s="30"/>
      <c r="M968" s="30"/>
      <c r="N968" s="30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21"/>
      <c r="K969" s="30"/>
      <c r="L969" s="30"/>
      <c r="M969" s="30"/>
      <c r="N969" s="30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21"/>
      <c r="K970" s="30"/>
      <c r="L970" s="30"/>
      <c r="M970" s="30"/>
      <c r="N970" s="30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21"/>
      <c r="K971" s="30"/>
      <c r="L971" s="30"/>
      <c r="M971" s="30"/>
      <c r="N971" s="30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21"/>
      <c r="K972" s="30"/>
      <c r="L972" s="30"/>
      <c r="M972" s="30"/>
      <c r="N972" s="30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21"/>
      <c r="K973" s="30"/>
      <c r="L973" s="30"/>
      <c r="M973" s="30"/>
      <c r="N973" s="30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21"/>
      <c r="K974" s="30"/>
      <c r="L974" s="30"/>
      <c r="M974" s="30"/>
      <c r="N974" s="30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21"/>
      <c r="K975" s="30"/>
      <c r="L975" s="30"/>
      <c r="M975" s="30"/>
      <c r="N975" s="30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21"/>
      <c r="K976" s="30"/>
      <c r="L976" s="30"/>
      <c r="M976" s="30"/>
      <c r="N976" s="30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21"/>
      <c r="K977" s="30"/>
      <c r="L977" s="30"/>
      <c r="M977" s="30"/>
      <c r="N977" s="30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21"/>
      <c r="K978" s="30"/>
      <c r="L978" s="30"/>
      <c r="M978" s="30"/>
      <c r="N978" s="30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21"/>
      <c r="K979" s="30"/>
      <c r="L979" s="30"/>
      <c r="M979" s="30"/>
      <c r="N979" s="30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21"/>
      <c r="K980" s="30"/>
      <c r="L980" s="30"/>
      <c r="M980" s="30"/>
      <c r="N980" s="30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21"/>
      <c r="K981" s="30"/>
      <c r="L981" s="30"/>
      <c r="M981" s="30"/>
      <c r="N981" s="30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21"/>
      <c r="K982" s="30"/>
      <c r="L982" s="30"/>
      <c r="M982" s="30"/>
      <c r="N982" s="30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21"/>
      <c r="K983" s="30"/>
      <c r="L983" s="30"/>
      <c r="M983" s="30"/>
      <c r="N983" s="30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21"/>
      <c r="K984" s="30"/>
      <c r="L984" s="30"/>
      <c r="M984" s="30"/>
      <c r="N984" s="30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21"/>
      <c r="K985" s="30"/>
      <c r="L985" s="30"/>
      <c r="M985" s="30"/>
      <c r="N985" s="30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21"/>
      <c r="K986" s="30"/>
      <c r="L986" s="30"/>
      <c r="M986" s="30"/>
      <c r="N986" s="30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21"/>
      <c r="K987" s="30"/>
      <c r="L987" s="30"/>
      <c r="M987" s="30"/>
      <c r="N987" s="30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21"/>
      <c r="K988" s="30"/>
      <c r="L988" s="30"/>
      <c r="M988" s="30"/>
      <c r="N988" s="30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21"/>
      <c r="K989" s="30"/>
      <c r="L989" s="30"/>
      <c r="M989" s="30"/>
      <c r="N989" s="30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21"/>
      <c r="K990" s="30"/>
      <c r="L990" s="30"/>
      <c r="M990" s="30"/>
      <c r="N990" s="30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21"/>
      <c r="K991" s="30"/>
      <c r="L991" s="30"/>
      <c r="M991" s="30"/>
      <c r="N991" s="30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21"/>
      <c r="K992" s="30"/>
      <c r="L992" s="30"/>
      <c r="M992" s="30"/>
      <c r="N992" s="30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21"/>
      <c r="K993" s="30"/>
      <c r="L993" s="30"/>
      <c r="M993" s="30"/>
      <c r="N993" s="30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21"/>
      <c r="K994" s="30"/>
      <c r="L994" s="30"/>
      <c r="M994" s="30"/>
      <c r="N994" s="30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21"/>
      <c r="K995" s="30"/>
      <c r="L995" s="30"/>
      <c r="M995" s="30"/>
      <c r="N995" s="30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21"/>
      <c r="K996" s="30"/>
      <c r="L996" s="30"/>
      <c r="M996" s="30"/>
      <c r="N996" s="30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21"/>
      <c r="K997" s="30"/>
      <c r="L997" s="30"/>
      <c r="M997" s="30"/>
      <c r="N997" s="30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21"/>
      <c r="K998" s="30"/>
      <c r="L998" s="30"/>
      <c r="M998" s="30"/>
      <c r="N998" s="30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21"/>
      <c r="K999" s="30"/>
      <c r="L999" s="30"/>
      <c r="M999" s="30"/>
      <c r="N999" s="30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21"/>
      <c r="K1000" s="30"/>
      <c r="L1000" s="30"/>
      <c r="M1000" s="30"/>
      <c r="N1000" s="30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sheetData>
    <row r="1">
      <c r="A1" s="80" t="str">
        <f>IFERROR(__xludf.DUMMYFUNCTION("QUERY(Dataset!A:F, ""SELECT A,B,C,D,E,F WHERE A='Colombia' AND F=0"",1)"),"País")</f>
        <v>País</v>
      </c>
      <c r="B1" s="80" t="str">
        <f>IFERROR(__xludf.DUMMYFUNCTION("""COMPUTED_VALUE"""),"Fecha inicio")</f>
        <v>Fecha inicio</v>
      </c>
      <c r="C1" s="80" t="str">
        <f>IFERROR(__xludf.DUMMYFUNCTION("""COMPUTED_VALUE"""),"Fecha fin")</f>
        <v>Fecha fin</v>
      </c>
      <c r="D1" s="80" t="str">
        <f>IFERROR(__xludf.DUMMYFUNCTION("""COMPUTED_VALUE"""),"Semana")</f>
        <v>Semana</v>
      </c>
      <c r="E1" s="80" t="str">
        <f>IFERROR(__xludf.DUMMYFUNCTION("""COMPUTED_VALUE"""),"Total muertes reportadas")</f>
        <v>Total muertes reportadas</v>
      </c>
      <c r="F1" s="80" t="str">
        <f>IFERROR(__xludf.DUMMYFUNCTION("""COMPUTED_VALUE"""),"Total muertes reportadas por covid")</f>
        <v>Total muertes reportadas por covid</v>
      </c>
      <c r="G1" s="81" t="s">
        <v>8</v>
      </c>
      <c r="H1" s="81" t="s">
        <v>19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17" t="str">
        <f>IFERROR(__xludf.DUMMYFUNCTION("""COMPUTED_VALUE"""),"Colombia")</f>
        <v>Colombia</v>
      </c>
      <c r="B2" s="54">
        <f>IFERROR(__xludf.DUMMYFUNCTION("""COMPUTED_VALUE"""),42002.0)</f>
        <v>42002</v>
      </c>
      <c r="C2" s="19">
        <f>IFERROR(__xludf.DUMMYFUNCTION("""COMPUTED_VALUE"""),42008.0)</f>
        <v>42008</v>
      </c>
      <c r="D2" s="17">
        <f>IFERROR(__xludf.DUMMYFUNCTION("""COMPUTED_VALUE"""),1.0)</f>
        <v>1</v>
      </c>
      <c r="E2" s="17">
        <f>IFERROR(__xludf.DUMMYFUNCTION("""COMPUTED_VALUE"""),4746.0)</f>
        <v>4746</v>
      </c>
      <c r="F2" s="17">
        <f>IFERROR(__xludf.DUMMYFUNCTION("""COMPUTED_VALUE"""),0.0)</f>
        <v>0</v>
      </c>
      <c r="G2" s="55">
        <v>1.0</v>
      </c>
      <c r="H2" s="21">
        <f t="shared" ref="H2:H54" si="1">AVERAGEIFS($E$2:$E$273,$D$2:$D$273,G2)</f>
        <v>4853.333333</v>
      </c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tr">
        <f>IFERROR(__xludf.DUMMYFUNCTION("""COMPUTED_VALUE"""),"Colombia")</f>
        <v>Colombia</v>
      </c>
      <c r="B3" s="54">
        <f>IFERROR(__xludf.DUMMYFUNCTION("""COMPUTED_VALUE"""),42009.0)</f>
        <v>42009</v>
      </c>
      <c r="C3" s="19">
        <f>IFERROR(__xludf.DUMMYFUNCTION("""COMPUTED_VALUE"""),42015.0)</f>
        <v>42015</v>
      </c>
      <c r="D3" s="17">
        <f>IFERROR(__xludf.DUMMYFUNCTION("""COMPUTED_VALUE"""),2.0)</f>
        <v>2</v>
      </c>
      <c r="E3" s="17">
        <f>IFERROR(__xludf.DUMMYFUNCTION("""COMPUTED_VALUE"""),4588.0)</f>
        <v>4588</v>
      </c>
      <c r="F3" s="17">
        <f>IFERROR(__xludf.DUMMYFUNCTION("""COMPUTED_VALUE"""),0.0)</f>
        <v>0</v>
      </c>
      <c r="G3" s="55">
        <v>2.0</v>
      </c>
      <c r="H3" s="21">
        <f t="shared" si="1"/>
        <v>4660.666667</v>
      </c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tr">
        <f>IFERROR(__xludf.DUMMYFUNCTION("""COMPUTED_VALUE"""),"Colombia")</f>
        <v>Colombia</v>
      </c>
      <c r="B4" s="54">
        <f>IFERROR(__xludf.DUMMYFUNCTION("""COMPUTED_VALUE"""),42016.0)</f>
        <v>42016</v>
      </c>
      <c r="C4" s="19">
        <f>IFERROR(__xludf.DUMMYFUNCTION("""COMPUTED_VALUE"""),42022.0)</f>
        <v>42022</v>
      </c>
      <c r="D4" s="17">
        <f>IFERROR(__xludf.DUMMYFUNCTION("""COMPUTED_VALUE"""),3.0)</f>
        <v>3</v>
      </c>
      <c r="E4" s="17">
        <f>IFERROR(__xludf.DUMMYFUNCTION("""COMPUTED_VALUE"""),4525.0)</f>
        <v>4525</v>
      </c>
      <c r="F4" s="17">
        <f>IFERROR(__xludf.DUMMYFUNCTION("""COMPUTED_VALUE"""),0.0)</f>
        <v>0</v>
      </c>
      <c r="G4" s="55">
        <v>3.0</v>
      </c>
      <c r="H4" s="21">
        <f t="shared" si="1"/>
        <v>4653.166667</v>
      </c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tr">
        <f>IFERROR(__xludf.DUMMYFUNCTION("""COMPUTED_VALUE"""),"Colombia")</f>
        <v>Colombia</v>
      </c>
      <c r="B5" s="54">
        <f>IFERROR(__xludf.DUMMYFUNCTION("""COMPUTED_VALUE"""),42023.0)</f>
        <v>42023</v>
      </c>
      <c r="C5" s="19">
        <f>IFERROR(__xludf.DUMMYFUNCTION("""COMPUTED_VALUE"""),42029.0)</f>
        <v>42029</v>
      </c>
      <c r="D5" s="17">
        <f>IFERROR(__xludf.DUMMYFUNCTION("""COMPUTED_VALUE"""),4.0)</f>
        <v>4</v>
      </c>
      <c r="E5" s="17">
        <f>IFERROR(__xludf.DUMMYFUNCTION("""COMPUTED_VALUE"""),4280.0)</f>
        <v>4280</v>
      </c>
      <c r="F5" s="17">
        <f>IFERROR(__xludf.DUMMYFUNCTION("""COMPUTED_VALUE"""),0.0)</f>
        <v>0</v>
      </c>
      <c r="G5" s="55">
        <v>4.0</v>
      </c>
      <c r="H5" s="21">
        <f t="shared" si="1"/>
        <v>4519.5</v>
      </c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tr">
        <f>IFERROR(__xludf.DUMMYFUNCTION("""COMPUTED_VALUE"""),"Colombia")</f>
        <v>Colombia</v>
      </c>
      <c r="B6" s="54">
        <f>IFERROR(__xludf.DUMMYFUNCTION("""COMPUTED_VALUE"""),42030.0)</f>
        <v>42030</v>
      </c>
      <c r="C6" s="19">
        <f>IFERROR(__xludf.DUMMYFUNCTION("""COMPUTED_VALUE"""),42036.0)</f>
        <v>42036</v>
      </c>
      <c r="D6" s="17">
        <f>IFERROR(__xludf.DUMMYFUNCTION("""COMPUTED_VALUE"""),5.0)</f>
        <v>5</v>
      </c>
      <c r="E6" s="17">
        <f>IFERROR(__xludf.DUMMYFUNCTION("""COMPUTED_VALUE"""),4185.0)</f>
        <v>4185</v>
      </c>
      <c r="F6" s="17">
        <f>IFERROR(__xludf.DUMMYFUNCTION("""COMPUTED_VALUE"""),0.0)</f>
        <v>0</v>
      </c>
      <c r="G6" s="55">
        <v>5.0</v>
      </c>
      <c r="H6" s="21">
        <f t="shared" si="1"/>
        <v>4406.333333</v>
      </c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tr">
        <f>IFERROR(__xludf.DUMMYFUNCTION("""COMPUTED_VALUE"""),"Colombia")</f>
        <v>Colombia</v>
      </c>
      <c r="B7" s="54">
        <f>IFERROR(__xludf.DUMMYFUNCTION("""COMPUTED_VALUE"""),42037.0)</f>
        <v>42037</v>
      </c>
      <c r="C7" s="19">
        <f>IFERROR(__xludf.DUMMYFUNCTION("""COMPUTED_VALUE"""),42043.0)</f>
        <v>42043</v>
      </c>
      <c r="D7" s="17">
        <f>IFERROR(__xludf.DUMMYFUNCTION("""COMPUTED_VALUE"""),6.0)</f>
        <v>6</v>
      </c>
      <c r="E7" s="17">
        <f>IFERROR(__xludf.DUMMYFUNCTION("""COMPUTED_VALUE"""),4090.0)</f>
        <v>4090</v>
      </c>
      <c r="F7" s="17">
        <f>IFERROR(__xludf.DUMMYFUNCTION("""COMPUTED_VALUE"""),0.0)</f>
        <v>0</v>
      </c>
      <c r="G7" s="55">
        <v>6.0</v>
      </c>
      <c r="H7" s="21">
        <f t="shared" si="1"/>
        <v>4375.166667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tr">
        <f>IFERROR(__xludf.DUMMYFUNCTION("""COMPUTED_VALUE"""),"Colombia")</f>
        <v>Colombia</v>
      </c>
      <c r="B8" s="54">
        <f>IFERROR(__xludf.DUMMYFUNCTION("""COMPUTED_VALUE"""),42044.0)</f>
        <v>42044</v>
      </c>
      <c r="C8" s="19">
        <f>IFERROR(__xludf.DUMMYFUNCTION("""COMPUTED_VALUE"""),42050.0)</f>
        <v>42050</v>
      </c>
      <c r="D8" s="17">
        <f>IFERROR(__xludf.DUMMYFUNCTION("""COMPUTED_VALUE"""),7.0)</f>
        <v>7</v>
      </c>
      <c r="E8" s="17">
        <f>IFERROR(__xludf.DUMMYFUNCTION("""COMPUTED_VALUE"""),4070.0)</f>
        <v>4070</v>
      </c>
      <c r="F8" s="17">
        <f>IFERROR(__xludf.DUMMYFUNCTION("""COMPUTED_VALUE"""),0.0)</f>
        <v>0</v>
      </c>
      <c r="G8" s="55">
        <v>7.0</v>
      </c>
      <c r="H8" s="21">
        <f t="shared" si="1"/>
        <v>4324.5</v>
      </c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tr">
        <f>IFERROR(__xludf.DUMMYFUNCTION("""COMPUTED_VALUE"""),"Colombia")</f>
        <v>Colombia</v>
      </c>
      <c r="B9" s="54">
        <f>IFERROR(__xludf.DUMMYFUNCTION("""COMPUTED_VALUE"""),42051.0)</f>
        <v>42051</v>
      </c>
      <c r="C9" s="19">
        <f>IFERROR(__xludf.DUMMYFUNCTION("""COMPUTED_VALUE"""),42057.0)</f>
        <v>42057</v>
      </c>
      <c r="D9" s="17">
        <f>IFERROR(__xludf.DUMMYFUNCTION("""COMPUTED_VALUE"""),8.0)</f>
        <v>8</v>
      </c>
      <c r="E9" s="17">
        <f>IFERROR(__xludf.DUMMYFUNCTION("""COMPUTED_VALUE"""),4104.0)</f>
        <v>4104</v>
      </c>
      <c r="F9" s="17">
        <f>IFERROR(__xludf.DUMMYFUNCTION("""COMPUTED_VALUE"""),0.0)</f>
        <v>0</v>
      </c>
      <c r="G9" s="55">
        <v>8.0</v>
      </c>
      <c r="H9" s="21">
        <f t="shared" si="1"/>
        <v>4307.333333</v>
      </c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tr">
        <f>IFERROR(__xludf.DUMMYFUNCTION("""COMPUTED_VALUE"""),"Colombia")</f>
        <v>Colombia</v>
      </c>
      <c r="B10" s="54">
        <f>IFERROR(__xludf.DUMMYFUNCTION("""COMPUTED_VALUE"""),42058.0)</f>
        <v>42058</v>
      </c>
      <c r="C10" s="19">
        <f>IFERROR(__xludf.DUMMYFUNCTION("""COMPUTED_VALUE"""),42064.0)</f>
        <v>42064</v>
      </c>
      <c r="D10" s="17">
        <f>IFERROR(__xludf.DUMMYFUNCTION("""COMPUTED_VALUE"""),9.0)</f>
        <v>9</v>
      </c>
      <c r="E10" s="17">
        <f>IFERROR(__xludf.DUMMYFUNCTION("""COMPUTED_VALUE"""),4137.0)</f>
        <v>4137</v>
      </c>
      <c r="F10" s="17">
        <f>IFERROR(__xludf.DUMMYFUNCTION("""COMPUTED_VALUE"""),0.0)</f>
        <v>0</v>
      </c>
      <c r="G10" s="55">
        <v>9.0</v>
      </c>
      <c r="H10" s="21">
        <f t="shared" si="1"/>
        <v>4312</v>
      </c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tr">
        <f>IFERROR(__xludf.DUMMYFUNCTION("""COMPUTED_VALUE"""),"Colombia")</f>
        <v>Colombia</v>
      </c>
      <c r="B11" s="54">
        <f>IFERROR(__xludf.DUMMYFUNCTION("""COMPUTED_VALUE"""),42065.0)</f>
        <v>42065</v>
      </c>
      <c r="C11" s="19">
        <f>IFERROR(__xludf.DUMMYFUNCTION("""COMPUTED_VALUE"""),42071.0)</f>
        <v>42071</v>
      </c>
      <c r="D11" s="17">
        <f>IFERROR(__xludf.DUMMYFUNCTION("""COMPUTED_VALUE"""),10.0)</f>
        <v>10</v>
      </c>
      <c r="E11" s="17">
        <f>IFERROR(__xludf.DUMMYFUNCTION("""COMPUTED_VALUE"""),4109.0)</f>
        <v>4109</v>
      </c>
      <c r="F11" s="17">
        <f>IFERROR(__xludf.DUMMYFUNCTION("""COMPUTED_VALUE"""),0.0)</f>
        <v>0</v>
      </c>
      <c r="G11" s="55">
        <v>10.0</v>
      </c>
      <c r="H11" s="21">
        <f t="shared" si="1"/>
        <v>4341.666667</v>
      </c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tr">
        <f>IFERROR(__xludf.DUMMYFUNCTION("""COMPUTED_VALUE"""),"Colombia")</f>
        <v>Colombia</v>
      </c>
      <c r="B12" s="54">
        <f>IFERROR(__xludf.DUMMYFUNCTION("""COMPUTED_VALUE"""),42072.0)</f>
        <v>42072</v>
      </c>
      <c r="C12" s="19">
        <f>IFERROR(__xludf.DUMMYFUNCTION("""COMPUTED_VALUE"""),42078.0)</f>
        <v>42078</v>
      </c>
      <c r="D12" s="17">
        <f>IFERROR(__xludf.DUMMYFUNCTION("""COMPUTED_VALUE"""),11.0)</f>
        <v>11</v>
      </c>
      <c r="E12" s="17">
        <f>IFERROR(__xludf.DUMMYFUNCTION("""COMPUTED_VALUE"""),4265.0)</f>
        <v>4265</v>
      </c>
      <c r="F12" s="17">
        <f>IFERROR(__xludf.DUMMYFUNCTION("""COMPUTED_VALUE"""),0.0)</f>
        <v>0</v>
      </c>
      <c r="G12" s="55">
        <v>11.0</v>
      </c>
      <c r="H12" s="21">
        <f t="shared" si="1"/>
        <v>4366</v>
      </c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tr">
        <f>IFERROR(__xludf.DUMMYFUNCTION("""COMPUTED_VALUE"""),"Colombia")</f>
        <v>Colombia</v>
      </c>
      <c r="B13" s="54">
        <f>IFERROR(__xludf.DUMMYFUNCTION("""COMPUTED_VALUE"""),42079.0)</f>
        <v>42079</v>
      </c>
      <c r="C13" s="19">
        <f>IFERROR(__xludf.DUMMYFUNCTION("""COMPUTED_VALUE"""),42085.0)</f>
        <v>42085</v>
      </c>
      <c r="D13" s="17">
        <f>IFERROR(__xludf.DUMMYFUNCTION("""COMPUTED_VALUE"""),12.0)</f>
        <v>12</v>
      </c>
      <c r="E13" s="17">
        <f>IFERROR(__xludf.DUMMYFUNCTION("""COMPUTED_VALUE"""),4071.0)</f>
        <v>4071</v>
      </c>
      <c r="F13" s="17">
        <f>IFERROR(__xludf.DUMMYFUNCTION("""COMPUTED_VALUE"""),0.0)</f>
        <v>0</v>
      </c>
      <c r="G13" s="55">
        <v>12.0</v>
      </c>
      <c r="H13" s="21">
        <f t="shared" si="1"/>
        <v>4296.8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tr">
        <f>IFERROR(__xludf.DUMMYFUNCTION("""COMPUTED_VALUE"""),"Colombia")</f>
        <v>Colombia</v>
      </c>
      <c r="B14" s="54">
        <f>IFERROR(__xludf.DUMMYFUNCTION("""COMPUTED_VALUE"""),42086.0)</f>
        <v>42086</v>
      </c>
      <c r="C14" s="19">
        <f>IFERROR(__xludf.DUMMYFUNCTION("""COMPUTED_VALUE"""),42092.0)</f>
        <v>42092</v>
      </c>
      <c r="D14" s="17">
        <f>IFERROR(__xludf.DUMMYFUNCTION("""COMPUTED_VALUE"""),13.0)</f>
        <v>13</v>
      </c>
      <c r="E14" s="17">
        <f>IFERROR(__xludf.DUMMYFUNCTION("""COMPUTED_VALUE"""),4192.0)</f>
        <v>4192</v>
      </c>
      <c r="F14" s="17">
        <f>IFERROR(__xludf.DUMMYFUNCTION("""COMPUTED_VALUE"""),0.0)</f>
        <v>0</v>
      </c>
      <c r="G14" s="55">
        <v>13.0</v>
      </c>
      <c r="H14" s="21">
        <f t="shared" si="1"/>
        <v>4316.4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tr">
        <f>IFERROR(__xludf.DUMMYFUNCTION("""COMPUTED_VALUE"""),"Colombia")</f>
        <v>Colombia</v>
      </c>
      <c r="B15" s="54">
        <f>IFERROR(__xludf.DUMMYFUNCTION("""COMPUTED_VALUE"""),42093.0)</f>
        <v>42093</v>
      </c>
      <c r="C15" s="19">
        <f>IFERROR(__xludf.DUMMYFUNCTION("""COMPUTED_VALUE"""),42099.0)</f>
        <v>42099</v>
      </c>
      <c r="D15" s="17">
        <f>IFERROR(__xludf.DUMMYFUNCTION("""COMPUTED_VALUE"""),14.0)</f>
        <v>14</v>
      </c>
      <c r="E15" s="17">
        <f>IFERROR(__xludf.DUMMYFUNCTION("""COMPUTED_VALUE"""),4067.0)</f>
        <v>4067</v>
      </c>
      <c r="F15" s="17">
        <f>IFERROR(__xludf.DUMMYFUNCTION("""COMPUTED_VALUE"""),0.0)</f>
        <v>0</v>
      </c>
      <c r="G15" s="55">
        <v>14.0</v>
      </c>
      <c r="H15" s="21">
        <f t="shared" si="1"/>
        <v>4278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tr">
        <f>IFERROR(__xludf.DUMMYFUNCTION("""COMPUTED_VALUE"""),"Colombia")</f>
        <v>Colombia</v>
      </c>
      <c r="B16" s="54">
        <f>IFERROR(__xludf.DUMMYFUNCTION("""COMPUTED_VALUE"""),42100.0)</f>
        <v>42100</v>
      </c>
      <c r="C16" s="19">
        <f>IFERROR(__xludf.DUMMYFUNCTION("""COMPUTED_VALUE"""),42106.0)</f>
        <v>42106</v>
      </c>
      <c r="D16" s="17">
        <f>IFERROR(__xludf.DUMMYFUNCTION("""COMPUTED_VALUE"""),15.0)</f>
        <v>15</v>
      </c>
      <c r="E16" s="17">
        <f>IFERROR(__xludf.DUMMYFUNCTION("""COMPUTED_VALUE"""),4059.0)</f>
        <v>4059</v>
      </c>
      <c r="F16" s="17">
        <f>IFERROR(__xludf.DUMMYFUNCTION("""COMPUTED_VALUE"""),0.0)</f>
        <v>0</v>
      </c>
      <c r="G16" s="55">
        <v>15.0</v>
      </c>
      <c r="H16" s="21">
        <f t="shared" si="1"/>
        <v>4255</v>
      </c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tr">
        <f>IFERROR(__xludf.DUMMYFUNCTION("""COMPUTED_VALUE"""),"Colombia")</f>
        <v>Colombia</v>
      </c>
      <c r="B17" s="54">
        <f>IFERROR(__xludf.DUMMYFUNCTION("""COMPUTED_VALUE"""),42107.0)</f>
        <v>42107</v>
      </c>
      <c r="C17" s="19">
        <f>IFERROR(__xludf.DUMMYFUNCTION("""COMPUTED_VALUE"""),42113.0)</f>
        <v>42113</v>
      </c>
      <c r="D17" s="17">
        <f>IFERROR(__xludf.DUMMYFUNCTION("""COMPUTED_VALUE"""),16.0)</f>
        <v>16</v>
      </c>
      <c r="E17" s="17">
        <f>IFERROR(__xludf.DUMMYFUNCTION("""COMPUTED_VALUE"""),4063.0)</f>
        <v>4063</v>
      </c>
      <c r="F17" s="17">
        <f>IFERROR(__xludf.DUMMYFUNCTION("""COMPUTED_VALUE"""),0.0)</f>
        <v>0</v>
      </c>
      <c r="G17" s="55">
        <v>16.0</v>
      </c>
      <c r="H17" s="21">
        <f t="shared" si="1"/>
        <v>4262.8</v>
      </c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tr">
        <f>IFERROR(__xludf.DUMMYFUNCTION("""COMPUTED_VALUE"""),"Colombia")</f>
        <v>Colombia</v>
      </c>
      <c r="B18" s="54">
        <f>IFERROR(__xludf.DUMMYFUNCTION("""COMPUTED_VALUE"""),42114.0)</f>
        <v>42114</v>
      </c>
      <c r="C18" s="19">
        <f>IFERROR(__xludf.DUMMYFUNCTION("""COMPUTED_VALUE"""),42120.0)</f>
        <v>42120</v>
      </c>
      <c r="D18" s="17">
        <f>IFERROR(__xludf.DUMMYFUNCTION("""COMPUTED_VALUE"""),17.0)</f>
        <v>17</v>
      </c>
      <c r="E18" s="17">
        <f>IFERROR(__xludf.DUMMYFUNCTION("""COMPUTED_VALUE"""),4042.0)</f>
        <v>4042</v>
      </c>
      <c r="F18" s="17">
        <f>IFERROR(__xludf.DUMMYFUNCTION("""COMPUTED_VALUE"""),0.0)</f>
        <v>0</v>
      </c>
      <c r="G18" s="55">
        <v>17.0</v>
      </c>
      <c r="H18" s="21">
        <f t="shared" si="1"/>
        <v>4263</v>
      </c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tr">
        <f>IFERROR(__xludf.DUMMYFUNCTION("""COMPUTED_VALUE"""),"Colombia")</f>
        <v>Colombia</v>
      </c>
      <c r="B19" s="54">
        <f>IFERROR(__xludf.DUMMYFUNCTION("""COMPUTED_VALUE"""),42121.0)</f>
        <v>42121</v>
      </c>
      <c r="C19" s="19">
        <f>IFERROR(__xludf.DUMMYFUNCTION("""COMPUTED_VALUE"""),42127.0)</f>
        <v>42127</v>
      </c>
      <c r="D19" s="17">
        <f>IFERROR(__xludf.DUMMYFUNCTION("""COMPUTED_VALUE"""),18.0)</f>
        <v>18</v>
      </c>
      <c r="E19" s="17">
        <f>IFERROR(__xludf.DUMMYFUNCTION("""COMPUTED_VALUE"""),4186.0)</f>
        <v>4186</v>
      </c>
      <c r="F19" s="17">
        <f>IFERROR(__xludf.DUMMYFUNCTION("""COMPUTED_VALUE"""),0.0)</f>
        <v>0</v>
      </c>
      <c r="G19" s="55">
        <v>18.0</v>
      </c>
      <c r="H19" s="21">
        <f t="shared" si="1"/>
        <v>4331.2</v>
      </c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tr">
        <f>IFERROR(__xludf.DUMMYFUNCTION("""COMPUTED_VALUE"""),"Colombia")</f>
        <v>Colombia</v>
      </c>
      <c r="B20" s="54">
        <f>IFERROR(__xludf.DUMMYFUNCTION("""COMPUTED_VALUE"""),42128.0)</f>
        <v>42128</v>
      </c>
      <c r="C20" s="19">
        <f>IFERROR(__xludf.DUMMYFUNCTION("""COMPUTED_VALUE"""),42134.0)</f>
        <v>42134</v>
      </c>
      <c r="D20" s="17">
        <f>IFERROR(__xludf.DUMMYFUNCTION("""COMPUTED_VALUE"""),19.0)</f>
        <v>19</v>
      </c>
      <c r="E20" s="17">
        <f>IFERROR(__xludf.DUMMYFUNCTION("""COMPUTED_VALUE"""),4241.0)</f>
        <v>4241</v>
      </c>
      <c r="F20" s="17">
        <f>IFERROR(__xludf.DUMMYFUNCTION("""COMPUTED_VALUE"""),0.0)</f>
        <v>0</v>
      </c>
      <c r="G20" s="55">
        <v>19.0</v>
      </c>
      <c r="H20" s="21">
        <f t="shared" si="1"/>
        <v>4368.2</v>
      </c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tr">
        <f>IFERROR(__xludf.DUMMYFUNCTION("""COMPUTED_VALUE"""),"Colombia")</f>
        <v>Colombia</v>
      </c>
      <c r="B21" s="54">
        <f>IFERROR(__xludf.DUMMYFUNCTION("""COMPUTED_VALUE"""),42135.0)</f>
        <v>42135</v>
      </c>
      <c r="C21" s="19">
        <f>IFERROR(__xludf.DUMMYFUNCTION("""COMPUTED_VALUE"""),42141.0)</f>
        <v>42141</v>
      </c>
      <c r="D21" s="17">
        <f>IFERROR(__xludf.DUMMYFUNCTION("""COMPUTED_VALUE"""),20.0)</f>
        <v>20</v>
      </c>
      <c r="E21" s="17">
        <f>IFERROR(__xludf.DUMMYFUNCTION("""COMPUTED_VALUE"""),4277.0)</f>
        <v>4277</v>
      </c>
      <c r="F21" s="17">
        <f>IFERROR(__xludf.DUMMYFUNCTION("""COMPUTED_VALUE"""),0.0)</f>
        <v>0</v>
      </c>
      <c r="G21" s="55">
        <v>20.0</v>
      </c>
      <c r="H21" s="21">
        <f t="shared" si="1"/>
        <v>4518.8</v>
      </c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tr">
        <f>IFERROR(__xludf.DUMMYFUNCTION("""COMPUTED_VALUE"""),"Colombia")</f>
        <v>Colombia</v>
      </c>
      <c r="B22" s="54">
        <f>IFERROR(__xludf.DUMMYFUNCTION("""COMPUTED_VALUE"""),42142.0)</f>
        <v>42142</v>
      </c>
      <c r="C22" s="19">
        <f>IFERROR(__xludf.DUMMYFUNCTION("""COMPUTED_VALUE"""),42148.0)</f>
        <v>42148</v>
      </c>
      <c r="D22" s="17">
        <f>IFERROR(__xludf.DUMMYFUNCTION("""COMPUTED_VALUE"""),21.0)</f>
        <v>21</v>
      </c>
      <c r="E22" s="17">
        <f>IFERROR(__xludf.DUMMYFUNCTION("""COMPUTED_VALUE"""),4165.0)</f>
        <v>4165</v>
      </c>
      <c r="F22" s="17">
        <f>IFERROR(__xludf.DUMMYFUNCTION("""COMPUTED_VALUE"""),0.0)</f>
        <v>0</v>
      </c>
      <c r="G22" s="55">
        <v>21.0</v>
      </c>
      <c r="H22" s="21">
        <f t="shared" si="1"/>
        <v>4478.2</v>
      </c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tr">
        <f>IFERROR(__xludf.DUMMYFUNCTION("""COMPUTED_VALUE"""),"Colombia")</f>
        <v>Colombia</v>
      </c>
      <c r="B23" s="54">
        <f>IFERROR(__xludf.DUMMYFUNCTION("""COMPUTED_VALUE"""),42149.0)</f>
        <v>42149</v>
      </c>
      <c r="C23" s="19">
        <f>IFERROR(__xludf.DUMMYFUNCTION("""COMPUTED_VALUE"""),42155.0)</f>
        <v>42155</v>
      </c>
      <c r="D23" s="17">
        <f>IFERROR(__xludf.DUMMYFUNCTION("""COMPUTED_VALUE"""),22.0)</f>
        <v>22</v>
      </c>
      <c r="E23" s="17">
        <f>IFERROR(__xludf.DUMMYFUNCTION("""COMPUTED_VALUE"""),4024.0)</f>
        <v>4024</v>
      </c>
      <c r="F23" s="17">
        <f>IFERROR(__xludf.DUMMYFUNCTION("""COMPUTED_VALUE"""),0.0)</f>
        <v>0</v>
      </c>
      <c r="G23" s="55">
        <v>22.0</v>
      </c>
      <c r="H23" s="21">
        <f t="shared" si="1"/>
        <v>4485</v>
      </c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tr">
        <f>IFERROR(__xludf.DUMMYFUNCTION("""COMPUTED_VALUE"""),"Colombia")</f>
        <v>Colombia</v>
      </c>
      <c r="B24" s="54">
        <f>IFERROR(__xludf.DUMMYFUNCTION("""COMPUTED_VALUE"""),42156.0)</f>
        <v>42156</v>
      </c>
      <c r="C24" s="19">
        <f>IFERROR(__xludf.DUMMYFUNCTION("""COMPUTED_VALUE"""),42162.0)</f>
        <v>42162</v>
      </c>
      <c r="D24" s="17">
        <f>IFERROR(__xludf.DUMMYFUNCTION("""COMPUTED_VALUE"""),23.0)</f>
        <v>23</v>
      </c>
      <c r="E24" s="17">
        <f>IFERROR(__xludf.DUMMYFUNCTION("""COMPUTED_VALUE"""),4102.0)</f>
        <v>4102</v>
      </c>
      <c r="F24" s="17">
        <f>IFERROR(__xludf.DUMMYFUNCTION("""COMPUTED_VALUE"""),0.0)</f>
        <v>0</v>
      </c>
      <c r="G24" s="55">
        <v>23.0</v>
      </c>
      <c r="H24" s="21">
        <f t="shared" si="1"/>
        <v>4542.6</v>
      </c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tr">
        <f>IFERROR(__xludf.DUMMYFUNCTION("""COMPUTED_VALUE"""),"Colombia")</f>
        <v>Colombia</v>
      </c>
      <c r="B25" s="54">
        <f>IFERROR(__xludf.DUMMYFUNCTION("""COMPUTED_VALUE"""),42163.0)</f>
        <v>42163</v>
      </c>
      <c r="C25" s="19">
        <f>IFERROR(__xludf.DUMMYFUNCTION("""COMPUTED_VALUE"""),42169.0)</f>
        <v>42169</v>
      </c>
      <c r="D25" s="17">
        <f>IFERROR(__xludf.DUMMYFUNCTION("""COMPUTED_VALUE"""),24.0)</f>
        <v>24</v>
      </c>
      <c r="E25" s="17">
        <f>IFERROR(__xludf.DUMMYFUNCTION("""COMPUTED_VALUE"""),4142.0)</f>
        <v>4142</v>
      </c>
      <c r="F25" s="17">
        <f>IFERROR(__xludf.DUMMYFUNCTION("""COMPUTED_VALUE"""),0.0)</f>
        <v>0</v>
      </c>
      <c r="G25" s="55">
        <v>24.0</v>
      </c>
      <c r="H25" s="21">
        <f t="shared" si="1"/>
        <v>4514.8</v>
      </c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tr">
        <f>IFERROR(__xludf.DUMMYFUNCTION("""COMPUTED_VALUE"""),"Colombia")</f>
        <v>Colombia</v>
      </c>
      <c r="B26" s="54">
        <f>IFERROR(__xludf.DUMMYFUNCTION("""COMPUTED_VALUE"""),42170.0)</f>
        <v>42170</v>
      </c>
      <c r="C26" s="19">
        <f>IFERROR(__xludf.DUMMYFUNCTION("""COMPUTED_VALUE"""),42176.0)</f>
        <v>42176</v>
      </c>
      <c r="D26" s="17">
        <f>IFERROR(__xludf.DUMMYFUNCTION("""COMPUTED_VALUE"""),25.0)</f>
        <v>25</v>
      </c>
      <c r="E26" s="17">
        <f>IFERROR(__xludf.DUMMYFUNCTION("""COMPUTED_VALUE"""),4284.0)</f>
        <v>4284</v>
      </c>
      <c r="F26" s="17">
        <f>IFERROR(__xludf.DUMMYFUNCTION("""COMPUTED_VALUE"""),0.0)</f>
        <v>0</v>
      </c>
      <c r="G26" s="55">
        <v>25.0</v>
      </c>
      <c r="H26" s="21">
        <f t="shared" si="1"/>
        <v>4554.6</v>
      </c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tr">
        <f>IFERROR(__xludf.DUMMYFUNCTION("""COMPUTED_VALUE"""),"Colombia")</f>
        <v>Colombia</v>
      </c>
      <c r="B27" s="54">
        <f>IFERROR(__xludf.DUMMYFUNCTION("""COMPUTED_VALUE"""),42177.0)</f>
        <v>42177</v>
      </c>
      <c r="C27" s="19">
        <f>IFERROR(__xludf.DUMMYFUNCTION("""COMPUTED_VALUE"""),42183.0)</f>
        <v>42183</v>
      </c>
      <c r="D27" s="17">
        <f>IFERROR(__xludf.DUMMYFUNCTION("""COMPUTED_VALUE"""),26.0)</f>
        <v>26</v>
      </c>
      <c r="E27" s="17">
        <f>IFERROR(__xludf.DUMMYFUNCTION("""COMPUTED_VALUE"""),4343.0)</f>
        <v>4343</v>
      </c>
      <c r="F27" s="17">
        <f>IFERROR(__xludf.DUMMYFUNCTION("""COMPUTED_VALUE"""),0.0)</f>
        <v>0</v>
      </c>
      <c r="G27" s="55">
        <v>26.0</v>
      </c>
      <c r="H27" s="21">
        <f t="shared" si="1"/>
        <v>4592</v>
      </c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tr">
        <f>IFERROR(__xludf.DUMMYFUNCTION("""COMPUTED_VALUE"""),"Colombia")</f>
        <v>Colombia</v>
      </c>
      <c r="B28" s="54">
        <f>IFERROR(__xludf.DUMMYFUNCTION("""COMPUTED_VALUE"""),42184.0)</f>
        <v>42184</v>
      </c>
      <c r="C28" s="19">
        <f>IFERROR(__xludf.DUMMYFUNCTION("""COMPUTED_VALUE"""),42190.0)</f>
        <v>42190</v>
      </c>
      <c r="D28" s="17">
        <f>IFERROR(__xludf.DUMMYFUNCTION("""COMPUTED_VALUE"""),27.0)</f>
        <v>27</v>
      </c>
      <c r="E28" s="17">
        <f>IFERROR(__xludf.DUMMYFUNCTION("""COMPUTED_VALUE"""),4369.0)</f>
        <v>4369</v>
      </c>
      <c r="F28" s="17">
        <f>IFERROR(__xludf.DUMMYFUNCTION("""COMPUTED_VALUE"""),0.0)</f>
        <v>0</v>
      </c>
      <c r="G28" s="55">
        <v>27.0</v>
      </c>
      <c r="H28" s="21">
        <f t="shared" si="1"/>
        <v>4567</v>
      </c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tr">
        <f>IFERROR(__xludf.DUMMYFUNCTION("""COMPUTED_VALUE"""),"Colombia")</f>
        <v>Colombia</v>
      </c>
      <c r="B29" s="54">
        <f>IFERROR(__xludf.DUMMYFUNCTION("""COMPUTED_VALUE"""),42191.0)</f>
        <v>42191</v>
      </c>
      <c r="C29" s="19">
        <f>IFERROR(__xludf.DUMMYFUNCTION("""COMPUTED_VALUE"""),42197.0)</f>
        <v>42197</v>
      </c>
      <c r="D29" s="17">
        <f>IFERROR(__xludf.DUMMYFUNCTION("""COMPUTED_VALUE"""),28.0)</f>
        <v>28</v>
      </c>
      <c r="E29" s="17">
        <f>IFERROR(__xludf.DUMMYFUNCTION("""COMPUTED_VALUE"""),4334.0)</f>
        <v>4334</v>
      </c>
      <c r="F29" s="17">
        <f>IFERROR(__xludf.DUMMYFUNCTION("""COMPUTED_VALUE"""),0.0)</f>
        <v>0</v>
      </c>
      <c r="G29" s="55">
        <v>28.0</v>
      </c>
      <c r="H29" s="21">
        <f t="shared" si="1"/>
        <v>4543.6</v>
      </c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tr">
        <f>IFERROR(__xludf.DUMMYFUNCTION("""COMPUTED_VALUE"""),"Colombia")</f>
        <v>Colombia</v>
      </c>
      <c r="B30" s="54">
        <f>IFERROR(__xludf.DUMMYFUNCTION("""COMPUTED_VALUE"""),42198.0)</f>
        <v>42198</v>
      </c>
      <c r="C30" s="19">
        <f>IFERROR(__xludf.DUMMYFUNCTION("""COMPUTED_VALUE"""),42204.0)</f>
        <v>42204</v>
      </c>
      <c r="D30" s="17">
        <f>IFERROR(__xludf.DUMMYFUNCTION("""COMPUTED_VALUE"""),29.0)</f>
        <v>29</v>
      </c>
      <c r="E30" s="17">
        <f>IFERROR(__xludf.DUMMYFUNCTION("""COMPUTED_VALUE"""),4139.0)</f>
        <v>4139</v>
      </c>
      <c r="F30" s="17">
        <f>IFERROR(__xludf.DUMMYFUNCTION("""COMPUTED_VALUE"""),0.0)</f>
        <v>0</v>
      </c>
      <c r="G30" s="55">
        <v>29.0</v>
      </c>
      <c r="H30" s="21">
        <f t="shared" si="1"/>
        <v>4444.8</v>
      </c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tr">
        <f>IFERROR(__xludf.DUMMYFUNCTION("""COMPUTED_VALUE"""),"Colombia")</f>
        <v>Colombia</v>
      </c>
      <c r="B31" s="54">
        <f>IFERROR(__xludf.DUMMYFUNCTION("""COMPUTED_VALUE"""),42205.0)</f>
        <v>42205</v>
      </c>
      <c r="C31" s="19">
        <f>IFERROR(__xludf.DUMMYFUNCTION("""COMPUTED_VALUE"""),42211.0)</f>
        <v>42211</v>
      </c>
      <c r="D31" s="17">
        <f>IFERROR(__xludf.DUMMYFUNCTION("""COMPUTED_VALUE"""),30.0)</f>
        <v>30</v>
      </c>
      <c r="E31" s="17">
        <f>IFERROR(__xludf.DUMMYFUNCTION("""COMPUTED_VALUE"""),3970.0)</f>
        <v>3970</v>
      </c>
      <c r="F31" s="17">
        <f>IFERROR(__xludf.DUMMYFUNCTION("""COMPUTED_VALUE"""),0.0)</f>
        <v>0</v>
      </c>
      <c r="G31" s="55">
        <v>30.0</v>
      </c>
      <c r="H31" s="21">
        <f t="shared" si="1"/>
        <v>4322.2</v>
      </c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tr">
        <f>IFERROR(__xludf.DUMMYFUNCTION("""COMPUTED_VALUE"""),"Colombia")</f>
        <v>Colombia</v>
      </c>
      <c r="B32" s="54">
        <f>IFERROR(__xludf.DUMMYFUNCTION("""COMPUTED_VALUE"""),42212.0)</f>
        <v>42212</v>
      </c>
      <c r="C32" s="19">
        <f>IFERROR(__xludf.DUMMYFUNCTION("""COMPUTED_VALUE"""),42218.0)</f>
        <v>42218</v>
      </c>
      <c r="D32" s="17">
        <f>IFERROR(__xludf.DUMMYFUNCTION("""COMPUTED_VALUE"""),31.0)</f>
        <v>31</v>
      </c>
      <c r="E32" s="17">
        <f>IFERROR(__xludf.DUMMYFUNCTION("""COMPUTED_VALUE"""),4069.0)</f>
        <v>4069</v>
      </c>
      <c r="F32" s="17">
        <f>IFERROR(__xludf.DUMMYFUNCTION("""COMPUTED_VALUE"""),0.0)</f>
        <v>0</v>
      </c>
      <c r="G32" s="55">
        <v>31.0</v>
      </c>
      <c r="H32" s="21">
        <f t="shared" si="1"/>
        <v>4363.8</v>
      </c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tr">
        <f>IFERROR(__xludf.DUMMYFUNCTION("""COMPUTED_VALUE"""),"Colombia")</f>
        <v>Colombia</v>
      </c>
      <c r="B33" s="54">
        <f>IFERROR(__xludf.DUMMYFUNCTION("""COMPUTED_VALUE"""),42219.0)</f>
        <v>42219</v>
      </c>
      <c r="C33" s="19">
        <f>IFERROR(__xludf.DUMMYFUNCTION("""COMPUTED_VALUE"""),42225.0)</f>
        <v>42225</v>
      </c>
      <c r="D33" s="17">
        <f>IFERROR(__xludf.DUMMYFUNCTION("""COMPUTED_VALUE"""),32.0)</f>
        <v>32</v>
      </c>
      <c r="E33" s="17">
        <f>IFERROR(__xludf.DUMMYFUNCTION("""COMPUTED_VALUE"""),4296.0)</f>
        <v>4296</v>
      </c>
      <c r="F33" s="17">
        <f>IFERROR(__xludf.DUMMYFUNCTION("""COMPUTED_VALUE"""),0.0)</f>
        <v>0</v>
      </c>
      <c r="G33" s="55">
        <v>32.0</v>
      </c>
      <c r="H33" s="21">
        <f t="shared" si="1"/>
        <v>4442.8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tr">
        <f>IFERROR(__xludf.DUMMYFUNCTION("""COMPUTED_VALUE"""),"Colombia")</f>
        <v>Colombia</v>
      </c>
      <c r="B34" s="54">
        <f>IFERROR(__xludf.DUMMYFUNCTION("""COMPUTED_VALUE"""),42226.0)</f>
        <v>42226</v>
      </c>
      <c r="C34" s="19">
        <f>IFERROR(__xludf.DUMMYFUNCTION("""COMPUTED_VALUE"""),42232.0)</f>
        <v>42232</v>
      </c>
      <c r="D34" s="17">
        <f>IFERROR(__xludf.DUMMYFUNCTION("""COMPUTED_VALUE"""),33.0)</f>
        <v>33</v>
      </c>
      <c r="E34" s="17">
        <f>IFERROR(__xludf.DUMMYFUNCTION("""COMPUTED_VALUE"""),4101.0)</f>
        <v>4101</v>
      </c>
      <c r="F34" s="17">
        <f>IFERROR(__xludf.DUMMYFUNCTION("""COMPUTED_VALUE"""),0.0)</f>
        <v>0</v>
      </c>
      <c r="G34" s="55">
        <v>33.0</v>
      </c>
      <c r="H34" s="21">
        <f t="shared" si="1"/>
        <v>4399.2</v>
      </c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tr">
        <f>IFERROR(__xludf.DUMMYFUNCTION("""COMPUTED_VALUE"""),"Colombia")</f>
        <v>Colombia</v>
      </c>
      <c r="B35" s="54">
        <f>IFERROR(__xludf.DUMMYFUNCTION("""COMPUTED_VALUE"""),42233.0)</f>
        <v>42233</v>
      </c>
      <c r="C35" s="19">
        <f>IFERROR(__xludf.DUMMYFUNCTION("""COMPUTED_VALUE"""),42239.0)</f>
        <v>42239</v>
      </c>
      <c r="D35" s="17">
        <f>IFERROR(__xludf.DUMMYFUNCTION("""COMPUTED_VALUE"""),34.0)</f>
        <v>34</v>
      </c>
      <c r="E35" s="17">
        <f>IFERROR(__xludf.DUMMYFUNCTION("""COMPUTED_VALUE"""),4000.0)</f>
        <v>4000</v>
      </c>
      <c r="F35" s="17">
        <f>IFERROR(__xludf.DUMMYFUNCTION("""COMPUTED_VALUE"""),0.0)</f>
        <v>0</v>
      </c>
      <c r="G35" s="55">
        <v>34.0</v>
      </c>
      <c r="H35" s="21">
        <f t="shared" si="1"/>
        <v>4336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tr">
        <f>IFERROR(__xludf.DUMMYFUNCTION("""COMPUTED_VALUE"""),"Colombia")</f>
        <v>Colombia</v>
      </c>
      <c r="B36" s="54">
        <f>IFERROR(__xludf.DUMMYFUNCTION("""COMPUTED_VALUE"""),42240.0)</f>
        <v>42240</v>
      </c>
      <c r="C36" s="19">
        <f>IFERROR(__xludf.DUMMYFUNCTION("""COMPUTED_VALUE"""),42246.0)</f>
        <v>42246</v>
      </c>
      <c r="D36" s="17">
        <f>IFERROR(__xludf.DUMMYFUNCTION("""COMPUTED_VALUE"""),35.0)</f>
        <v>35</v>
      </c>
      <c r="E36" s="17">
        <f>IFERROR(__xludf.DUMMYFUNCTION("""COMPUTED_VALUE"""),4083.0)</f>
        <v>4083</v>
      </c>
      <c r="F36" s="17">
        <f>IFERROR(__xludf.DUMMYFUNCTION("""COMPUTED_VALUE"""),0.0)</f>
        <v>0</v>
      </c>
      <c r="G36" s="55">
        <v>35.0</v>
      </c>
      <c r="H36" s="21">
        <f t="shared" si="1"/>
        <v>4352.6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tr">
        <f>IFERROR(__xludf.DUMMYFUNCTION("""COMPUTED_VALUE"""),"Colombia")</f>
        <v>Colombia</v>
      </c>
      <c r="B37" s="54">
        <f>IFERROR(__xludf.DUMMYFUNCTION("""COMPUTED_VALUE"""),42247.0)</f>
        <v>42247</v>
      </c>
      <c r="C37" s="19">
        <f>IFERROR(__xludf.DUMMYFUNCTION("""COMPUTED_VALUE"""),42253.0)</f>
        <v>42253</v>
      </c>
      <c r="D37" s="17">
        <f>IFERROR(__xludf.DUMMYFUNCTION("""COMPUTED_VALUE"""),36.0)</f>
        <v>36</v>
      </c>
      <c r="E37" s="17">
        <f>IFERROR(__xludf.DUMMYFUNCTION("""COMPUTED_VALUE"""),4233.0)</f>
        <v>4233</v>
      </c>
      <c r="F37" s="17">
        <f>IFERROR(__xludf.DUMMYFUNCTION("""COMPUTED_VALUE"""),0.0)</f>
        <v>0</v>
      </c>
      <c r="G37" s="55">
        <v>36.0</v>
      </c>
      <c r="H37" s="21">
        <f t="shared" si="1"/>
        <v>4348.4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tr">
        <f>IFERROR(__xludf.DUMMYFUNCTION("""COMPUTED_VALUE"""),"Colombia")</f>
        <v>Colombia</v>
      </c>
      <c r="B38" s="54">
        <f>IFERROR(__xludf.DUMMYFUNCTION("""COMPUTED_VALUE"""),42254.0)</f>
        <v>42254</v>
      </c>
      <c r="C38" s="19">
        <f>IFERROR(__xludf.DUMMYFUNCTION("""COMPUTED_VALUE"""),42260.0)</f>
        <v>42260</v>
      </c>
      <c r="D38" s="17">
        <f>IFERROR(__xludf.DUMMYFUNCTION("""COMPUTED_VALUE"""),37.0)</f>
        <v>37</v>
      </c>
      <c r="E38" s="17">
        <f>IFERROR(__xludf.DUMMYFUNCTION("""COMPUTED_VALUE"""),4135.0)</f>
        <v>4135</v>
      </c>
      <c r="F38" s="17">
        <f>IFERROR(__xludf.DUMMYFUNCTION("""COMPUTED_VALUE"""),0.0)</f>
        <v>0</v>
      </c>
      <c r="G38" s="55">
        <v>37.0</v>
      </c>
      <c r="H38" s="21">
        <f t="shared" si="1"/>
        <v>4310.6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tr">
        <f>IFERROR(__xludf.DUMMYFUNCTION("""COMPUTED_VALUE"""),"Colombia")</f>
        <v>Colombia</v>
      </c>
      <c r="B39" s="54">
        <f>IFERROR(__xludf.DUMMYFUNCTION("""COMPUTED_VALUE"""),42261.0)</f>
        <v>42261</v>
      </c>
      <c r="C39" s="19">
        <f>IFERROR(__xludf.DUMMYFUNCTION("""COMPUTED_VALUE"""),42267.0)</f>
        <v>42267</v>
      </c>
      <c r="D39" s="17">
        <f>IFERROR(__xludf.DUMMYFUNCTION("""COMPUTED_VALUE"""),38.0)</f>
        <v>38</v>
      </c>
      <c r="E39" s="17">
        <f>IFERROR(__xludf.DUMMYFUNCTION("""COMPUTED_VALUE"""),4203.0)</f>
        <v>4203</v>
      </c>
      <c r="F39" s="17">
        <f>IFERROR(__xludf.DUMMYFUNCTION("""COMPUTED_VALUE"""),0.0)</f>
        <v>0</v>
      </c>
      <c r="G39" s="55">
        <v>38.0</v>
      </c>
      <c r="H39" s="21">
        <f t="shared" si="1"/>
        <v>4372.2</v>
      </c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tr">
        <f>IFERROR(__xludf.DUMMYFUNCTION("""COMPUTED_VALUE"""),"Colombia")</f>
        <v>Colombia</v>
      </c>
      <c r="B40" s="54">
        <f>IFERROR(__xludf.DUMMYFUNCTION("""COMPUTED_VALUE"""),42268.0)</f>
        <v>42268</v>
      </c>
      <c r="C40" s="19">
        <f>IFERROR(__xludf.DUMMYFUNCTION("""COMPUTED_VALUE"""),42274.0)</f>
        <v>42274</v>
      </c>
      <c r="D40" s="17">
        <f>IFERROR(__xludf.DUMMYFUNCTION("""COMPUTED_VALUE"""),39.0)</f>
        <v>39</v>
      </c>
      <c r="E40" s="17">
        <f>IFERROR(__xludf.DUMMYFUNCTION("""COMPUTED_VALUE"""),4217.0)</f>
        <v>4217</v>
      </c>
      <c r="F40" s="17">
        <f>IFERROR(__xludf.DUMMYFUNCTION("""COMPUTED_VALUE"""),0.0)</f>
        <v>0</v>
      </c>
      <c r="G40" s="55">
        <v>39.0</v>
      </c>
      <c r="H40" s="21">
        <f t="shared" si="1"/>
        <v>4257.6</v>
      </c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tr">
        <f>IFERROR(__xludf.DUMMYFUNCTION("""COMPUTED_VALUE"""),"Colombia")</f>
        <v>Colombia</v>
      </c>
      <c r="B41" s="54">
        <f>IFERROR(__xludf.DUMMYFUNCTION("""COMPUTED_VALUE"""),42275.0)</f>
        <v>42275</v>
      </c>
      <c r="C41" s="19">
        <f>IFERROR(__xludf.DUMMYFUNCTION("""COMPUTED_VALUE"""),42281.0)</f>
        <v>42281</v>
      </c>
      <c r="D41" s="17">
        <f>IFERROR(__xludf.DUMMYFUNCTION("""COMPUTED_VALUE"""),40.0)</f>
        <v>40</v>
      </c>
      <c r="E41" s="17">
        <f>IFERROR(__xludf.DUMMYFUNCTION("""COMPUTED_VALUE"""),4232.0)</f>
        <v>4232</v>
      </c>
      <c r="F41" s="17">
        <f>IFERROR(__xludf.DUMMYFUNCTION("""COMPUTED_VALUE"""),0.0)</f>
        <v>0</v>
      </c>
      <c r="G41" s="55">
        <v>40.0</v>
      </c>
      <c r="H41" s="21">
        <f t="shared" si="1"/>
        <v>4307.2</v>
      </c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tr">
        <f>IFERROR(__xludf.DUMMYFUNCTION("""COMPUTED_VALUE"""),"Colombia")</f>
        <v>Colombia</v>
      </c>
      <c r="B42" s="54">
        <f>IFERROR(__xludf.DUMMYFUNCTION("""COMPUTED_VALUE"""),42282.0)</f>
        <v>42282</v>
      </c>
      <c r="C42" s="19">
        <f>IFERROR(__xludf.DUMMYFUNCTION("""COMPUTED_VALUE"""),42288.0)</f>
        <v>42288</v>
      </c>
      <c r="D42" s="17">
        <f>IFERROR(__xludf.DUMMYFUNCTION("""COMPUTED_VALUE"""),41.0)</f>
        <v>41</v>
      </c>
      <c r="E42" s="17">
        <f>IFERROR(__xludf.DUMMYFUNCTION("""COMPUTED_VALUE"""),4162.0)</f>
        <v>4162</v>
      </c>
      <c r="F42" s="17">
        <f>IFERROR(__xludf.DUMMYFUNCTION("""COMPUTED_VALUE"""),0.0)</f>
        <v>0</v>
      </c>
      <c r="G42" s="55">
        <v>41.0</v>
      </c>
      <c r="H42" s="21">
        <f t="shared" si="1"/>
        <v>4335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tr">
        <f>IFERROR(__xludf.DUMMYFUNCTION("""COMPUTED_VALUE"""),"Colombia")</f>
        <v>Colombia</v>
      </c>
      <c r="B43" s="54">
        <f>IFERROR(__xludf.DUMMYFUNCTION("""COMPUTED_VALUE"""),42289.0)</f>
        <v>42289</v>
      </c>
      <c r="C43" s="19">
        <f>IFERROR(__xludf.DUMMYFUNCTION("""COMPUTED_VALUE"""),42295.0)</f>
        <v>42295</v>
      </c>
      <c r="D43" s="17">
        <f>IFERROR(__xludf.DUMMYFUNCTION("""COMPUTED_VALUE"""),42.0)</f>
        <v>42</v>
      </c>
      <c r="E43" s="17">
        <f>IFERROR(__xludf.DUMMYFUNCTION("""COMPUTED_VALUE"""),4045.0)</f>
        <v>4045</v>
      </c>
      <c r="F43" s="17">
        <f>IFERROR(__xludf.DUMMYFUNCTION("""COMPUTED_VALUE"""),0.0)</f>
        <v>0</v>
      </c>
      <c r="G43" s="55">
        <v>42.0</v>
      </c>
      <c r="H43" s="21">
        <f t="shared" si="1"/>
        <v>4321.4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tr">
        <f>IFERROR(__xludf.DUMMYFUNCTION("""COMPUTED_VALUE"""),"Colombia")</f>
        <v>Colombia</v>
      </c>
      <c r="B44" s="54">
        <f>IFERROR(__xludf.DUMMYFUNCTION("""COMPUTED_VALUE"""),42296.0)</f>
        <v>42296</v>
      </c>
      <c r="C44" s="19">
        <f>IFERROR(__xludf.DUMMYFUNCTION("""COMPUTED_VALUE"""),42302.0)</f>
        <v>42302</v>
      </c>
      <c r="D44" s="17">
        <f>IFERROR(__xludf.DUMMYFUNCTION("""COMPUTED_VALUE"""),43.0)</f>
        <v>43</v>
      </c>
      <c r="E44" s="17">
        <f>IFERROR(__xludf.DUMMYFUNCTION("""COMPUTED_VALUE"""),4027.0)</f>
        <v>4027</v>
      </c>
      <c r="F44" s="17">
        <f>IFERROR(__xludf.DUMMYFUNCTION("""COMPUTED_VALUE"""),0.0)</f>
        <v>0</v>
      </c>
      <c r="G44" s="55">
        <v>43.0</v>
      </c>
      <c r="H44" s="21">
        <f t="shared" si="1"/>
        <v>4239.4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tr">
        <f>IFERROR(__xludf.DUMMYFUNCTION("""COMPUTED_VALUE"""),"Colombia")</f>
        <v>Colombia</v>
      </c>
      <c r="B45" s="54">
        <f>IFERROR(__xludf.DUMMYFUNCTION("""COMPUTED_VALUE"""),42303.0)</f>
        <v>42303</v>
      </c>
      <c r="C45" s="19">
        <f>IFERROR(__xludf.DUMMYFUNCTION("""COMPUTED_VALUE"""),42309.0)</f>
        <v>42309</v>
      </c>
      <c r="D45" s="17">
        <f>IFERROR(__xludf.DUMMYFUNCTION("""COMPUTED_VALUE"""),44.0)</f>
        <v>44</v>
      </c>
      <c r="E45" s="17">
        <f>IFERROR(__xludf.DUMMYFUNCTION("""COMPUTED_VALUE"""),4238.0)</f>
        <v>4238</v>
      </c>
      <c r="F45" s="17">
        <f>IFERROR(__xludf.DUMMYFUNCTION("""COMPUTED_VALUE"""),0.0)</f>
        <v>0</v>
      </c>
      <c r="G45" s="55">
        <v>44.0</v>
      </c>
      <c r="H45" s="21">
        <f t="shared" si="1"/>
        <v>4357.2</v>
      </c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tr">
        <f>IFERROR(__xludf.DUMMYFUNCTION("""COMPUTED_VALUE"""),"Colombia")</f>
        <v>Colombia</v>
      </c>
      <c r="B46" s="54">
        <f>IFERROR(__xludf.DUMMYFUNCTION("""COMPUTED_VALUE"""),42310.0)</f>
        <v>42310</v>
      </c>
      <c r="C46" s="19">
        <f>IFERROR(__xludf.DUMMYFUNCTION("""COMPUTED_VALUE"""),42316.0)</f>
        <v>42316</v>
      </c>
      <c r="D46" s="17">
        <f>IFERROR(__xludf.DUMMYFUNCTION("""COMPUTED_VALUE"""),45.0)</f>
        <v>45</v>
      </c>
      <c r="E46" s="17">
        <f>IFERROR(__xludf.DUMMYFUNCTION("""COMPUTED_VALUE"""),4174.0)</f>
        <v>4174</v>
      </c>
      <c r="F46" s="17">
        <f>IFERROR(__xludf.DUMMYFUNCTION("""COMPUTED_VALUE"""),0.0)</f>
        <v>0</v>
      </c>
      <c r="G46" s="55">
        <v>45.0</v>
      </c>
      <c r="H46" s="21">
        <f t="shared" si="1"/>
        <v>4379.8</v>
      </c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tr">
        <f>IFERROR(__xludf.DUMMYFUNCTION("""COMPUTED_VALUE"""),"Colombia")</f>
        <v>Colombia</v>
      </c>
      <c r="B47" s="54">
        <f>IFERROR(__xludf.DUMMYFUNCTION("""COMPUTED_VALUE"""),42317.0)</f>
        <v>42317</v>
      </c>
      <c r="C47" s="19">
        <f>IFERROR(__xludf.DUMMYFUNCTION("""COMPUTED_VALUE"""),42323.0)</f>
        <v>42323</v>
      </c>
      <c r="D47" s="17">
        <f>IFERROR(__xludf.DUMMYFUNCTION("""COMPUTED_VALUE"""),46.0)</f>
        <v>46</v>
      </c>
      <c r="E47" s="17">
        <f>IFERROR(__xludf.DUMMYFUNCTION("""COMPUTED_VALUE"""),4363.0)</f>
        <v>4363</v>
      </c>
      <c r="F47" s="17">
        <f>IFERROR(__xludf.DUMMYFUNCTION("""COMPUTED_VALUE"""),0.0)</f>
        <v>0</v>
      </c>
      <c r="G47" s="55">
        <v>46.0</v>
      </c>
      <c r="H47" s="21">
        <f t="shared" si="1"/>
        <v>4391.4</v>
      </c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tr">
        <f>IFERROR(__xludf.DUMMYFUNCTION("""COMPUTED_VALUE"""),"Colombia")</f>
        <v>Colombia</v>
      </c>
      <c r="B48" s="54">
        <f>IFERROR(__xludf.DUMMYFUNCTION("""COMPUTED_VALUE"""),42324.0)</f>
        <v>42324</v>
      </c>
      <c r="C48" s="19">
        <f>IFERROR(__xludf.DUMMYFUNCTION("""COMPUTED_VALUE"""),42330.0)</f>
        <v>42330</v>
      </c>
      <c r="D48" s="17">
        <f>IFERROR(__xludf.DUMMYFUNCTION("""COMPUTED_VALUE"""),47.0)</f>
        <v>47</v>
      </c>
      <c r="E48" s="17">
        <f>IFERROR(__xludf.DUMMYFUNCTION("""COMPUTED_VALUE"""),4303.0)</f>
        <v>4303</v>
      </c>
      <c r="F48" s="17">
        <f>IFERROR(__xludf.DUMMYFUNCTION("""COMPUTED_VALUE"""),0.0)</f>
        <v>0</v>
      </c>
      <c r="G48" s="55">
        <v>47.0</v>
      </c>
      <c r="H48" s="21">
        <f t="shared" si="1"/>
        <v>4422</v>
      </c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tr">
        <f>IFERROR(__xludf.DUMMYFUNCTION("""COMPUTED_VALUE"""),"Colombia")</f>
        <v>Colombia</v>
      </c>
      <c r="B49" s="54">
        <f>IFERROR(__xludf.DUMMYFUNCTION("""COMPUTED_VALUE"""),42331.0)</f>
        <v>42331</v>
      </c>
      <c r="C49" s="19">
        <f>IFERROR(__xludf.DUMMYFUNCTION("""COMPUTED_VALUE"""),42337.0)</f>
        <v>42337</v>
      </c>
      <c r="D49" s="17">
        <f>IFERROR(__xludf.DUMMYFUNCTION("""COMPUTED_VALUE"""),48.0)</f>
        <v>48</v>
      </c>
      <c r="E49" s="17">
        <f>IFERROR(__xludf.DUMMYFUNCTION("""COMPUTED_VALUE"""),4289.0)</f>
        <v>4289</v>
      </c>
      <c r="F49" s="17">
        <f>IFERROR(__xludf.DUMMYFUNCTION("""COMPUTED_VALUE"""),0.0)</f>
        <v>0</v>
      </c>
      <c r="G49" s="55">
        <v>48.0</v>
      </c>
      <c r="H49" s="21">
        <f t="shared" si="1"/>
        <v>4471.6</v>
      </c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tr">
        <f>IFERROR(__xludf.DUMMYFUNCTION("""COMPUTED_VALUE"""),"Colombia")</f>
        <v>Colombia</v>
      </c>
      <c r="B50" s="54">
        <f>IFERROR(__xludf.DUMMYFUNCTION("""COMPUTED_VALUE"""),42338.0)</f>
        <v>42338</v>
      </c>
      <c r="C50" s="19">
        <f>IFERROR(__xludf.DUMMYFUNCTION("""COMPUTED_VALUE"""),42344.0)</f>
        <v>42344</v>
      </c>
      <c r="D50" s="17">
        <f>IFERROR(__xludf.DUMMYFUNCTION("""COMPUTED_VALUE"""),49.0)</f>
        <v>49</v>
      </c>
      <c r="E50" s="17">
        <f>IFERROR(__xludf.DUMMYFUNCTION("""COMPUTED_VALUE"""),4368.0)</f>
        <v>4368</v>
      </c>
      <c r="F50" s="17">
        <f>IFERROR(__xludf.DUMMYFUNCTION("""COMPUTED_VALUE"""),0.0)</f>
        <v>0</v>
      </c>
      <c r="G50" s="55">
        <v>49.0</v>
      </c>
      <c r="H50" s="21">
        <f t="shared" si="1"/>
        <v>4591.4</v>
      </c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tr">
        <f>IFERROR(__xludf.DUMMYFUNCTION("""COMPUTED_VALUE"""),"Colombia")</f>
        <v>Colombia</v>
      </c>
      <c r="B51" s="54">
        <f>IFERROR(__xludf.DUMMYFUNCTION("""COMPUTED_VALUE"""),42345.0)</f>
        <v>42345</v>
      </c>
      <c r="C51" s="19">
        <f>IFERROR(__xludf.DUMMYFUNCTION("""COMPUTED_VALUE"""),42351.0)</f>
        <v>42351</v>
      </c>
      <c r="D51" s="17">
        <f>IFERROR(__xludf.DUMMYFUNCTION("""COMPUTED_VALUE"""),50.0)</f>
        <v>50</v>
      </c>
      <c r="E51" s="17">
        <f>IFERROR(__xludf.DUMMYFUNCTION("""COMPUTED_VALUE"""),4324.0)</f>
        <v>4324</v>
      </c>
      <c r="F51" s="17">
        <f>IFERROR(__xludf.DUMMYFUNCTION("""COMPUTED_VALUE"""),0.0)</f>
        <v>0</v>
      </c>
      <c r="G51" s="55">
        <v>50.0</v>
      </c>
      <c r="H51" s="21">
        <f t="shared" si="1"/>
        <v>4597.2</v>
      </c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tr">
        <f>IFERROR(__xludf.DUMMYFUNCTION("""COMPUTED_VALUE"""),"Colombia")</f>
        <v>Colombia</v>
      </c>
      <c r="B52" s="54">
        <f>IFERROR(__xludf.DUMMYFUNCTION("""COMPUTED_VALUE"""),42352.0)</f>
        <v>42352</v>
      </c>
      <c r="C52" s="19">
        <f>IFERROR(__xludf.DUMMYFUNCTION("""COMPUTED_VALUE"""),42358.0)</f>
        <v>42358</v>
      </c>
      <c r="D52" s="17">
        <f>IFERROR(__xludf.DUMMYFUNCTION("""COMPUTED_VALUE"""),51.0)</f>
        <v>51</v>
      </c>
      <c r="E52" s="17">
        <f>IFERROR(__xludf.DUMMYFUNCTION("""COMPUTED_VALUE"""),4301.0)</f>
        <v>4301</v>
      </c>
      <c r="F52" s="17">
        <f>IFERROR(__xludf.DUMMYFUNCTION("""COMPUTED_VALUE"""),0.0)</f>
        <v>0</v>
      </c>
      <c r="G52" s="55">
        <v>51.0</v>
      </c>
      <c r="H52" s="21">
        <f t="shared" si="1"/>
        <v>4619.6</v>
      </c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tr">
        <f>IFERROR(__xludf.DUMMYFUNCTION("""COMPUTED_VALUE"""),"Colombia")</f>
        <v>Colombia</v>
      </c>
      <c r="B53" s="54">
        <f>IFERROR(__xludf.DUMMYFUNCTION("""COMPUTED_VALUE"""),42359.0)</f>
        <v>42359</v>
      </c>
      <c r="C53" s="19">
        <f>IFERROR(__xludf.DUMMYFUNCTION("""COMPUTED_VALUE"""),42365.0)</f>
        <v>42365</v>
      </c>
      <c r="D53" s="17">
        <f>IFERROR(__xludf.DUMMYFUNCTION("""COMPUTED_VALUE"""),52.0)</f>
        <v>52</v>
      </c>
      <c r="E53" s="17">
        <f>IFERROR(__xludf.DUMMYFUNCTION("""COMPUTED_VALUE"""),4553.0)</f>
        <v>4553</v>
      </c>
      <c r="F53" s="17">
        <f>IFERROR(__xludf.DUMMYFUNCTION("""COMPUTED_VALUE"""),0.0)</f>
        <v>0</v>
      </c>
      <c r="G53" s="55">
        <v>52.0</v>
      </c>
      <c r="H53" s="21">
        <f t="shared" si="1"/>
        <v>4794.2</v>
      </c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tr">
        <f>IFERROR(__xludf.DUMMYFUNCTION("""COMPUTED_VALUE"""),"Colombia")</f>
        <v>Colombia</v>
      </c>
      <c r="B54" s="54">
        <f>IFERROR(__xludf.DUMMYFUNCTION("""COMPUTED_VALUE"""),42366.0)</f>
        <v>42366</v>
      </c>
      <c r="C54" s="19">
        <f>IFERROR(__xludf.DUMMYFUNCTION("""COMPUTED_VALUE"""),42372.0)</f>
        <v>42372</v>
      </c>
      <c r="D54" s="17">
        <f>IFERROR(__xludf.DUMMYFUNCTION("""COMPUTED_VALUE"""),53.0)</f>
        <v>53</v>
      </c>
      <c r="E54" s="17">
        <f>IFERROR(__xludf.DUMMYFUNCTION("""COMPUTED_VALUE"""),4609.0)</f>
        <v>4609</v>
      </c>
      <c r="F54" s="17">
        <f>IFERROR(__xludf.DUMMYFUNCTION("""COMPUTED_VALUE"""),0.0)</f>
        <v>0</v>
      </c>
      <c r="G54" s="55">
        <v>53.0</v>
      </c>
      <c r="H54" s="21">
        <f t="shared" si="1"/>
        <v>4609</v>
      </c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tr">
        <f>IFERROR(__xludf.DUMMYFUNCTION("""COMPUTED_VALUE"""),"Colombia")</f>
        <v>Colombia</v>
      </c>
      <c r="B55" s="54">
        <f>IFERROR(__xludf.DUMMYFUNCTION("""COMPUTED_VALUE"""),42373.0)</f>
        <v>42373</v>
      </c>
      <c r="C55" s="19">
        <f>IFERROR(__xludf.DUMMYFUNCTION("""COMPUTED_VALUE"""),42379.0)</f>
        <v>42379</v>
      </c>
      <c r="D55" s="17">
        <f>IFERROR(__xludf.DUMMYFUNCTION("""COMPUTED_VALUE"""),1.0)</f>
        <v>1</v>
      </c>
      <c r="E55" s="17">
        <f>IFERROR(__xludf.DUMMYFUNCTION("""COMPUTED_VALUE"""),4474.0)</f>
        <v>4474</v>
      </c>
      <c r="F55" s="17">
        <f>IFERROR(__xludf.DUMMYFUNCTION("""COMPUTED_VALUE"""),0.0)</f>
        <v>0</v>
      </c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tr">
        <f>IFERROR(__xludf.DUMMYFUNCTION("""COMPUTED_VALUE"""),"Colombia")</f>
        <v>Colombia</v>
      </c>
      <c r="B56" s="54">
        <f>IFERROR(__xludf.DUMMYFUNCTION("""COMPUTED_VALUE"""),42380.0)</f>
        <v>42380</v>
      </c>
      <c r="C56" s="19">
        <f>IFERROR(__xludf.DUMMYFUNCTION("""COMPUTED_VALUE"""),42386.0)</f>
        <v>42386</v>
      </c>
      <c r="D56" s="17">
        <f>IFERROR(__xludf.DUMMYFUNCTION("""COMPUTED_VALUE"""),2.0)</f>
        <v>2</v>
      </c>
      <c r="E56" s="17">
        <f>IFERROR(__xludf.DUMMYFUNCTION("""COMPUTED_VALUE"""),4435.0)</f>
        <v>4435</v>
      </c>
      <c r="F56" s="17">
        <f>IFERROR(__xludf.DUMMYFUNCTION("""COMPUTED_VALUE"""),0.0)</f>
        <v>0</v>
      </c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tr">
        <f>IFERROR(__xludf.DUMMYFUNCTION("""COMPUTED_VALUE"""),"Colombia")</f>
        <v>Colombia</v>
      </c>
      <c r="B57" s="54">
        <f>IFERROR(__xludf.DUMMYFUNCTION("""COMPUTED_VALUE"""),42387.0)</f>
        <v>42387</v>
      </c>
      <c r="C57" s="19">
        <f>IFERROR(__xludf.DUMMYFUNCTION("""COMPUTED_VALUE"""),42393.0)</f>
        <v>42393</v>
      </c>
      <c r="D57" s="17">
        <f>IFERROR(__xludf.DUMMYFUNCTION("""COMPUTED_VALUE"""),3.0)</f>
        <v>3</v>
      </c>
      <c r="E57" s="17">
        <f>IFERROR(__xludf.DUMMYFUNCTION("""COMPUTED_VALUE"""),4389.0)</f>
        <v>4389</v>
      </c>
      <c r="F57" s="17">
        <f>IFERROR(__xludf.DUMMYFUNCTION("""COMPUTED_VALUE"""),0.0)</f>
        <v>0</v>
      </c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tr">
        <f>IFERROR(__xludf.DUMMYFUNCTION("""COMPUTED_VALUE"""),"Colombia")</f>
        <v>Colombia</v>
      </c>
      <c r="B58" s="54">
        <f>IFERROR(__xludf.DUMMYFUNCTION("""COMPUTED_VALUE"""),42394.0)</f>
        <v>42394</v>
      </c>
      <c r="C58" s="19">
        <f>IFERROR(__xludf.DUMMYFUNCTION("""COMPUTED_VALUE"""),42400.0)</f>
        <v>42400</v>
      </c>
      <c r="D58" s="17">
        <f>IFERROR(__xludf.DUMMYFUNCTION("""COMPUTED_VALUE"""),4.0)</f>
        <v>4</v>
      </c>
      <c r="E58" s="17">
        <f>IFERROR(__xludf.DUMMYFUNCTION("""COMPUTED_VALUE"""),4253.0)</f>
        <v>4253</v>
      </c>
      <c r="F58" s="17">
        <f>IFERROR(__xludf.DUMMYFUNCTION("""COMPUTED_VALUE"""),0.0)</f>
        <v>0</v>
      </c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tr">
        <f>IFERROR(__xludf.DUMMYFUNCTION("""COMPUTED_VALUE"""),"Colombia")</f>
        <v>Colombia</v>
      </c>
      <c r="B59" s="54">
        <f>IFERROR(__xludf.DUMMYFUNCTION("""COMPUTED_VALUE"""),42401.0)</f>
        <v>42401</v>
      </c>
      <c r="C59" s="19">
        <f>IFERROR(__xludf.DUMMYFUNCTION("""COMPUTED_VALUE"""),42407.0)</f>
        <v>42407</v>
      </c>
      <c r="D59" s="17">
        <f>IFERROR(__xludf.DUMMYFUNCTION("""COMPUTED_VALUE"""),5.0)</f>
        <v>5</v>
      </c>
      <c r="E59" s="17">
        <f>IFERROR(__xludf.DUMMYFUNCTION("""COMPUTED_VALUE"""),4183.0)</f>
        <v>4183</v>
      </c>
      <c r="F59" s="17">
        <f>IFERROR(__xludf.DUMMYFUNCTION("""COMPUTED_VALUE"""),0.0)</f>
        <v>0</v>
      </c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tr">
        <f>IFERROR(__xludf.DUMMYFUNCTION("""COMPUTED_VALUE"""),"Colombia")</f>
        <v>Colombia</v>
      </c>
      <c r="B60" s="54">
        <f>IFERROR(__xludf.DUMMYFUNCTION("""COMPUTED_VALUE"""),42408.0)</f>
        <v>42408</v>
      </c>
      <c r="C60" s="19">
        <f>IFERROR(__xludf.DUMMYFUNCTION("""COMPUTED_VALUE"""),42414.0)</f>
        <v>42414</v>
      </c>
      <c r="D60" s="17">
        <f>IFERROR(__xludf.DUMMYFUNCTION("""COMPUTED_VALUE"""),6.0)</f>
        <v>6</v>
      </c>
      <c r="E60" s="17">
        <f>IFERROR(__xludf.DUMMYFUNCTION("""COMPUTED_VALUE"""),4113.0)</f>
        <v>4113</v>
      </c>
      <c r="F60" s="17">
        <f>IFERROR(__xludf.DUMMYFUNCTION("""COMPUTED_VALUE"""),0.0)</f>
        <v>0</v>
      </c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tr">
        <f>IFERROR(__xludf.DUMMYFUNCTION("""COMPUTED_VALUE"""),"Colombia")</f>
        <v>Colombia</v>
      </c>
      <c r="B61" s="54">
        <f>IFERROR(__xludf.DUMMYFUNCTION("""COMPUTED_VALUE"""),42415.0)</f>
        <v>42415</v>
      </c>
      <c r="C61" s="19">
        <f>IFERROR(__xludf.DUMMYFUNCTION("""COMPUTED_VALUE"""),42421.0)</f>
        <v>42421</v>
      </c>
      <c r="D61" s="17">
        <f>IFERROR(__xludf.DUMMYFUNCTION("""COMPUTED_VALUE"""),7.0)</f>
        <v>7</v>
      </c>
      <c r="E61" s="17">
        <f>IFERROR(__xludf.DUMMYFUNCTION("""COMPUTED_VALUE"""),4131.0)</f>
        <v>4131</v>
      </c>
      <c r="F61" s="17">
        <f>IFERROR(__xludf.DUMMYFUNCTION("""COMPUTED_VALUE"""),0.0)</f>
        <v>0</v>
      </c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tr">
        <f>IFERROR(__xludf.DUMMYFUNCTION("""COMPUTED_VALUE"""),"Colombia")</f>
        <v>Colombia</v>
      </c>
      <c r="B62" s="54">
        <f>IFERROR(__xludf.DUMMYFUNCTION("""COMPUTED_VALUE"""),42422.0)</f>
        <v>42422</v>
      </c>
      <c r="C62" s="19">
        <f>IFERROR(__xludf.DUMMYFUNCTION("""COMPUTED_VALUE"""),42428.0)</f>
        <v>42428</v>
      </c>
      <c r="D62" s="17">
        <f>IFERROR(__xludf.DUMMYFUNCTION("""COMPUTED_VALUE"""),8.0)</f>
        <v>8</v>
      </c>
      <c r="E62" s="17">
        <f>IFERROR(__xludf.DUMMYFUNCTION("""COMPUTED_VALUE"""),4100.0)</f>
        <v>4100</v>
      </c>
      <c r="F62" s="17">
        <f>IFERROR(__xludf.DUMMYFUNCTION("""COMPUTED_VALUE"""),0.0)</f>
        <v>0</v>
      </c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tr">
        <f>IFERROR(__xludf.DUMMYFUNCTION("""COMPUTED_VALUE"""),"Colombia")</f>
        <v>Colombia</v>
      </c>
      <c r="B63" s="54">
        <f>IFERROR(__xludf.DUMMYFUNCTION("""COMPUTED_VALUE"""),42429.0)</f>
        <v>42429</v>
      </c>
      <c r="C63" s="19">
        <f>IFERROR(__xludf.DUMMYFUNCTION("""COMPUTED_VALUE"""),42435.0)</f>
        <v>42435</v>
      </c>
      <c r="D63" s="17">
        <f>IFERROR(__xludf.DUMMYFUNCTION("""COMPUTED_VALUE"""),9.0)</f>
        <v>9</v>
      </c>
      <c r="E63" s="17">
        <f>IFERROR(__xludf.DUMMYFUNCTION("""COMPUTED_VALUE"""),4190.0)</f>
        <v>4190</v>
      </c>
      <c r="F63" s="17">
        <f>IFERROR(__xludf.DUMMYFUNCTION("""COMPUTED_VALUE"""),0.0)</f>
        <v>0</v>
      </c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tr">
        <f>IFERROR(__xludf.DUMMYFUNCTION("""COMPUTED_VALUE"""),"Colombia")</f>
        <v>Colombia</v>
      </c>
      <c r="B64" s="54">
        <f>IFERROR(__xludf.DUMMYFUNCTION("""COMPUTED_VALUE"""),42436.0)</f>
        <v>42436</v>
      </c>
      <c r="C64" s="19">
        <f>IFERROR(__xludf.DUMMYFUNCTION("""COMPUTED_VALUE"""),42442.0)</f>
        <v>42442</v>
      </c>
      <c r="D64" s="17">
        <f>IFERROR(__xludf.DUMMYFUNCTION("""COMPUTED_VALUE"""),10.0)</f>
        <v>10</v>
      </c>
      <c r="E64" s="17">
        <f>IFERROR(__xludf.DUMMYFUNCTION("""COMPUTED_VALUE"""),4218.0)</f>
        <v>4218</v>
      </c>
      <c r="F64" s="17">
        <f>IFERROR(__xludf.DUMMYFUNCTION("""COMPUTED_VALUE"""),0.0)</f>
        <v>0</v>
      </c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tr">
        <f>IFERROR(__xludf.DUMMYFUNCTION("""COMPUTED_VALUE"""),"Colombia")</f>
        <v>Colombia</v>
      </c>
      <c r="B65" s="54">
        <f>IFERROR(__xludf.DUMMYFUNCTION("""COMPUTED_VALUE"""),42443.0)</f>
        <v>42443</v>
      </c>
      <c r="C65" s="19">
        <f>IFERROR(__xludf.DUMMYFUNCTION("""COMPUTED_VALUE"""),42449.0)</f>
        <v>42449</v>
      </c>
      <c r="D65" s="17">
        <f>IFERROR(__xludf.DUMMYFUNCTION("""COMPUTED_VALUE"""),11.0)</f>
        <v>11</v>
      </c>
      <c r="E65" s="17">
        <f>IFERROR(__xludf.DUMMYFUNCTION("""COMPUTED_VALUE"""),4228.0)</f>
        <v>4228</v>
      </c>
      <c r="F65" s="17">
        <f>IFERROR(__xludf.DUMMYFUNCTION("""COMPUTED_VALUE"""),0.0)</f>
        <v>0</v>
      </c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tr">
        <f>IFERROR(__xludf.DUMMYFUNCTION("""COMPUTED_VALUE"""),"Colombia")</f>
        <v>Colombia</v>
      </c>
      <c r="B66" s="54">
        <f>IFERROR(__xludf.DUMMYFUNCTION("""COMPUTED_VALUE"""),42450.0)</f>
        <v>42450</v>
      </c>
      <c r="C66" s="19">
        <f>IFERROR(__xludf.DUMMYFUNCTION("""COMPUTED_VALUE"""),42456.0)</f>
        <v>42456</v>
      </c>
      <c r="D66" s="17">
        <f>IFERROR(__xludf.DUMMYFUNCTION("""COMPUTED_VALUE"""),12.0)</f>
        <v>12</v>
      </c>
      <c r="E66" s="17">
        <f>IFERROR(__xludf.DUMMYFUNCTION("""COMPUTED_VALUE"""),4275.0)</f>
        <v>4275</v>
      </c>
      <c r="F66" s="17">
        <f>IFERROR(__xludf.DUMMYFUNCTION("""COMPUTED_VALUE"""),0.0)</f>
        <v>0</v>
      </c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tr">
        <f>IFERROR(__xludf.DUMMYFUNCTION("""COMPUTED_VALUE"""),"Colombia")</f>
        <v>Colombia</v>
      </c>
      <c r="B67" s="54">
        <f>IFERROR(__xludf.DUMMYFUNCTION("""COMPUTED_VALUE"""),42457.0)</f>
        <v>42457</v>
      </c>
      <c r="C67" s="19">
        <f>IFERROR(__xludf.DUMMYFUNCTION("""COMPUTED_VALUE"""),42463.0)</f>
        <v>42463</v>
      </c>
      <c r="D67" s="17">
        <f>IFERROR(__xludf.DUMMYFUNCTION("""COMPUTED_VALUE"""),13.0)</f>
        <v>13</v>
      </c>
      <c r="E67" s="17">
        <f>IFERROR(__xludf.DUMMYFUNCTION("""COMPUTED_VALUE"""),4092.0)</f>
        <v>4092</v>
      </c>
      <c r="F67" s="17">
        <f>IFERROR(__xludf.DUMMYFUNCTION("""COMPUTED_VALUE"""),0.0)</f>
        <v>0</v>
      </c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tr">
        <f>IFERROR(__xludf.DUMMYFUNCTION("""COMPUTED_VALUE"""),"Colombia")</f>
        <v>Colombia</v>
      </c>
      <c r="B68" s="54">
        <f>IFERROR(__xludf.DUMMYFUNCTION("""COMPUTED_VALUE"""),42464.0)</f>
        <v>42464</v>
      </c>
      <c r="C68" s="19">
        <f>IFERROR(__xludf.DUMMYFUNCTION("""COMPUTED_VALUE"""),42470.0)</f>
        <v>42470</v>
      </c>
      <c r="D68" s="17">
        <f>IFERROR(__xludf.DUMMYFUNCTION("""COMPUTED_VALUE"""),14.0)</f>
        <v>14</v>
      </c>
      <c r="E68" s="17">
        <f>IFERROR(__xludf.DUMMYFUNCTION("""COMPUTED_VALUE"""),4112.0)</f>
        <v>4112</v>
      </c>
      <c r="F68" s="17">
        <f>IFERROR(__xludf.DUMMYFUNCTION("""COMPUTED_VALUE"""),0.0)</f>
        <v>0</v>
      </c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tr">
        <f>IFERROR(__xludf.DUMMYFUNCTION("""COMPUTED_VALUE"""),"Colombia")</f>
        <v>Colombia</v>
      </c>
      <c r="B69" s="54">
        <f>IFERROR(__xludf.DUMMYFUNCTION("""COMPUTED_VALUE"""),42471.0)</f>
        <v>42471</v>
      </c>
      <c r="C69" s="19">
        <f>IFERROR(__xludf.DUMMYFUNCTION("""COMPUTED_VALUE"""),42477.0)</f>
        <v>42477</v>
      </c>
      <c r="D69" s="17">
        <f>IFERROR(__xludf.DUMMYFUNCTION("""COMPUTED_VALUE"""),15.0)</f>
        <v>15</v>
      </c>
      <c r="E69" s="17">
        <f>IFERROR(__xludf.DUMMYFUNCTION("""COMPUTED_VALUE"""),4153.0)</f>
        <v>4153</v>
      </c>
      <c r="F69" s="17">
        <f>IFERROR(__xludf.DUMMYFUNCTION("""COMPUTED_VALUE"""),0.0)</f>
        <v>0</v>
      </c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tr">
        <f>IFERROR(__xludf.DUMMYFUNCTION("""COMPUTED_VALUE"""),"Colombia")</f>
        <v>Colombia</v>
      </c>
      <c r="B70" s="54">
        <f>IFERROR(__xludf.DUMMYFUNCTION("""COMPUTED_VALUE"""),42478.0)</f>
        <v>42478</v>
      </c>
      <c r="C70" s="19">
        <f>IFERROR(__xludf.DUMMYFUNCTION("""COMPUTED_VALUE"""),42484.0)</f>
        <v>42484</v>
      </c>
      <c r="D70" s="17">
        <f>IFERROR(__xludf.DUMMYFUNCTION("""COMPUTED_VALUE"""),16.0)</f>
        <v>16</v>
      </c>
      <c r="E70" s="17">
        <f>IFERROR(__xludf.DUMMYFUNCTION("""COMPUTED_VALUE"""),4211.0)</f>
        <v>4211</v>
      </c>
      <c r="F70" s="17">
        <f>IFERROR(__xludf.DUMMYFUNCTION("""COMPUTED_VALUE"""),0.0)</f>
        <v>0</v>
      </c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tr">
        <f>IFERROR(__xludf.DUMMYFUNCTION("""COMPUTED_VALUE"""),"Colombia")</f>
        <v>Colombia</v>
      </c>
      <c r="B71" s="54">
        <f>IFERROR(__xludf.DUMMYFUNCTION("""COMPUTED_VALUE"""),42485.0)</f>
        <v>42485</v>
      </c>
      <c r="C71" s="19">
        <f>IFERROR(__xludf.DUMMYFUNCTION("""COMPUTED_VALUE"""),42491.0)</f>
        <v>42491</v>
      </c>
      <c r="D71" s="17">
        <f>IFERROR(__xludf.DUMMYFUNCTION("""COMPUTED_VALUE"""),17.0)</f>
        <v>17</v>
      </c>
      <c r="E71" s="17">
        <f>IFERROR(__xludf.DUMMYFUNCTION("""COMPUTED_VALUE"""),4110.0)</f>
        <v>4110</v>
      </c>
      <c r="F71" s="17">
        <f>IFERROR(__xludf.DUMMYFUNCTION("""COMPUTED_VALUE"""),0.0)</f>
        <v>0</v>
      </c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tr">
        <f>IFERROR(__xludf.DUMMYFUNCTION("""COMPUTED_VALUE"""),"Colombia")</f>
        <v>Colombia</v>
      </c>
      <c r="B72" s="54">
        <f>IFERROR(__xludf.DUMMYFUNCTION("""COMPUTED_VALUE"""),42492.0)</f>
        <v>42492</v>
      </c>
      <c r="C72" s="19">
        <f>IFERROR(__xludf.DUMMYFUNCTION("""COMPUTED_VALUE"""),42498.0)</f>
        <v>42498</v>
      </c>
      <c r="D72" s="17">
        <f>IFERROR(__xludf.DUMMYFUNCTION("""COMPUTED_VALUE"""),18.0)</f>
        <v>18</v>
      </c>
      <c r="E72" s="17">
        <f>IFERROR(__xludf.DUMMYFUNCTION("""COMPUTED_VALUE"""),4175.0)</f>
        <v>4175</v>
      </c>
      <c r="F72" s="17">
        <f>IFERROR(__xludf.DUMMYFUNCTION("""COMPUTED_VALUE"""),0.0)</f>
        <v>0</v>
      </c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tr">
        <f>IFERROR(__xludf.DUMMYFUNCTION("""COMPUTED_VALUE"""),"Colombia")</f>
        <v>Colombia</v>
      </c>
      <c r="B73" s="54">
        <f>IFERROR(__xludf.DUMMYFUNCTION("""COMPUTED_VALUE"""),42499.0)</f>
        <v>42499</v>
      </c>
      <c r="C73" s="19">
        <f>IFERROR(__xludf.DUMMYFUNCTION("""COMPUTED_VALUE"""),42505.0)</f>
        <v>42505</v>
      </c>
      <c r="D73" s="17">
        <f>IFERROR(__xludf.DUMMYFUNCTION("""COMPUTED_VALUE"""),19.0)</f>
        <v>19</v>
      </c>
      <c r="E73" s="17">
        <f>IFERROR(__xludf.DUMMYFUNCTION("""COMPUTED_VALUE"""),4320.0)</f>
        <v>4320</v>
      </c>
      <c r="F73" s="17">
        <f>IFERROR(__xludf.DUMMYFUNCTION("""COMPUTED_VALUE"""),0.0)</f>
        <v>0</v>
      </c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tr">
        <f>IFERROR(__xludf.DUMMYFUNCTION("""COMPUTED_VALUE"""),"Colombia")</f>
        <v>Colombia</v>
      </c>
      <c r="B74" s="54">
        <f>IFERROR(__xludf.DUMMYFUNCTION("""COMPUTED_VALUE"""),42506.0)</f>
        <v>42506</v>
      </c>
      <c r="C74" s="19">
        <f>IFERROR(__xludf.DUMMYFUNCTION("""COMPUTED_VALUE"""),42512.0)</f>
        <v>42512</v>
      </c>
      <c r="D74" s="17">
        <f>IFERROR(__xludf.DUMMYFUNCTION("""COMPUTED_VALUE"""),20.0)</f>
        <v>20</v>
      </c>
      <c r="E74" s="17">
        <f>IFERROR(__xludf.DUMMYFUNCTION("""COMPUTED_VALUE"""),4632.0)</f>
        <v>4632</v>
      </c>
      <c r="F74" s="17">
        <f>IFERROR(__xludf.DUMMYFUNCTION("""COMPUTED_VALUE"""),0.0)</f>
        <v>0</v>
      </c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tr">
        <f>IFERROR(__xludf.DUMMYFUNCTION("""COMPUTED_VALUE"""),"Colombia")</f>
        <v>Colombia</v>
      </c>
      <c r="B75" s="54">
        <f>IFERROR(__xludf.DUMMYFUNCTION("""COMPUTED_VALUE"""),42513.0)</f>
        <v>42513</v>
      </c>
      <c r="C75" s="19">
        <f>IFERROR(__xludf.DUMMYFUNCTION("""COMPUTED_VALUE"""),42519.0)</f>
        <v>42519</v>
      </c>
      <c r="D75" s="17">
        <f>IFERROR(__xludf.DUMMYFUNCTION("""COMPUTED_VALUE"""),21.0)</f>
        <v>21</v>
      </c>
      <c r="E75" s="17">
        <f>IFERROR(__xludf.DUMMYFUNCTION("""COMPUTED_VALUE"""),4532.0)</f>
        <v>4532</v>
      </c>
      <c r="F75" s="17">
        <f>IFERROR(__xludf.DUMMYFUNCTION("""COMPUTED_VALUE"""),0.0)</f>
        <v>0</v>
      </c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tr">
        <f>IFERROR(__xludf.DUMMYFUNCTION("""COMPUTED_VALUE"""),"Colombia")</f>
        <v>Colombia</v>
      </c>
      <c r="B76" s="54">
        <f>IFERROR(__xludf.DUMMYFUNCTION("""COMPUTED_VALUE"""),42520.0)</f>
        <v>42520</v>
      </c>
      <c r="C76" s="19">
        <f>IFERROR(__xludf.DUMMYFUNCTION("""COMPUTED_VALUE"""),42526.0)</f>
        <v>42526</v>
      </c>
      <c r="D76" s="17">
        <f>IFERROR(__xludf.DUMMYFUNCTION("""COMPUTED_VALUE"""),22.0)</f>
        <v>22</v>
      </c>
      <c r="E76" s="17">
        <f>IFERROR(__xludf.DUMMYFUNCTION("""COMPUTED_VALUE"""),4582.0)</f>
        <v>4582</v>
      </c>
      <c r="F76" s="17">
        <f>IFERROR(__xludf.DUMMYFUNCTION("""COMPUTED_VALUE"""),0.0)</f>
        <v>0</v>
      </c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tr">
        <f>IFERROR(__xludf.DUMMYFUNCTION("""COMPUTED_VALUE"""),"Colombia")</f>
        <v>Colombia</v>
      </c>
      <c r="B77" s="54">
        <f>IFERROR(__xludf.DUMMYFUNCTION("""COMPUTED_VALUE"""),42527.0)</f>
        <v>42527</v>
      </c>
      <c r="C77" s="19">
        <f>IFERROR(__xludf.DUMMYFUNCTION("""COMPUTED_VALUE"""),42533.0)</f>
        <v>42533</v>
      </c>
      <c r="D77" s="17">
        <f>IFERROR(__xludf.DUMMYFUNCTION("""COMPUTED_VALUE"""),23.0)</f>
        <v>23</v>
      </c>
      <c r="E77" s="17">
        <f>IFERROR(__xludf.DUMMYFUNCTION("""COMPUTED_VALUE"""),4561.0)</f>
        <v>4561</v>
      </c>
      <c r="F77" s="17">
        <f>IFERROR(__xludf.DUMMYFUNCTION("""COMPUTED_VALUE"""),0.0)</f>
        <v>0</v>
      </c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tr">
        <f>IFERROR(__xludf.DUMMYFUNCTION("""COMPUTED_VALUE"""),"Colombia")</f>
        <v>Colombia</v>
      </c>
      <c r="B78" s="54">
        <f>IFERROR(__xludf.DUMMYFUNCTION("""COMPUTED_VALUE"""),42534.0)</f>
        <v>42534</v>
      </c>
      <c r="C78" s="19">
        <f>IFERROR(__xludf.DUMMYFUNCTION("""COMPUTED_VALUE"""),42540.0)</f>
        <v>42540</v>
      </c>
      <c r="D78" s="17">
        <f>IFERROR(__xludf.DUMMYFUNCTION("""COMPUTED_VALUE"""),24.0)</f>
        <v>24</v>
      </c>
      <c r="E78" s="17">
        <f>IFERROR(__xludf.DUMMYFUNCTION("""COMPUTED_VALUE"""),4537.0)</f>
        <v>4537</v>
      </c>
      <c r="F78" s="17">
        <f>IFERROR(__xludf.DUMMYFUNCTION("""COMPUTED_VALUE"""),0.0)</f>
        <v>0</v>
      </c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tr">
        <f>IFERROR(__xludf.DUMMYFUNCTION("""COMPUTED_VALUE"""),"Colombia")</f>
        <v>Colombia</v>
      </c>
      <c r="B79" s="54">
        <f>IFERROR(__xludf.DUMMYFUNCTION("""COMPUTED_VALUE"""),42541.0)</f>
        <v>42541</v>
      </c>
      <c r="C79" s="19">
        <f>IFERROR(__xludf.DUMMYFUNCTION("""COMPUTED_VALUE"""),42547.0)</f>
        <v>42547</v>
      </c>
      <c r="D79" s="17">
        <f>IFERROR(__xludf.DUMMYFUNCTION("""COMPUTED_VALUE"""),25.0)</f>
        <v>25</v>
      </c>
      <c r="E79" s="17">
        <f>IFERROR(__xludf.DUMMYFUNCTION("""COMPUTED_VALUE"""),4503.0)</f>
        <v>4503</v>
      </c>
      <c r="F79" s="17">
        <f>IFERROR(__xludf.DUMMYFUNCTION("""COMPUTED_VALUE"""),0.0)</f>
        <v>0</v>
      </c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tr">
        <f>IFERROR(__xludf.DUMMYFUNCTION("""COMPUTED_VALUE"""),"Colombia")</f>
        <v>Colombia</v>
      </c>
      <c r="B80" s="54">
        <f>IFERROR(__xludf.DUMMYFUNCTION("""COMPUTED_VALUE"""),42548.0)</f>
        <v>42548</v>
      </c>
      <c r="C80" s="19">
        <f>IFERROR(__xludf.DUMMYFUNCTION("""COMPUTED_VALUE"""),42554.0)</f>
        <v>42554</v>
      </c>
      <c r="D80" s="17">
        <f>IFERROR(__xludf.DUMMYFUNCTION("""COMPUTED_VALUE"""),26.0)</f>
        <v>26</v>
      </c>
      <c r="E80" s="17">
        <f>IFERROR(__xludf.DUMMYFUNCTION("""COMPUTED_VALUE"""),4530.0)</f>
        <v>4530</v>
      </c>
      <c r="F80" s="17">
        <f>IFERROR(__xludf.DUMMYFUNCTION("""COMPUTED_VALUE"""),0.0)</f>
        <v>0</v>
      </c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tr">
        <f>IFERROR(__xludf.DUMMYFUNCTION("""COMPUTED_VALUE"""),"Colombia")</f>
        <v>Colombia</v>
      </c>
      <c r="B81" s="54">
        <f>IFERROR(__xludf.DUMMYFUNCTION("""COMPUTED_VALUE"""),42555.0)</f>
        <v>42555</v>
      </c>
      <c r="C81" s="19">
        <f>IFERROR(__xludf.DUMMYFUNCTION("""COMPUTED_VALUE"""),42561.0)</f>
        <v>42561</v>
      </c>
      <c r="D81" s="17">
        <f>IFERROR(__xludf.DUMMYFUNCTION("""COMPUTED_VALUE"""),27.0)</f>
        <v>27</v>
      </c>
      <c r="E81" s="17">
        <f>IFERROR(__xludf.DUMMYFUNCTION("""COMPUTED_VALUE"""),4349.0)</f>
        <v>4349</v>
      </c>
      <c r="F81" s="17">
        <f>IFERROR(__xludf.DUMMYFUNCTION("""COMPUTED_VALUE"""),0.0)</f>
        <v>0</v>
      </c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tr">
        <f>IFERROR(__xludf.DUMMYFUNCTION("""COMPUTED_VALUE"""),"Colombia")</f>
        <v>Colombia</v>
      </c>
      <c r="B82" s="54">
        <f>IFERROR(__xludf.DUMMYFUNCTION("""COMPUTED_VALUE"""),42562.0)</f>
        <v>42562</v>
      </c>
      <c r="C82" s="19">
        <f>IFERROR(__xludf.DUMMYFUNCTION("""COMPUTED_VALUE"""),42568.0)</f>
        <v>42568</v>
      </c>
      <c r="D82" s="17">
        <f>IFERROR(__xludf.DUMMYFUNCTION("""COMPUTED_VALUE"""),28.0)</f>
        <v>28</v>
      </c>
      <c r="E82" s="17">
        <f>IFERROR(__xludf.DUMMYFUNCTION("""COMPUTED_VALUE"""),4315.0)</f>
        <v>4315</v>
      </c>
      <c r="F82" s="17">
        <f>IFERROR(__xludf.DUMMYFUNCTION("""COMPUTED_VALUE"""),0.0)</f>
        <v>0</v>
      </c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tr">
        <f>IFERROR(__xludf.DUMMYFUNCTION("""COMPUTED_VALUE"""),"Colombia")</f>
        <v>Colombia</v>
      </c>
      <c r="B83" s="54">
        <f>IFERROR(__xludf.DUMMYFUNCTION("""COMPUTED_VALUE"""),42569.0)</f>
        <v>42569</v>
      </c>
      <c r="C83" s="19">
        <f>IFERROR(__xludf.DUMMYFUNCTION("""COMPUTED_VALUE"""),42575.0)</f>
        <v>42575</v>
      </c>
      <c r="D83" s="17">
        <f>IFERROR(__xludf.DUMMYFUNCTION("""COMPUTED_VALUE"""),29.0)</f>
        <v>29</v>
      </c>
      <c r="E83" s="17">
        <f>IFERROR(__xludf.DUMMYFUNCTION("""COMPUTED_VALUE"""),4088.0)</f>
        <v>4088</v>
      </c>
      <c r="F83" s="17">
        <f>IFERROR(__xludf.DUMMYFUNCTION("""COMPUTED_VALUE"""),0.0)</f>
        <v>0</v>
      </c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tr">
        <f>IFERROR(__xludf.DUMMYFUNCTION("""COMPUTED_VALUE"""),"Colombia")</f>
        <v>Colombia</v>
      </c>
      <c r="B84" s="54">
        <f>IFERROR(__xludf.DUMMYFUNCTION("""COMPUTED_VALUE"""),42576.0)</f>
        <v>42576</v>
      </c>
      <c r="C84" s="19">
        <f>IFERROR(__xludf.DUMMYFUNCTION("""COMPUTED_VALUE"""),42582.0)</f>
        <v>42582</v>
      </c>
      <c r="D84" s="17">
        <f>IFERROR(__xludf.DUMMYFUNCTION("""COMPUTED_VALUE"""),30.0)</f>
        <v>30</v>
      </c>
      <c r="E84" s="17">
        <f>IFERROR(__xludf.DUMMYFUNCTION("""COMPUTED_VALUE"""),4188.0)</f>
        <v>4188</v>
      </c>
      <c r="F84" s="17">
        <f>IFERROR(__xludf.DUMMYFUNCTION("""COMPUTED_VALUE"""),0.0)</f>
        <v>0</v>
      </c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tr">
        <f>IFERROR(__xludf.DUMMYFUNCTION("""COMPUTED_VALUE"""),"Colombia")</f>
        <v>Colombia</v>
      </c>
      <c r="B85" s="54">
        <f>IFERROR(__xludf.DUMMYFUNCTION("""COMPUTED_VALUE"""),42583.0)</f>
        <v>42583</v>
      </c>
      <c r="C85" s="19">
        <f>IFERROR(__xludf.DUMMYFUNCTION("""COMPUTED_VALUE"""),42589.0)</f>
        <v>42589</v>
      </c>
      <c r="D85" s="17">
        <f>IFERROR(__xludf.DUMMYFUNCTION("""COMPUTED_VALUE"""),31.0)</f>
        <v>31</v>
      </c>
      <c r="E85" s="17">
        <f>IFERROR(__xludf.DUMMYFUNCTION("""COMPUTED_VALUE"""),4175.0)</f>
        <v>4175</v>
      </c>
      <c r="F85" s="17">
        <f>IFERROR(__xludf.DUMMYFUNCTION("""COMPUTED_VALUE"""),0.0)</f>
        <v>0</v>
      </c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tr">
        <f>IFERROR(__xludf.DUMMYFUNCTION("""COMPUTED_VALUE"""),"Colombia")</f>
        <v>Colombia</v>
      </c>
      <c r="B86" s="54">
        <f>IFERROR(__xludf.DUMMYFUNCTION("""COMPUTED_VALUE"""),42590.0)</f>
        <v>42590</v>
      </c>
      <c r="C86" s="19">
        <f>IFERROR(__xludf.DUMMYFUNCTION("""COMPUTED_VALUE"""),42596.0)</f>
        <v>42596</v>
      </c>
      <c r="D86" s="17">
        <f>IFERROR(__xludf.DUMMYFUNCTION("""COMPUTED_VALUE"""),32.0)</f>
        <v>32</v>
      </c>
      <c r="E86" s="17">
        <f>IFERROR(__xludf.DUMMYFUNCTION("""COMPUTED_VALUE"""),4291.0)</f>
        <v>4291</v>
      </c>
      <c r="F86" s="17">
        <f>IFERROR(__xludf.DUMMYFUNCTION("""COMPUTED_VALUE"""),0.0)</f>
        <v>0</v>
      </c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tr">
        <f>IFERROR(__xludf.DUMMYFUNCTION("""COMPUTED_VALUE"""),"Colombia")</f>
        <v>Colombia</v>
      </c>
      <c r="B87" s="54">
        <f>IFERROR(__xludf.DUMMYFUNCTION("""COMPUTED_VALUE"""),42597.0)</f>
        <v>42597</v>
      </c>
      <c r="C87" s="19">
        <f>IFERROR(__xludf.DUMMYFUNCTION("""COMPUTED_VALUE"""),42603.0)</f>
        <v>42603</v>
      </c>
      <c r="D87" s="17">
        <f>IFERROR(__xludf.DUMMYFUNCTION("""COMPUTED_VALUE"""),33.0)</f>
        <v>33</v>
      </c>
      <c r="E87" s="17">
        <f>IFERROR(__xludf.DUMMYFUNCTION("""COMPUTED_VALUE"""),4176.0)</f>
        <v>4176</v>
      </c>
      <c r="F87" s="17">
        <f>IFERROR(__xludf.DUMMYFUNCTION("""COMPUTED_VALUE"""),0.0)</f>
        <v>0</v>
      </c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tr">
        <f>IFERROR(__xludf.DUMMYFUNCTION("""COMPUTED_VALUE"""),"Colombia")</f>
        <v>Colombia</v>
      </c>
      <c r="B88" s="54">
        <f>IFERROR(__xludf.DUMMYFUNCTION("""COMPUTED_VALUE"""),42604.0)</f>
        <v>42604</v>
      </c>
      <c r="C88" s="19">
        <f>IFERROR(__xludf.DUMMYFUNCTION("""COMPUTED_VALUE"""),42610.0)</f>
        <v>42610</v>
      </c>
      <c r="D88" s="17">
        <f>IFERROR(__xludf.DUMMYFUNCTION("""COMPUTED_VALUE"""),34.0)</f>
        <v>34</v>
      </c>
      <c r="E88" s="17">
        <f>IFERROR(__xludf.DUMMYFUNCTION("""COMPUTED_VALUE"""),4036.0)</f>
        <v>4036</v>
      </c>
      <c r="F88" s="17">
        <f>IFERROR(__xludf.DUMMYFUNCTION("""COMPUTED_VALUE"""),0.0)</f>
        <v>0</v>
      </c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tr">
        <f>IFERROR(__xludf.DUMMYFUNCTION("""COMPUTED_VALUE"""),"Colombia")</f>
        <v>Colombia</v>
      </c>
      <c r="B89" s="54">
        <f>IFERROR(__xludf.DUMMYFUNCTION("""COMPUTED_VALUE"""),42611.0)</f>
        <v>42611</v>
      </c>
      <c r="C89" s="19">
        <f>IFERROR(__xludf.DUMMYFUNCTION("""COMPUTED_VALUE"""),42617.0)</f>
        <v>42617</v>
      </c>
      <c r="D89" s="17">
        <f>IFERROR(__xludf.DUMMYFUNCTION("""COMPUTED_VALUE"""),35.0)</f>
        <v>35</v>
      </c>
      <c r="E89" s="17">
        <f>IFERROR(__xludf.DUMMYFUNCTION("""COMPUTED_VALUE"""),4123.0)</f>
        <v>4123</v>
      </c>
      <c r="F89" s="17">
        <f>IFERROR(__xludf.DUMMYFUNCTION("""COMPUTED_VALUE"""),0.0)</f>
        <v>0</v>
      </c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tr">
        <f>IFERROR(__xludf.DUMMYFUNCTION("""COMPUTED_VALUE"""),"Colombia")</f>
        <v>Colombia</v>
      </c>
      <c r="B90" s="54">
        <f>IFERROR(__xludf.DUMMYFUNCTION("""COMPUTED_VALUE"""),42618.0)</f>
        <v>42618</v>
      </c>
      <c r="C90" s="19">
        <f>IFERROR(__xludf.DUMMYFUNCTION("""COMPUTED_VALUE"""),42624.0)</f>
        <v>42624</v>
      </c>
      <c r="D90" s="17">
        <f>IFERROR(__xludf.DUMMYFUNCTION("""COMPUTED_VALUE"""),36.0)</f>
        <v>36</v>
      </c>
      <c r="E90" s="17">
        <f>IFERROR(__xludf.DUMMYFUNCTION("""COMPUTED_VALUE"""),4084.0)</f>
        <v>4084</v>
      </c>
      <c r="F90" s="17">
        <f>IFERROR(__xludf.DUMMYFUNCTION("""COMPUTED_VALUE"""),0.0)</f>
        <v>0</v>
      </c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tr">
        <f>IFERROR(__xludf.DUMMYFUNCTION("""COMPUTED_VALUE"""),"Colombia")</f>
        <v>Colombia</v>
      </c>
      <c r="B91" s="54">
        <f>IFERROR(__xludf.DUMMYFUNCTION("""COMPUTED_VALUE"""),42625.0)</f>
        <v>42625</v>
      </c>
      <c r="C91" s="19">
        <f>IFERROR(__xludf.DUMMYFUNCTION("""COMPUTED_VALUE"""),42631.0)</f>
        <v>42631</v>
      </c>
      <c r="D91" s="17">
        <f>IFERROR(__xludf.DUMMYFUNCTION("""COMPUTED_VALUE"""),37.0)</f>
        <v>37</v>
      </c>
      <c r="E91" s="17">
        <f>IFERROR(__xludf.DUMMYFUNCTION("""COMPUTED_VALUE"""),4021.0)</f>
        <v>4021</v>
      </c>
      <c r="F91" s="17">
        <f>IFERROR(__xludf.DUMMYFUNCTION("""COMPUTED_VALUE"""),0.0)</f>
        <v>0</v>
      </c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tr">
        <f>IFERROR(__xludf.DUMMYFUNCTION("""COMPUTED_VALUE"""),"Colombia")</f>
        <v>Colombia</v>
      </c>
      <c r="B92" s="54">
        <f>IFERROR(__xludf.DUMMYFUNCTION("""COMPUTED_VALUE"""),42632.0)</f>
        <v>42632</v>
      </c>
      <c r="C92" s="19">
        <f>IFERROR(__xludf.DUMMYFUNCTION("""COMPUTED_VALUE"""),42638.0)</f>
        <v>42638</v>
      </c>
      <c r="D92" s="17">
        <f>IFERROR(__xludf.DUMMYFUNCTION("""COMPUTED_VALUE"""),38.0)</f>
        <v>38</v>
      </c>
      <c r="E92" s="17">
        <f>IFERROR(__xludf.DUMMYFUNCTION("""COMPUTED_VALUE"""),4186.0)</f>
        <v>4186</v>
      </c>
      <c r="F92" s="17">
        <f>IFERROR(__xludf.DUMMYFUNCTION("""COMPUTED_VALUE"""),0.0)</f>
        <v>0</v>
      </c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tr">
        <f>IFERROR(__xludf.DUMMYFUNCTION("""COMPUTED_VALUE"""),"Colombia")</f>
        <v>Colombia</v>
      </c>
      <c r="B93" s="54">
        <f>IFERROR(__xludf.DUMMYFUNCTION("""COMPUTED_VALUE"""),42639.0)</f>
        <v>42639</v>
      </c>
      <c r="C93" s="19">
        <f>IFERROR(__xludf.DUMMYFUNCTION("""COMPUTED_VALUE"""),42645.0)</f>
        <v>42645</v>
      </c>
      <c r="D93" s="17">
        <f>IFERROR(__xludf.DUMMYFUNCTION("""COMPUTED_VALUE"""),39.0)</f>
        <v>39</v>
      </c>
      <c r="E93" s="17">
        <f>IFERROR(__xludf.DUMMYFUNCTION("""COMPUTED_VALUE"""),4025.0)</f>
        <v>4025</v>
      </c>
      <c r="F93" s="17">
        <f>IFERROR(__xludf.DUMMYFUNCTION("""COMPUTED_VALUE"""),0.0)</f>
        <v>0</v>
      </c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tr">
        <f>IFERROR(__xludf.DUMMYFUNCTION("""COMPUTED_VALUE"""),"Colombia")</f>
        <v>Colombia</v>
      </c>
      <c r="B94" s="54">
        <f>IFERROR(__xludf.DUMMYFUNCTION("""COMPUTED_VALUE"""),42646.0)</f>
        <v>42646</v>
      </c>
      <c r="C94" s="19">
        <f>IFERROR(__xludf.DUMMYFUNCTION("""COMPUTED_VALUE"""),42652.0)</f>
        <v>42652</v>
      </c>
      <c r="D94" s="17">
        <f>IFERROR(__xludf.DUMMYFUNCTION("""COMPUTED_VALUE"""),40.0)</f>
        <v>40</v>
      </c>
      <c r="E94" s="17">
        <f>IFERROR(__xludf.DUMMYFUNCTION("""COMPUTED_VALUE"""),4066.0)</f>
        <v>4066</v>
      </c>
      <c r="F94" s="17">
        <f>IFERROR(__xludf.DUMMYFUNCTION("""COMPUTED_VALUE"""),0.0)</f>
        <v>0</v>
      </c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tr">
        <f>IFERROR(__xludf.DUMMYFUNCTION("""COMPUTED_VALUE"""),"Colombia")</f>
        <v>Colombia</v>
      </c>
      <c r="B95" s="54">
        <f>IFERROR(__xludf.DUMMYFUNCTION("""COMPUTED_VALUE"""),42653.0)</f>
        <v>42653</v>
      </c>
      <c r="C95" s="19">
        <f>IFERROR(__xludf.DUMMYFUNCTION("""COMPUTED_VALUE"""),42659.0)</f>
        <v>42659</v>
      </c>
      <c r="D95" s="17">
        <f>IFERROR(__xludf.DUMMYFUNCTION("""COMPUTED_VALUE"""),41.0)</f>
        <v>41</v>
      </c>
      <c r="E95" s="17">
        <f>IFERROR(__xludf.DUMMYFUNCTION("""COMPUTED_VALUE"""),4171.0)</f>
        <v>4171</v>
      </c>
      <c r="F95" s="17">
        <f>IFERROR(__xludf.DUMMYFUNCTION("""COMPUTED_VALUE"""),0.0)</f>
        <v>0</v>
      </c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tr">
        <f>IFERROR(__xludf.DUMMYFUNCTION("""COMPUTED_VALUE"""),"Colombia")</f>
        <v>Colombia</v>
      </c>
      <c r="B96" s="54">
        <f>IFERROR(__xludf.DUMMYFUNCTION("""COMPUTED_VALUE"""),42660.0)</f>
        <v>42660</v>
      </c>
      <c r="C96" s="19">
        <f>IFERROR(__xludf.DUMMYFUNCTION("""COMPUTED_VALUE"""),42666.0)</f>
        <v>42666</v>
      </c>
      <c r="D96" s="17">
        <f>IFERROR(__xludf.DUMMYFUNCTION("""COMPUTED_VALUE"""),42.0)</f>
        <v>42</v>
      </c>
      <c r="E96" s="17">
        <f>IFERROR(__xludf.DUMMYFUNCTION("""COMPUTED_VALUE"""),4146.0)</f>
        <v>4146</v>
      </c>
      <c r="F96" s="17">
        <f>IFERROR(__xludf.DUMMYFUNCTION("""COMPUTED_VALUE"""),0.0)</f>
        <v>0</v>
      </c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tr">
        <f>IFERROR(__xludf.DUMMYFUNCTION("""COMPUTED_VALUE"""),"Colombia")</f>
        <v>Colombia</v>
      </c>
      <c r="B97" s="54">
        <f>IFERROR(__xludf.DUMMYFUNCTION("""COMPUTED_VALUE"""),42667.0)</f>
        <v>42667</v>
      </c>
      <c r="C97" s="19">
        <f>IFERROR(__xludf.DUMMYFUNCTION("""COMPUTED_VALUE"""),42673.0)</f>
        <v>42673</v>
      </c>
      <c r="D97" s="17">
        <f>IFERROR(__xludf.DUMMYFUNCTION("""COMPUTED_VALUE"""),43.0)</f>
        <v>43</v>
      </c>
      <c r="E97" s="17">
        <f>IFERROR(__xludf.DUMMYFUNCTION("""COMPUTED_VALUE"""),4073.0)</f>
        <v>4073</v>
      </c>
      <c r="F97" s="17">
        <f>IFERROR(__xludf.DUMMYFUNCTION("""COMPUTED_VALUE"""),0.0)</f>
        <v>0</v>
      </c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tr">
        <f>IFERROR(__xludf.DUMMYFUNCTION("""COMPUTED_VALUE"""),"Colombia")</f>
        <v>Colombia</v>
      </c>
      <c r="B98" s="54">
        <f>IFERROR(__xludf.DUMMYFUNCTION("""COMPUTED_VALUE"""),42674.0)</f>
        <v>42674</v>
      </c>
      <c r="C98" s="19">
        <f>IFERROR(__xludf.DUMMYFUNCTION("""COMPUTED_VALUE"""),42680.0)</f>
        <v>42680</v>
      </c>
      <c r="D98" s="17">
        <f>IFERROR(__xludf.DUMMYFUNCTION("""COMPUTED_VALUE"""),44.0)</f>
        <v>44</v>
      </c>
      <c r="E98" s="17">
        <f>IFERROR(__xludf.DUMMYFUNCTION("""COMPUTED_VALUE"""),4039.0)</f>
        <v>4039</v>
      </c>
      <c r="F98" s="17">
        <f>IFERROR(__xludf.DUMMYFUNCTION("""COMPUTED_VALUE"""),0.0)</f>
        <v>0</v>
      </c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tr">
        <f>IFERROR(__xludf.DUMMYFUNCTION("""COMPUTED_VALUE"""),"Colombia")</f>
        <v>Colombia</v>
      </c>
      <c r="B99" s="54">
        <f>IFERROR(__xludf.DUMMYFUNCTION("""COMPUTED_VALUE"""),42681.0)</f>
        <v>42681</v>
      </c>
      <c r="C99" s="19">
        <f>IFERROR(__xludf.DUMMYFUNCTION("""COMPUTED_VALUE"""),42687.0)</f>
        <v>42687</v>
      </c>
      <c r="D99" s="17">
        <f>IFERROR(__xludf.DUMMYFUNCTION("""COMPUTED_VALUE"""),45.0)</f>
        <v>45</v>
      </c>
      <c r="E99" s="17">
        <f>IFERROR(__xludf.DUMMYFUNCTION("""COMPUTED_VALUE"""),4173.0)</f>
        <v>4173</v>
      </c>
      <c r="F99" s="17">
        <f>IFERROR(__xludf.DUMMYFUNCTION("""COMPUTED_VALUE"""),0.0)</f>
        <v>0</v>
      </c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tr">
        <f>IFERROR(__xludf.DUMMYFUNCTION("""COMPUTED_VALUE"""),"Colombia")</f>
        <v>Colombia</v>
      </c>
      <c r="B100" s="54">
        <f>IFERROR(__xludf.DUMMYFUNCTION("""COMPUTED_VALUE"""),42688.0)</f>
        <v>42688</v>
      </c>
      <c r="C100" s="19">
        <f>IFERROR(__xludf.DUMMYFUNCTION("""COMPUTED_VALUE"""),42694.0)</f>
        <v>42694</v>
      </c>
      <c r="D100" s="17">
        <f>IFERROR(__xludf.DUMMYFUNCTION("""COMPUTED_VALUE"""),46.0)</f>
        <v>46</v>
      </c>
      <c r="E100" s="17">
        <f>IFERROR(__xludf.DUMMYFUNCTION("""COMPUTED_VALUE"""),4139.0)</f>
        <v>4139</v>
      </c>
      <c r="F100" s="17">
        <f>IFERROR(__xludf.DUMMYFUNCTION("""COMPUTED_VALUE"""),0.0)</f>
        <v>0</v>
      </c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tr">
        <f>IFERROR(__xludf.DUMMYFUNCTION("""COMPUTED_VALUE"""),"Colombia")</f>
        <v>Colombia</v>
      </c>
      <c r="B101" s="54">
        <f>IFERROR(__xludf.DUMMYFUNCTION("""COMPUTED_VALUE"""),42695.0)</f>
        <v>42695</v>
      </c>
      <c r="C101" s="19">
        <f>IFERROR(__xludf.DUMMYFUNCTION("""COMPUTED_VALUE"""),42701.0)</f>
        <v>42701</v>
      </c>
      <c r="D101" s="17">
        <f>IFERROR(__xludf.DUMMYFUNCTION("""COMPUTED_VALUE"""),47.0)</f>
        <v>47</v>
      </c>
      <c r="E101" s="17">
        <f>IFERROR(__xludf.DUMMYFUNCTION("""COMPUTED_VALUE"""),4263.0)</f>
        <v>4263</v>
      </c>
      <c r="F101" s="17">
        <f>IFERROR(__xludf.DUMMYFUNCTION("""COMPUTED_VALUE"""),0.0)</f>
        <v>0</v>
      </c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tr">
        <f>IFERROR(__xludf.DUMMYFUNCTION("""COMPUTED_VALUE"""),"Colombia")</f>
        <v>Colombia</v>
      </c>
      <c r="B102" s="54">
        <f>IFERROR(__xludf.DUMMYFUNCTION("""COMPUTED_VALUE"""),42702.0)</f>
        <v>42702</v>
      </c>
      <c r="C102" s="19">
        <f>IFERROR(__xludf.DUMMYFUNCTION("""COMPUTED_VALUE"""),42708.0)</f>
        <v>42708</v>
      </c>
      <c r="D102" s="17">
        <f>IFERROR(__xludf.DUMMYFUNCTION("""COMPUTED_VALUE"""),48.0)</f>
        <v>48</v>
      </c>
      <c r="E102" s="17">
        <f>IFERROR(__xludf.DUMMYFUNCTION("""COMPUTED_VALUE"""),4269.0)</f>
        <v>4269</v>
      </c>
      <c r="F102" s="17">
        <f>IFERROR(__xludf.DUMMYFUNCTION("""COMPUTED_VALUE"""),0.0)</f>
        <v>0</v>
      </c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tr">
        <f>IFERROR(__xludf.DUMMYFUNCTION("""COMPUTED_VALUE"""),"Colombia")</f>
        <v>Colombia</v>
      </c>
      <c r="B103" s="54">
        <f>IFERROR(__xludf.DUMMYFUNCTION("""COMPUTED_VALUE"""),42709.0)</f>
        <v>42709</v>
      </c>
      <c r="C103" s="19">
        <f>IFERROR(__xludf.DUMMYFUNCTION("""COMPUTED_VALUE"""),42715.0)</f>
        <v>42715</v>
      </c>
      <c r="D103" s="17">
        <f>IFERROR(__xludf.DUMMYFUNCTION("""COMPUTED_VALUE"""),49.0)</f>
        <v>49</v>
      </c>
      <c r="E103" s="17">
        <f>IFERROR(__xludf.DUMMYFUNCTION("""COMPUTED_VALUE"""),4455.0)</f>
        <v>4455</v>
      </c>
      <c r="F103" s="17">
        <f>IFERROR(__xludf.DUMMYFUNCTION("""COMPUTED_VALUE"""),0.0)</f>
        <v>0</v>
      </c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tr">
        <f>IFERROR(__xludf.DUMMYFUNCTION("""COMPUTED_VALUE"""),"Colombia")</f>
        <v>Colombia</v>
      </c>
      <c r="B104" s="54">
        <f>IFERROR(__xludf.DUMMYFUNCTION("""COMPUTED_VALUE"""),42716.0)</f>
        <v>42716</v>
      </c>
      <c r="C104" s="19">
        <f>IFERROR(__xludf.DUMMYFUNCTION("""COMPUTED_VALUE"""),42722.0)</f>
        <v>42722</v>
      </c>
      <c r="D104" s="17">
        <f>IFERROR(__xludf.DUMMYFUNCTION("""COMPUTED_VALUE"""),50.0)</f>
        <v>50</v>
      </c>
      <c r="E104" s="17">
        <f>IFERROR(__xludf.DUMMYFUNCTION("""COMPUTED_VALUE"""),4590.0)</f>
        <v>4590</v>
      </c>
      <c r="F104" s="17">
        <f>IFERROR(__xludf.DUMMYFUNCTION("""COMPUTED_VALUE"""),0.0)</f>
        <v>0</v>
      </c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tr">
        <f>IFERROR(__xludf.DUMMYFUNCTION("""COMPUTED_VALUE"""),"Colombia")</f>
        <v>Colombia</v>
      </c>
      <c r="B105" s="54">
        <f>IFERROR(__xludf.DUMMYFUNCTION("""COMPUTED_VALUE"""),42723.0)</f>
        <v>42723</v>
      </c>
      <c r="C105" s="19">
        <f>IFERROR(__xludf.DUMMYFUNCTION("""COMPUTED_VALUE"""),42729.0)</f>
        <v>42729</v>
      </c>
      <c r="D105" s="17">
        <f>IFERROR(__xludf.DUMMYFUNCTION("""COMPUTED_VALUE"""),51.0)</f>
        <v>51</v>
      </c>
      <c r="E105" s="17">
        <f>IFERROR(__xludf.DUMMYFUNCTION("""COMPUTED_VALUE"""),4586.0)</f>
        <v>4586</v>
      </c>
      <c r="F105" s="17">
        <f>IFERROR(__xludf.DUMMYFUNCTION("""COMPUTED_VALUE"""),0.0)</f>
        <v>0</v>
      </c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tr">
        <f>IFERROR(__xludf.DUMMYFUNCTION("""COMPUTED_VALUE"""),"Colombia")</f>
        <v>Colombia</v>
      </c>
      <c r="B106" s="54">
        <f>IFERROR(__xludf.DUMMYFUNCTION("""COMPUTED_VALUE"""),42730.0)</f>
        <v>42730</v>
      </c>
      <c r="C106" s="19">
        <f>IFERROR(__xludf.DUMMYFUNCTION("""COMPUTED_VALUE"""),42736.0)</f>
        <v>42736</v>
      </c>
      <c r="D106" s="17">
        <f>IFERROR(__xludf.DUMMYFUNCTION("""COMPUTED_VALUE"""),52.0)</f>
        <v>52</v>
      </c>
      <c r="E106" s="17">
        <f>IFERROR(__xludf.DUMMYFUNCTION("""COMPUTED_VALUE"""),4804.0)</f>
        <v>4804</v>
      </c>
      <c r="F106" s="17">
        <f>IFERROR(__xludf.DUMMYFUNCTION("""COMPUTED_VALUE"""),0.0)</f>
        <v>0</v>
      </c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tr">
        <f>IFERROR(__xludf.DUMMYFUNCTION("""COMPUTED_VALUE"""),"Colombia")</f>
        <v>Colombia</v>
      </c>
      <c r="B107" s="54">
        <f>IFERROR(__xludf.DUMMYFUNCTION("""COMPUTED_VALUE"""),42737.0)</f>
        <v>42737</v>
      </c>
      <c r="C107" s="19">
        <f>IFERROR(__xludf.DUMMYFUNCTION("""COMPUTED_VALUE"""),42743.0)</f>
        <v>42743</v>
      </c>
      <c r="D107" s="17">
        <f>IFERROR(__xludf.DUMMYFUNCTION("""COMPUTED_VALUE"""),1.0)</f>
        <v>1</v>
      </c>
      <c r="E107" s="17">
        <f>IFERROR(__xludf.DUMMYFUNCTION("""COMPUTED_VALUE"""),4755.0)</f>
        <v>4755</v>
      </c>
      <c r="F107" s="17">
        <f>IFERROR(__xludf.DUMMYFUNCTION("""COMPUTED_VALUE"""),0.0)</f>
        <v>0</v>
      </c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tr">
        <f>IFERROR(__xludf.DUMMYFUNCTION("""COMPUTED_VALUE"""),"Colombia")</f>
        <v>Colombia</v>
      </c>
      <c r="B108" s="54">
        <f>IFERROR(__xludf.DUMMYFUNCTION("""COMPUTED_VALUE"""),42744.0)</f>
        <v>42744</v>
      </c>
      <c r="C108" s="19">
        <f>IFERROR(__xludf.DUMMYFUNCTION("""COMPUTED_VALUE"""),42750.0)</f>
        <v>42750</v>
      </c>
      <c r="D108" s="17">
        <f>IFERROR(__xludf.DUMMYFUNCTION("""COMPUTED_VALUE"""),2.0)</f>
        <v>2</v>
      </c>
      <c r="E108" s="17">
        <f>IFERROR(__xludf.DUMMYFUNCTION("""COMPUTED_VALUE"""),4756.0)</f>
        <v>4756</v>
      </c>
      <c r="F108" s="17">
        <f>IFERROR(__xludf.DUMMYFUNCTION("""COMPUTED_VALUE"""),0.0)</f>
        <v>0</v>
      </c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tr">
        <f>IFERROR(__xludf.DUMMYFUNCTION("""COMPUTED_VALUE"""),"Colombia")</f>
        <v>Colombia</v>
      </c>
      <c r="B109" s="54">
        <f>IFERROR(__xludf.DUMMYFUNCTION("""COMPUTED_VALUE"""),42751.0)</f>
        <v>42751</v>
      </c>
      <c r="C109" s="19">
        <f>IFERROR(__xludf.DUMMYFUNCTION("""COMPUTED_VALUE"""),42757.0)</f>
        <v>42757</v>
      </c>
      <c r="D109" s="17">
        <f>IFERROR(__xludf.DUMMYFUNCTION("""COMPUTED_VALUE"""),3.0)</f>
        <v>3</v>
      </c>
      <c r="E109" s="17">
        <f>IFERROR(__xludf.DUMMYFUNCTION("""COMPUTED_VALUE"""),4635.0)</f>
        <v>4635</v>
      </c>
      <c r="F109" s="17">
        <f>IFERROR(__xludf.DUMMYFUNCTION("""COMPUTED_VALUE"""),0.0)</f>
        <v>0</v>
      </c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tr">
        <f>IFERROR(__xludf.DUMMYFUNCTION("""COMPUTED_VALUE"""),"Colombia")</f>
        <v>Colombia</v>
      </c>
      <c r="B110" s="54">
        <f>IFERROR(__xludf.DUMMYFUNCTION("""COMPUTED_VALUE"""),42758.0)</f>
        <v>42758</v>
      </c>
      <c r="C110" s="19">
        <f>IFERROR(__xludf.DUMMYFUNCTION("""COMPUTED_VALUE"""),42764.0)</f>
        <v>42764</v>
      </c>
      <c r="D110" s="17">
        <f>IFERROR(__xludf.DUMMYFUNCTION("""COMPUTED_VALUE"""),4.0)</f>
        <v>4</v>
      </c>
      <c r="E110" s="17">
        <f>IFERROR(__xludf.DUMMYFUNCTION("""COMPUTED_VALUE"""),4574.0)</f>
        <v>4574</v>
      </c>
      <c r="F110" s="17">
        <f>IFERROR(__xludf.DUMMYFUNCTION("""COMPUTED_VALUE"""),0.0)</f>
        <v>0</v>
      </c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tr">
        <f>IFERROR(__xludf.DUMMYFUNCTION("""COMPUTED_VALUE"""),"Colombia")</f>
        <v>Colombia</v>
      </c>
      <c r="B111" s="54">
        <f>IFERROR(__xludf.DUMMYFUNCTION("""COMPUTED_VALUE"""),42765.0)</f>
        <v>42765</v>
      </c>
      <c r="C111" s="19">
        <f>IFERROR(__xludf.DUMMYFUNCTION("""COMPUTED_VALUE"""),42771.0)</f>
        <v>42771</v>
      </c>
      <c r="D111" s="17">
        <f>IFERROR(__xludf.DUMMYFUNCTION("""COMPUTED_VALUE"""),5.0)</f>
        <v>5</v>
      </c>
      <c r="E111" s="17">
        <f>IFERROR(__xludf.DUMMYFUNCTION("""COMPUTED_VALUE"""),4392.0)</f>
        <v>4392</v>
      </c>
      <c r="F111" s="17">
        <f>IFERROR(__xludf.DUMMYFUNCTION("""COMPUTED_VALUE"""),0.0)</f>
        <v>0</v>
      </c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tr">
        <f>IFERROR(__xludf.DUMMYFUNCTION("""COMPUTED_VALUE"""),"Colombia")</f>
        <v>Colombia</v>
      </c>
      <c r="B112" s="54">
        <f>IFERROR(__xludf.DUMMYFUNCTION("""COMPUTED_VALUE"""),42772.0)</f>
        <v>42772</v>
      </c>
      <c r="C112" s="19">
        <f>IFERROR(__xludf.DUMMYFUNCTION("""COMPUTED_VALUE"""),42778.0)</f>
        <v>42778</v>
      </c>
      <c r="D112" s="17">
        <f>IFERROR(__xludf.DUMMYFUNCTION("""COMPUTED_VALUE"""),6.0)</f>
        <v>6</v>
      </c>
      <c r="E112" s="17">
        <f>IFERROR(__xludf.DUMMYFUNCTION("""COMPUTED_VALUE"""),4402.0)</f>
        <v>4402</v>
      </c>
      <c r="F112" s="17">
        <f>IFERROR(__xludf.DUMMYFUNCTION("""COMPUTED_VALUE"""),0.0)</f>
        <v>0</v>
      </c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tr">
        <f>IFERROR(__xludf.DUMMYFUNCTION("""COMPUTED_VALUE"""),"Colombia")</f>
        <v>Colombia</v>
      </c>
      <c r="B113" s="54">
        <f>IFERROR(__xludf.DUMMYFUNCTION("""COMPUTED_VALUE"""),42779.0)</f>
        <v>42779</v>
      </c>
      <c r="C113" s="19">
        <f>IFERROR(__xludf.DUMMYFUNCTION("""COMPUTED_VALUE"""),42785.0)</f>
        <v>42785</v>
      </c>
      <c r="D113" s="17">
        <f>IFERROR(__xludf.DUMMYFUNCTION("""COMPUTED_VALUE"""),7.0)</f>
        <v>7</v>
      </c>
      <c r="E113" s="17">
        <f>IFERROR(__xludf.DUMMYFUNCTION("""COMPUTED_VALUE"""),4231.0)</f>
        <v>4231</v>
      </c>
      <c r="F113" s="17">
        <f>IFERROR(__xludf.DUMMYFUNCTION("""COMPUTED_VALUE"""),0.0)</f>
        <v>0</v>
      </c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tr">
        <f>IFERROR(__xludf.DUMMYFUNCTION("""COMPUTED_VALUE"""),"Colombia")</f>
        <v>Colombia</v>
      </c>
      <c r="B114" s="54">
        <f>IFERROR(__xludf.DUMMYFUNCTION("""COMPUTED_VALUE"""),42786.0)</f>
        <v>42786</v>
      </c>
      <c r="C114" s="19">
        <f>IFERROR(__xludf.DUMMYFUNCTION("""COMPUTED_VALUE"""),42792.0)</f>
        <v>42792</v>
      </c>
      <c r="D114" s="17">
        <f>IFERROR(__xludf.DUMMYFUNCTION("""COMPUTED_VALUE"""),8.0)</f>
        <v>8</v>
      </c>
      <c r="E114" s="17">
        <f>IFERROR(__xludf.DUMMYFUNCTION("""COMPUTED_VALUE"""),4199.0)</f>
        <v>4199</v>
      </c>
      <c r="F114" s="17">
        <f>IFERROR(__xludf.DUMMYFUNCTION("""COMPUTED_VALUE"""),0.0)</f>
        <v>0</v>
      </c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tr">
        <f>IFERROR(__xludf.DUMMYFUNCTION("""COMPUTED_VALUE"""),"Colombia")</f>
        <v>Colombia</v>
      </c>
      <c r="B115" s="54">
        <f>IFERROR(__xludf.DUMMYFUNCTION("""COMPUTED_VALUE"""),42793.0)</f>
        <v>42793</v>
      </c>
      <c r="C115" s="19">
        <f>IFERROR(__xludf.DUMMYFUNCTION("""COMPUTED_VALUE"""),42799.0)</f>
        <v>42799</v>
      </c>
      <c r="D115" s="17">
        <f>IFERROR(__xludf.DUMMYFUNCTION("""COMPUTED_VALUE"""),9.0)</f>
        <v>9</v>
      </c>
      <c r="E115" s="17">
        <f>IFERROR(__xludf.DUMMYFUNCTION("""COMPUTED_VALUE"""),4173.0)</f>
        <v>4173</v>
      </c>
      <c r="F115" s="17">
        <f>IFERROR(__xludf.DUMMYFUNCTION("""COMPUTED_VALUE"""),0.0)</f>
        <v>0</v>
      </c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tr">
        <f>IFERROR(__xludf.DUMMYFUNCTION("""COMPUTED_VALUE"""),"Colombia")</f>
        <v>Colombia</v>
      </c>
      <c r="B116" s="54">
        <f>IFERROR(__xludf.DUMMYFUNCTION("""COMPUTED_VALUE"""),42800.0)</f>
        <v>42800</v>
      </c>
      <c r="C116" s="19">
        <f>IFERROR(__xludf.DUMMYFUNCTION("""COMPUTED_VALUE"""),42806.0)</f>
        <v>42806</v>
      </c>
      <c r="D116" s="17">
        <f>IFERROR(__xludf.DUMMYFUNCTION("""COMPUTED_VALUE"""),10.0)</f>
        <v>10</v>
      </c>
      <c r="E116" s="17">
        <f>IFERROR(__xludf.DUMMYFUNCTION("""COMPUTED_VALUE"""),4244.0)</f>
        <v>4244</v>
      </c>
      <c r="F116" s="17">
        <f>IFERROR(__xludf.DUMMYFUNCTION("""COMPUTED_VALUE"""),0.0)</f>
        <v>0</v>
      </c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tr">
        <f>IFERROR(__xludf.DUMMYFUNCTION("""COMPUTED_VALUE"""),"Colombia")</f>
        <v>Colombia</v>
      </c>
      <c r="B117" s="54">
        <f>IFERROR(__xludf.DUMMYFUNCTION("""COMPUTED_VALUE"""),42807.0)</f>
        <v>42807</v>
      </c>
      <c r="C117" s="19">
        <f>IFERROR(__xludf.DUMMYFUNCTION("""COMPUTED_VALUE"""),42813.0)</f>
        <v>42813</v>
      </c>
      <c r="D117" s="17">
        <f>IFERROR(__xludf.DUMMYFUNCTION("""COMPUTED_VALUE"""),11.0)</f>
        <v>11</v>
      </c>
      <c r="E117" s="17">
        <f>IFERROR(__xludf.DUMMYFUNCTION("""COMPUTED_VALUE"""),4156.0)</f>
        <v>4156</v>
      </c>
      <c r="F117" s="17">
        <f>IFERROR(__xludf.DUMMYFUNCTION("""COMPUTED_VALUE"""),0.0)</f>
        <v>0</v>
      </c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tr">
        <f>IFERROR(__xludf.DUMMYFUNCTION("""COMPUTED_VALUE"""),"Colombia")</f>
        <v>Colombia</v>
      </c>
      <c r="B118" s="54">
        <f>IFERROR(__xludf.DUMMYFUNCTION("""COMPUTED_VALUE"""),42814.0)</f>
        <v>42814</v>
      </c>
      <c r="C118" s="19">
        <f>IFERROR(__xludf.DUMMYFUNCTION("""COMPUTED_VALUE"""),42820.0)</f>
        <v>42820</v>
      </c>
      <c r="D118" s="17">
        <f>IFERROR(__xludf.DUMMYFUNCTION("""COMPUTED_VALUE"""),12.0)</f>
        <v>12</v>
      </c>
      <c r="E118" s="17">
        <f>IFERROR(__xludf.DUMMYFUNCTION("""COMPUTED_VALUE"""),4165.0)</f>
        <v>4165</v>
      </c>
      <c r="F118" s="17">
        <f>IFERROR(__xludf.DUMMYFUNCTION("""COMPUTED_VALUE"""),0.0)</f>
        <v>0</v>
      </c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tr">
        <f>IFERROR(__xludf.DUMMYFUNCTION("""COMPUTED_VALUE"""),"Colombia")</f>
        <v>Colombia</v>
      </c>
      <c r="B119" s="54">
        <f>IFERROR(__xludf.DUMMYFUNCTION("""COMPUTED_VALUE"""),42821.0)</f>
        <v>42821</v>
      </c>
      <c r="C119" s="19">
        <f>IFERROR(__xludf.DUMMYFUNCTION("""COMPUTED_VALUE"""),42827.0)</f>
        <v>42827</v>
      </c>
      <c r="D119" s="17">
        <f>IFERROR(__xludf.DUMMYFUNCTION("""COMPUTED_VALUE"""),13.0)</f>
        <v>13</v>
      </c>
      <c r="E119" s="17">
        <f>IFERROR(__xludf.DUMMYFUNCTION("""COMPUTED_VALUE"""),4539.0)</f>
        <v>4539</v>
      </c>
      <c r="F119" s="17">
        <f>IFERROR(__xludf.DUMMYFUNCTION("""COMPUTED_VALUE"""),0.0)</f>
        <v>0</v>
      </c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tr">
        <f>IFERROR(__xludf.DUMMYFUNCTION("""COMPUTED_VALUE"""),"Colombia")</f>
        <v>Colombia</v>
      </c>
      <c r="B120" s="54">
        <f>IFERROR(__xludf.DUMMYFUNCTION("""COMPUTED_VALUE"""),42828.0)</f>
        <v>42828</v>
      </c>
      <c r="C120" s="19">
        <f>IFERROR(__xludf.DUMMYFUNCTION("""COMPUTED_VALUE"""),42834.0)</f>
        <v>42834</v>
      </c>
      <c r="D120" s="17">
        <f>IFERROR(__xludf.DUMMYFUNCTION("""COMPUTED_VALUE"""),14.0)</f>
        <v>14</v>
      </c>
      <c r="E120" s="17">
        <f>IFERROR(__xludf.DUMMYFUNCTION("""COMPUTED_VALUE"""),4355.0)</f>
        <v>4355</v>
      </c>
      <c r="F120" s="17">
        <f>IFERROR(__xludf.DUMMYFUNCTION("""COMPUTED_VALUE"""),0.0)</f>
        <v>0</v>
      </c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tr">
        <f>IFERROR(__xludf.DUMMYFUNCTION("""COMPUTED_VALUE"""),"Colombia")</f>
        <v>Colombia</v>
      </c>
      <c r="B121" s="54">
        <f>IFERROR(__xludf.DUMMYFUNCTION("""COMPUTED_VALUE"""),42835.0)</f>
        <v>42835</v>
      </c>
      <c r="C121" s="19">
        <f>IFERROR(__xludf.DUMMYFUNCTION("""COMPUTED_VALUE"""),42841.0)</f>
        <v>42841</v>
      </c>
      <c r="D121" s="17">
        <f>IFERROR(__xludf.DUMMYFUNCTION("""COMPUTED_VALUE"""),15.0)</f>
        <v>15</v>
      </c>
      <c r="E121" s="17">
        <f>IFERROR(__xludf.DUMMYFUNCTION("""COMPUTED_VALUE"""),4183.0)</f>
        <v>4183</v>
      </c>
      <c r="F121" s="17">
        <f>IFERROR(__xludf.DUMMYFUNCTION("""COMPUTED_VALUE"""),0.0)</f>
        <v>0</v>
      </c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tr">
        <f>IFERROR(__xludf.DUMMYFUNCTION("""COMPUTED_VALUE"""),"Colombia")</f>
        <v>Colombia</v>
      </c>
      <c r="B122" s="54">
        <f>IFERROR(__xludf.DUMMYFUNCTION("""COMPUTED_VALUE"""),42842.0)</f>
        <v>42842</v>
      </c>
      <c r="C122" s="19">
        <f>IFERROR(__xludf.DUMMYFUNCTION("""COMPUTED_VALUE"""),42848.0)</f>
        <v>42848</v>
      </c>
      <c r="D122" s="17">
        <f>IFERROR(__xludf.DUMMYFUNCTION("""COMPUTED_VALUE"""),16.0)</f>
        <v>16</v>
      </c>
      <c r="E122" s="17">
        <f>IFERROR(__xludf.DUMMYFUNCTION("""COMPUTED_VALUE"""),4271.0)</f>
        <v>4271</v>
      </c>
      <c r="F122" s="17">
        <f>IFERROR(__xludf.DUMMYFUNCTION("""COMPUTED_VALUE"""),0.0)</f>
        <v>0</v>
      </c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tr">
        <f>IFERROR(__xludf.DUMMYFUNCTION("""COMPUTED_VALUE"""),"Colombia")</f>
        <v>Colombia</v>
      </c>
      <c r="B123" s="54">
        <f>IFERROR(__xludf.DUMMYFUNCTION("""COMPUTED_VALUE"""),42849.0)</f>
        <v>42849</v>
      </c>
      <c r="C123" s="19">
        <f>IFERROR(__xludf.DUMMYFUNCTION("""COMPUTED_VALUE"""),42855.0)</f>
        <v>42855</v>
      </c>
      <c r="D123" s="17">
        <f>IFERROR(__xludf.DUMMYFUNCTION("""COMPUTED_VALUE"""),17.0)</f>
        <v>17</v>
      </c>
      <c r="E123" s="17">
        <f>IFERROR(__xludf.DUMMYFUNCTION("""COMPUTED_VALUE"""),4302.0)</f>
        <v>4302</v>
      </c>
      <c r="F123" s="17">
        <f>IFERROR(__xludf.DUMMYFUNCTION("""COMPUTED_VALUE"""),0.0)</f>
        <v>0</v>
      </c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tr">
        <f>IFERROR(__xludf.DUMMYFUNCTION("""COMPUTED_VALUE"""),"Colombia")</f>
        <v>Colombia</v>
      </c>
      <c r="B124" s="54">
        <f>IFERROR(__xludf.DUMMYFUNCTION("""COMPUTED_VALUE"""),42856.0)</f>
        <v>42856</v>
      </c>
      <c r="C124" s="19">
        <f>IFERROR(__xludf.DUMMYFUNCTION("""COMPUTED_VALUE"""),42862.0)</f>
        <v>42862</v>
      </c>
      <c r="D124" s="17">
        <f>IFERROR(__xludf.DUMMYFUNCTION("""COMPUTED_VALUE"""),18.0)</f>
        <v>18</v>
      </c>
      <c r="E124" s="17">
        <f>IFERROR(__xludf.DUMMYFUNCTION("""COMPUTED_VALUE"""),4080.0)</f>
        <v>4080</v>
      </c>
      <c r="F124" s="17">
        <f>IFERROR(__xludf.DUMMYFUNCTION("""COMPUTED_VALUE"""),0.0)</f>
        <v>0</v>
      </c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tr">
        <f>IFERROR(__xludf.DUMMYFUNCTION("""COMPUTED_VALUE"""),"Colombia")</f>
        <v>Colombia</v>
      </c>
      <c r="B125" s="54">
        <f>IFERROR(__xludf.DUMMYFUNCTION("""COMPUTED_VALUE"""),42863.0)</f>
        <v>42863</v>
      </c>
      <c r="C125" s="19">
        <f>IFERROR(__xludf.DUMMYFUNCTION("""COMPUTED_VALUE"""),42869.0)</f>
        <v>42869</v>
      </c>
      <c r="D125" s="17">
        <f>IFERROR(__xludf.DUMMYFUNCTION("""COMPUTED_VALUE"""),19.0)</f>
        <v>19</v>
      </c>
      <c r="E125" s="17">
        <f>IFERROR(__xludf.DUMMYFUNCTION("""COMPUTED_VALUE"""),4196.0)</f>
        <v>4196</v>
      </c>
      <c r="F125" s="17">
        <f>IFERROR(__xludf.DUMMYFUNCTION("""COMPUTED_VALUE"""),0.0)</f>
        <v>0</v>
      </c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tr">
        <f>IFERROR(__xludf.DUMMYFUNCTION("""COMPUTED_VALUE"""),"Colombia")</f>
        <v>Colombia</v>
      </c>
      <c r="B126" s="54">
        <f>IFERROR(__xludf.DUMMYFUNCTION("""COMPUTED_VALUE"""),42870.0)</f>
        <v>42870</v>
      </c>
      <c r="C126" s="19">
        <f>IFERROR(__xludf.DUMMYFUNCTION("""COMPUTED_VALUE"""),42876.0)</f>
        <v>42876</v>
      </c>
      <c r="D126" s="17">
        <f>IFERROR(__xludf.DUMMYFUNCTION("""COMPUTED_VALUE"""),20.0)</f>
        <v>20</v>
      </c>
      <c r="E126" s="17">
        <f>IFERROR(__xludf.DUMMYFUNCTION("""COMPUTED_VALUE"""),4516.0)</f>
        <v>4516</v>
      </c>
      <c r="F126" s="17">
        <f>IFERROR(__xludf.DUMMYFUNCTION("""COMPUTED_VALUE"""),0.0)</f>
        <v>0</v>
      </c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tr">
        <f>IFERROR(__xludf.DUMMYFUNCTION("""COMPUTED_VALUE"""),"Colombia")</f>
        <v>Colombia</v>
      </c>
      <c r="B127" s="54">
        <f>IFERROR(__xludf.DUMMYFUNCTION("""COMPUTED_VALUE"""),42877.0)</f>
        <v>42877</v>
      </c>
      <c r="C127" s="19">
        <f>IFERROR(__xludf.DUMMYFUNCTION("""COMPUTED_VALUE"""),42883.0)</f>
        <v>42883</v>
      </c>
      <c r="D127" s="17">
        <f>IFERROR(__xludf.DUMMYFUNCTION("""COMPUTED_VALUE"""),21.0)</f>
        <v>21</v>
      </c>
      <c r="E127" s="17">
        <f>IFERROR(__xludf.DUMMYFUNCTION("""COMPUTED_VALUE"""),4370.0)</f>
        <v>4370</v>
      </c>
      <c r="F127" s="17">
        <f>IFERROR(__xludf.DUMMYFUNCTION("""COMPUTED_VALUE"""),0.0)</f>
        <v>0</v>
      </c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tr">
        <f>IFERROR(__xludf.DUMMYFUNCTION("""COMPUTED_VALUE"""),"Colombia")</f>
        <v>Colombia</v>
      </c>
      <c r="B128" s="54">
        <f>IFERROR(__xludf.DUMMYFUNCTION("""COMPUTED_VALUE"""),42884.0)</f>
        <v>42884</v>
      </c>
      <c r="C128" s="19">
        <f>IFERROR(__xludf.DUMMYFUNCTION("""COMPUTED_VALUE"""),42890.0)</f>
        <v>42890</v>
      </c>
      <c r="D128" s="17">
        <f>IFERROR(__xludf.DUMMYFUNCTION("""COMPUTED_VALUE"""),22.0)</f>
        <v>22</v>
      </c>
      <c r="E128" s="17">
        <f>IFERROR(__xludf.DUMMYFUNCTION("""COMPUTED_VALUE"""),4500.0)</f>
        <v>4500</v>
      </c>
      <c r="F128" s="17">
        <f>IFERROR(__xludf.DUMMYFUNCTION("""COMPUTED_VALUE"""),0.0)</f>
        <v>0</v>
      </c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tr">
        <f>IFERROR(__xludf.DUMMYFUNCTION("""COMPUTED_VALUE"""),"Colombia")</f>
        <v>Colombia</v>
      </c>
      <c r="B129" s="54">
        <f>IFERROR(__xludf.DUMMYFUNCTION("""COMPUTED_VALUE"""),42891.0)</f>
        <v>42891</v>
      </c>
      <c r="C129" s="19">
        <f>IFERROR(__xludf.DUMMYFUNCTION("""COMPUTED_VALUE"""),42897.0)</f>
        <v>42897</v>
      </c>
      <c r="D129" s="17">
        <f>IFERROR(__xludf.DUMMYFUNCTION("""COMPUTED_VALUE"""),23.0)</f>
        <v>23</v>
      </c>
      <c r="E129" s="17">
        <f>IFERROR(__xludf.DUMMYFUNCTION("""COMPUTED_VALUE"""),4342.0)</f>
        <v>4342</v>
      </c>
      <c r="F129" s="17">
        <f>IFERROR(__xludf.DUMMYFUNCTION("""COMPUTED_VALUE"""),0.0)</f>
        <v>0</v>
      </c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tr">
        <f>IFERROR(__xludf.DUMMYFUNCTION("""COMPUTED_VALUE"""),"Colombia")</f>
        <v>Colombia</v>
      </c>
      <c r="B130" s="54">
        <f>IFERROR(__xludf.DUMMYFUNCTION("""COMPUTED_VALUE"""),42898.0)</f>
        <v>42898</v>
      </c>
      <c r="C130" s="19">
        <f>IFERROR(__xludf.DUMMYFUNCTION("""COMPUTED_VALUE"""),42904.0)</f>
        <v>42904</v>
      </c>
      <c r="D130" s="17">
        <f>IFERROR(__xludf.DUMMYFUNCTION("""COMPUTED_VALUE"""),24.0)</f>
        <v>24</v>
      </c>
      <c r="E130" s="17">
        <f>IFERROR(__xludf.DUMMYFUNCTION("""COMPUTED_VALUE"""),4339.0)</f>
        <v>4339</v>
      </c>
      <c r="F130" s="17">
        <f>IFERROR(__xludf.DUMMYFUNCTION("""COMPUTED_VALUE"""),0.0)</f>
        <v>0</v>
      </c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tr">
        <f>IFERROR(__xludf.DUMMYFUNCTION("""COMPUTED_VALUE"""),"Colombia")</f>
        <v>Colombia</v>
      </c>
      <c r="B131" s="54">
        <f>IFERROR(__xludf.DUMMYFUNCTION("""COMPUTED_VALUE"""),42905.0)</f>
        <v>42905</v>
      </c>
      <c r="C131" s="19">
        <f>IFERROR(__xludf.DUMMYFUNCTION("""COMPUTED_VALUE"""),42911.0)</f>
        <v>42911</v>
      </c>
      <c r="D131" s="17">
        <f>IFERROR(__xludf.DUMMYFUNCTION("""COMPUTED_VALUE"""),25.0)</f>
        <v>25</v>
      </c>
      <c r="E131" s="17">
        <f>IFERROR(__xludf.DUMMYFUNCTION("""COMPUTED_VALUE"""),4171.0)</f>
        <v>4171</v>
      </c>
      <c r="F131" s="17">
        <f>IFERROR(__xludf.DUMMYFUNCTION("""COMPUTED_VALUE"""),0.0)</f>
        <v>0</v>
      </c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tr">
        <f>IFERROR(__xludf.DUMMYFUNCTION("""COMPUTED_VALUE"""),"Colombia")</f>
        <v>Colombia</v>
      </c>
      <c r="B132" s="54">
        <f>IFERROR(__xludf.DUMMYFUNCTION("""COMPUTED_VALUE"""),42912.0)</f>
        <v>42912</v>
      </c>
      <c r="C132" s="19">
        <f>IFERROR(__xludf.DUMMYFUNCTION("""COMPUTED_VALUE"""),42918.0)</f>
        <v>42918</v>
      </c>
      <c r="D132" s="17">
        <f>IFERROR(__xludf.DUMMYFUNCTION("""COMPUTED_VALUE"""),26.0)</f>
        <v>26</v>
      </c>
      <c r="E132" s="17">
        <f>IFERROR(__xludf.DUMMYFUNCTION("""COMPUTED_VALUE"""),4412.0)</f>
        <v>4412</v>
      </c>
      <c r="F132" s="17">
        <f>IFERROR(__xludf.DUMMYFUNCTION("""COMPUTED_VALUE"""),0.0)</f>
        <v>0</v>
      </c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tr">
        <f>IFERROR(__xludf.DUMMYFUNCTION("""COMPUTED_VALUE"""),"Colombia")</f>
        <v>Colombia</v>
      </c>
      <c r="B133" s="54">
        <f>IFERROR(__xludf.DUMMYFUNCTION("""COMPUTED_VALUE"""),42919.0)</f>
        <v>42919</v>
      </c>
      <c r="C133" s="19">
        <f>IFERROR(__xludf.DUMMYFUNCTION("""COMPUTED_VALUE"""),42925.0)</f>
        <v>42925</v>
      </c>
      <c r="D133" s="17">
        <f>IFERROR(__xludf.DUMMYFUNCTION("""COMPUTED_VALUE"""),27.0)</f>
        <v>27</v>
      </c>
      <c r="E133" s="17">
        <f>IFERROR(__xludf.DUMMYFUNCTION("""COMPUTED_VALUE"""),4418.0)</f>
        <v>4418</v>
      </c>
      <c r="F133" s="17">
        <f>IFERROR(__xludf.DUMMYFUNCTION("""COMPUTED_VALUE"""),0.0)</f>
        <v>0</v>
      </c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tr">
        <f>IFERROR(__xludf.DUMMYFUNCTION("""COMPUTED_VALUE"""),"Colombia")</f>
        <v>Colombia</v>
      </c>
      <c r="B134" s="54">
        <f>IFERROR(__xludf.DUMMYFUNCTION("""COMPUTED_VALUE"""),42926.0)</f>
        <v>42926</v>
      </c>
      <c r="C134" s="19">
        <f>IFERROR(__xludf.DUMMYFUNCTION("""COMPUTED_VALUE"""),42932.0)</f>
        <v>42932</v>
      </c>
      <c r="D134" s="17">
        <f>IFERROR(__xludf.DUMMYFUNCTION("""COMPUTED_VALUE"""),28.0)</f>
        <v>28</v>
      </c>
      <c r="E134" s="17">
        <f>IFERROR(__xludf.DUMMYFUNCTION("""COMPUTED_VALUE"""),4400.0)</f>
        <v>4400</v>
      </c>
      <c r="F134" s="17">
        <f>IFERROR(__xludf.DUMMYFUNCTION("""COMPUTED_VALUE"""),0.0)</f>
        <v>0</v>
      </c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tr">
        <f>IFERROR(__xludf.DUMMYFUNCTION("""COMPUTED_VALUE"""),"Colombia")</f>
        <v>Colombia</v>
      </c>
      <c r="B135" s="54">
        <f>IFERROR(__xludf.DUMMYFUNCTION("""COMPUTED_VALUE"""),42933.0)</f>
        <v>42933</v>
      </c>
      <c r="C135" s="19">
        <f>IFERROR(__xludf.DUMMYFUNCTION("""COMPUTED_VALUE"""),42939.0)</f>
        <v>42939</v>
      </c>
      <c r="D135" s="17">
        <f>IFERROR(__xludf.DUMMYFUNCTION("""COMPUTED_VALUE"""),29.0)</f>
        <v>29</v>
      </c>
      <c r="E135" s="17">
        <f>IFERROR(__xludf.DUMMYFUNCTION("""COMPUTED_VALUE"""),4339.0)</f>
        <v>4339</v>
      </c>
      <c r="F135" s="17">
        <f>IFERROR(__xludf.DUMMYFUNCTION("""COMPUTED_VALUE"""),0.0)</f>
        <v>0</v>
      </c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tr">
        <f>IFERROR(__xludf.DUMMYFUNCTION("""COMPUTED_VALUE"""),"Colombia")</f>
        <v>Colombia</v>
      </c>
      <c r="B136" s="54">
        <f>IFERROR(__xludf.DUMMYFUNCTION("""COMPUTED_VALUE"""),42940.0)</f>
        <v>42940</v>
      </c>
      <c r="C136" s="19">
        <f>IFERROR(__xludf.DUMMYFUNCTION("""COMPUTED_VALUE"""),42946.0)</f>
        <v>42946</v>
      </c>
      <c r="D136" s="17">
        <f>IFERROR(__xludf.DUMMYFUNCTION("""COMPUTED_VALUE"""),30.0)</f>
        <v>30</v>
      </c>
      <c r="E136" s="17">
        <f>IFERROR(__xludf.DUMMYFUNCTION("""COMPUTED_VALUE"""),4263.0)</f>
        <v>4263</v>
      </c>
      <c r="F136" s="17">
        <f>IFERROR(__xludf.DUMMYFUNCTION("""COMPUTED_VALUE"""),0.0)</f>
        <v>0</v>
      </c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tr">
        <f>IFERROR(__xludf.DUMMYFUNCTION("""COMPUTED_VALUE"""),"Colombia")</f>
        <v>Colombia</v>
      </c>
      <c r="B137" s="54">
        <f>IFERROR(__xludf.DUMMYFUNCTION("""COMPUTED_VALUE"""),42947.0)</f>
        <v>42947</v>
      </c>
      <c r="C137" s="19">
        <f>IFERROR(__xludf.DUMMYFUNCTION("""COMPUTED_VALUE"""),42953.0)</f>
        <v>42953</v>
      </c>
      <c r="D137" s="17">
        <f>IFERROR(__xludf.DUMMYFUNCTION("""COMPUTED_VALUE"""),31.0)</f>
        <v>31</v>
      </c>
      <c r="E137" s="17">
        <f>IFERROR(__xludf.DUMMYFUNCTION("""COMPUTED_VALUE"""),4390.0)</f>
        <v>4390</v>
      </c>
      <c r="F137" s="17">
        <f>IFERROR(__xludf.DUMMYFUNCTION("""COMPUTED_VALUE"""),0.0)</f>
        <v>0</v>
      </c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tr">
        <f>IFERROR(__xludf.DUMMYFUNCTION("""COMPUTED_VALUE"""),"Colombia")</f>
        <v>Colombia</v>
      </c>
      <c r="B138" s="54">
        <f>IFERROR(__xludf.DUMMYFUNCTION("""COMPUTED_VALUE"""),42954.0)</f>
        <v>42954</v>
      </c>
      <c r="C138" s="19">
        <f>IFERROR(__xludf.DUMMYFUNCTION("""COMPUTED_VALUE"""),42960.0)</f>
        <v>42960</v>
      </c>
      <c r="D138" s="17">
        <f>IFERROR(__xludf.DUMMYFUNCTION("""COMPUTED_VALUE"""),32.0)</f>
        <v>32</v>
      </c>
      <c r="E138" s="17">
        <f>IFERROR(__xludf.DUMMYFUNCTION("""COMPUTED_VALUE"""),4278.0)</f>
        <v>4278</v>
      </c>
      <c r="F138" s="17">
        <f>IFERROR(__xludf.DUMMYFUNCTION("""COMPUTED_VALUE"""),0.0)</f>
        <v>0</v>
      </c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tr">
        <f>IFERROR(__xludf.DUMMYFUNCTION("""COMPUTED_VALUE"""),"Colombia")</f>
        <v>Colombia</v>
      </c>
      <c r="B139" s="54">
        <f>IFERROR(__xludf.DUMMYFUNCTION("""COMPUTED_VALUE"""),42961.0)</f>
        <v>42961</v>
      </c>
      <c r="C139" s="19">
        <f>IFERROR(__xludf.DUMMYFUNCTION("""COMPUTED_VALUE"""),42967.0)</f>
        <v>42967</v>
      </c>
      <c r="D139" s="17">
        <f>IFERROR(__xludf.DUMMYFUNCTION("""COMPUTED_VALUE"""),33.0)</f>
        <v>33</v>
      </c>
      <c r="E139" s="17">
        <f>IFERROR(__xludf.DUMMYFUNCTION("""COMPUTED_VALUE"""),4389.0)</f>
        <v>4389</v>
      </c>
      <c r="F139" s="17">
        <f>IFERROR(__xludf.DUMMYFUNCTION("""COMPUTED_VALUE"""),0.0)</f>
        <v>0</v>
      </c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tr">
        <f>IFERROR(__xludf.DUMMYFUNCTION("""COMPUTED_VALUE"""),"Colombia")</f>
        <v>Colombia</v>
      </c>
      <c r="B140" s="54">
        <f>IFERROR(__xludf.DUMMYFUNCTION("""COMPUTED_VALUE"""),42968.0)</f>
        <v>42968</v>
      </c>
      <c r="C140" s="19">
        <f>IFERROR(__xludf.DUMMYFUNCTION("""COMPUTED_VALUE"""),42974.0)</f>
        <v>42974</v>
      </c>
      <c r="D140" s="17">
        <f>IFERROR(__xludf.DUMMYFUNCTION("""COMPUTED_VALUE"""),34.0)</f>
        <v>34</v>
      </c>
      <c r="E140" s="17">
        <f>IFERROR(__xludf.DUMMYFUNCTION("""COMPUTED_VALUE"""),4234.0)</f>
        <v>4234</v>
      </c>
      <c r="F140" s="17">
        <f>IFERROR(__xludf.DUMMYFUNCTION("""COMPUTED_VALUE"""),0.0)</f>
        <v>0</v>
      </c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tr">
        <f>IFERROR(__xludf.DUMMYFUNCTION("""COMPUTED_VALUE"""),"Colombia")</f>
        <v>Colombia</v>
      </c>
      <c r="B141" s="54">
        <f>IFERROR(__xludf.DUMMYFUNCTION("""COMPUTED_VALUE"""),42975.0)</f>
        <v>42975</v>
      </c>
      <c r="C141" s="19">
        <f>IFERROR(__xludf.DUMMYFUNCTION("""COMPUTED_VALUE"""),42981.0)</f>
        <v>42981</v>
      </c>
      <c r="D141" s="17">
        <f>IFERROR(__xludf.DUMMYFUNCTION("""COMPUTED_VALUE"""),35.0)</f>
        <v>35</v>
      </c>
      <c r="E141" s="17">
        <f>IFERROR(__xludf.DUMMYFUNCTION("""COMPUTED_VALUE"""),4253.0)</f>
        <v>4253</v>
      </c>
      <c r="F141" s="17">
        <f>IFERROR(__xludf.DUMMYFUNCTION("""COMPUTED_VALUE"""),0.0)</f>
        <v>0</v>
      </c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tr">
        <f>IFERROR(__xludf.DUMMYFUNCTION("""COMPUTED_VALUE"""),"Colombia")</f>
        <v>Colombia</v>
      </c>
      <c r="B142" s="54">
        <f>IFERROR(__xludf.DUMMYFUNCTION("""COMPUTED_VALUE"""),42982.0)</f>
        <v>42982</v>
      </c>
      <c r="C142" s="19">
        <f>IFERROR(__xludf.DUMMYFUNCTION("""COMPUTED_VALUE"""),42988.0)</f>
        <v>42988</v>
      </c>
      <c r="D142" s="17">
        <f>IFERROR(__xludf.DUMMYFUNCTION("""COMPUTED_VALUE"""),36.0)</f>
        <v>36</v>
      </c>
      <c r="E142" s="17">
        <f>IFERROR(__xludf.DUMMYFUNCTION("""COMPUTED_VALUE"""),4256.0)</f>
        <v>4256</v>
      </c>
      <c r="F142" s="17">
        <f>IFERROR(__xludf.DUMMYFUNCTION("""COMPUTED_VALUE"""),0.0)</f>
        <v>0</v>
      </c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tr">
        <f>IFERROR(__xludf.DUMMYFUNCTION("""COMPUTED_VALUE"""),"Colombia")</f>
        <v>Colombia</v>
      </c>
      <c r="B143" s="54">
        <f>IFERROR(__xludf.DUMMYFUNCTION("""COMPUTED_VALUE"""),42989.0)</f>
        <v>42989</v>
      </c>
      <c r="C143" s="19">
        <f>IFERROR(__xludf.DUMMYFUNCTION("""COMPUTED_VALUE"""),42995.0)</f>
        <v>42995</v>
      </c>
      <c r="D143" s="17">
        <f>IFERROR(__xludf.DUMMYFUNCTION("""COMPUTED_VALUE"""),37.0)</f>
        <v>37</v>
      </c>
      <c r="E143" s="17">
        <f>IFERROR(__xludf.DUMMYFUNCTION("""COMPUTED_VALUE"""),4373.0)</f>
        <v>4373</v>
      </c>
      <c r="F143" s="17">
        <f>IFERROR(__xludf.DUMMYFUNCTION("""COMPUTED_VALUE"""),0.0)</f>
        <v>0</v>
      </c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tr">
        <f>IFERROR(__xludf.DUMMYFUNCTION("""COMPUTED_VALUE"""),"Colombia")</f>
        <v>Colombia</v>
      </c>
      <c r="B144" s="54">
        <f>IFERROR(__xludf.DUMMYFUNCTION("""COMPUTED_VALUE"""),42996.0)</f>
        <v>42996</v>
      </c>
      <c r="C144" s="19">
        <f>IFERROR(__xludf.DUMMYFUNCTION("""COMPUTED_VALUE"""),43002.0)</f>
        <v>43002</v>
      </c>
      <c r="D144" s="17">
        <f>IFERROR(__xludf.DUMMYFUNCTION("""COMPUTED_VALUE"""),38.0)</f>
        <v>38</v>
      </c>
      <c r="E144" s="17">
        <f>IFERROR(__xludf.DUMMYFUNCTION("""COMPUTED_VALUE"""),4387.0)</f>
        <v>4387</v>
      </c>
      <c r="F144" s="17">
        <f>IFERROR(__xludf.DUMMYFUNCTION("""COMPUTED_VALUE"""),0.0)</f>
        <v>0</v>
      </c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tr">
        <f>IFERROR(__xludf.DUMMYFUNCTION("""COMPUTED_VALUE"""),"Colombia")</f>
        <v>Colombia</v>
      </c>
      <c r="B145" s="54">
        <f>IFERROR(__xludf.DUMMYFUNCTION("""COMPUTED_VALUE"""),43003.0)</f>
        <v>43003</v>
      </c>
      <c r="C145" s="19">
        <f>IFERROR(__xludf.DUMMYFUNCTION("""COMPUTED_VALUE"""),43009.0)</f>
        <v>43009</v>
      </c>
      <c r="D145" s="17">
        <f>IFERROR(__xludf.DUMMYFUNCTION("""COMPUTED_VALUE"""),39.0)</f>
        <v>39</v>
      </c>
      <c r="E145" s="17">
        <f>IFERROR(__xludf.DUMMYFUNCTION("""COMPUTED_VALUE"""),4290.0)</f>
        <v>4290</v>
      </c>
      <c r="F145" s="17">
        <f>IFERROR(__xludf.DUMMYFUNCTION("""COMPUTED_VALUE"""),0.0)</f>
        <v>0</v>
      </c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tr">
        <f>IFERROR(__xludf.DUMMYFUNCTION("""COMPUTED_VALUE"""),"Colombia")</f>
        <v>Colombia</v>
      </c>
      <c r="B146" s="54">
        <f>IFERROR(__xludf.DUMMYFUNCTION("""COMPUTED_VALUE"""),43010.0)</f>
        <v>43010</v>
      </c>
      <c r="C146" s="19">
        <f>IFERROR(__xludf.DUMMYFUNCTION("""COMPUTED_VALUE"""),43016.0)</f>
        <v>43016</v>
      </c>
      <c r="D146" s="17">
        <f>IFERROR(__xludf.DUMMYFUNCTION("""COMPUTED_VALUE"""),40.0)</f>
        <v>40</v>
      </c>
      <c r="E146" s="17">
        <f>IFERROR(__xludf.DUMMYFUNCTION("""COMPUTED_VALUE"""),4317.0)</f>
        <v>4317</v>
      </c>
      <c r="F146" s="17">
        <f>IFERROR(__xludf.DUMMYFUNCTION("""COMPUTED_VALUE"""),0.0)</f>
        <v>0</v>
      </c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tr">
        <f>IFERROR(__xludf.DUMMYFUNCTION("""COMPUTED_VALUE"""),"Colombia")</f>
        <v>Colombia</v>
      </c>
      <c r="B147" s="54">
        <f>IFERROR(__xludf.DUMMYFUNCTION("""COMPUTED_VALUE"""),43017.0)</f>
        <v>43017</v>
      </c>
      <c r="C147" s="19">
        <f>IFERROR(__xludf.DUMMYFUNCTION("""COMPUTED_VALUE"""),43023.0)</f>
        <v>43023</v>
      </c>
      <c r="D147" s="17">
        <f>IFERROR(__xludf.DUMMYFUNCTION("""COMPUTED_VALUE"""),41.0)</f>
        <v>41</v>
      </c>
      <c r="E147" s="17">
        <f>IFERROR(__xludf.DUMMYFUNCTION("""COMPUTED_VALUE"""),4402.0)</f>
        <v>4402</v>
      </c>
      <c r="F147" s="17">
        <f>IFERROR(__xludf.DUMMYFUNCTION("""COMPUTED_VALUE"""),0.0)</f>
        <v>0</v>
      </c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tr">
        <f>IFERROR(__xludf.DUMMYFUNCTION("""COMPUTED_VALUE"""),"Colombia")</f>
        <v>Colombia</v>
      </c>
      <c r="B148" s="54">
        <f>IFERROR(__xludf.DUMMYFUNCTION("""COMPUTED_VALUE"""),43024.0)</f>
        <v>43024</v>
      </c>
      <c r="C148" s="19">
        <f>IFERROR(__xludf.DUMMYFUNCTION("""COMPUTED_VALUE"""),43030.0)</f>
        <v>43030</v>
      </c>
      <c r="D148" s="17">
        <f>IFERROR(__xludf.DUMMYFUNCTION("""COMPUTED_VALUE"""),42.0)</f>
        <v>42</v>
      </c>
      <c r="E148" s="17">
        <f>IFERROR(__xludf.DUMMYFUNCTION("""COMPUTED_VALUE"""),4454.0)</f>
        <v>4454</v>
      </c>
      <c r="F148" s="17">
        <f>IFERROR(__xludf.DUMMYFUNCTION("""COMPUTED_VALUE"""),0.0)</f>
        <v>0</v>
      </c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tr">
        <f>IFERROR(__xludf.DUMMYFUNCTION("""COMPUTED_VALUE"""),"Colombia")</f>
        <v>Colombia</v>
      </c>
      <c r="B149" s="54">
        <f>IFERROR(__xludf.DUMMYFUNCTION("""COMPUTED_VALUE"""),43031.0)</f>
        <v>43031</v>
      </c>
      <c r="C149" s="19">
        <f>IFERROR(__xludf.DUMMYFUNCTION("""COMPUTED_VALUE"""),43037.0)</f>
        <v>43037</v>
      </c>
      <c r="D149" s="17">
        <f>IFERROR(__xludf.DUMMYFUNCTION("""COMPUTED_VALUE"""),43.0)</f>
        <v>43</v>
      </c>
      <c r="E149" s="17">
        <f>IFERROR(__xludf.DUMMYFUNCTION("""COMPUTED_VALUE"""),4177.0)</f>
        <v>4177</v>
      </c>
      <c r="F149" s="17">
        <f>IFERROR(__xludf.DUMMYFUNCTION("""COMPUTED_VALUE"""),0.0)</f>
        <v>0</v>
      </c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tr">
        <f>IFERROR(__xludf.DUMMYFUNCTION("""COMPUTED_VALUE"""),"Colombia")</f>
        <v>Colombia</v>
      </c>
      <c r="B150" s="54">
        <f>IFERROR(__xludf.DUMMYFUNCTION("""COMPUTED_VALUE"""),43038.0)</f>
        <v>43038</v>
      </c>
      <c r="C150" s="19">
        <f>IFERROR(__xludf.DUMMYFUNCTION("""COMPUTED_VALUE"""),43044.0)</f>
        <v>43044</v>
      </c>
      <c r="D150" s="17">
        <f>IFERROR(__xludf.DUMMYFUNCTION("""COMPUTED_VALUE"""),44.0)</f>
        <v>44</v>
      </c>
      <c r="E150" s="17">
        <f>IFERROR(__xludf.DUMMYFUNCTION("""COMPUTED_VALUE"""),4310.0)</f>
        <v>4310</v>
      </c>
      <c r="F150" s="17">
        <f>IFERROR(__xludf.DUMMYFUNCTION("""COMPUTED_VALUE"""),0.0)</f>
        <v>0</v>
      </c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tr">
        <f>IFERROR(__xludf.DUMMYFUNCTION("""COMPUTED_VALUE"""),"Colombia")</f>
        <v>Colombia</v>
      </c>
      <c r="B151" s="54">
        <f>IFERROR(__xludf.DUMMYFUNCTION("""COMPUTED_VALUE"""),43045.0)</f>
        <v>43045</v>
      </c>
      <c r="C151" s="19">
        <f>IFERROR(__xludf.DUMMYFUNCTION("""COMPUTED_VALUE"""),43051.0)</f>
        <v>43051</v>
      </c>
      <c r="D151" s="17">
        <f>IFERROR(__xludf.DUMMYFUNCTION("""COMPUTED_VALUE"""),45.0)</f>
        <v>45</v>
      </c>
      <c r="E151" s="17">
        <f>IFERROR(__xludf.DUMMYFUNCTION("""COMPUTED_VALUE"""),4440.0)</f>
        <v>4440</v>
      </c>
      <c r="F151" s="17">
        <f>IFERROR(__xludf.DUMMYFUNCTION("""COMPUTED_VALUE"""),0.0)</f>
        <v>0</v>
      </c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tr">
        <f>IFERROR(__xludf.DUMMYFUNCTION("""COMPUTED_VALUE"""),"Colombia")</f>
        <v>Colombia</v>
      </c>
      <c r="B152" s="54">
        <f>IFERROR(__xludf.DUMMYFUNCTION("""COMPUTED_VALUE"""),43052.0)</f>
        <v>43052</v>
      </c>
      <c r="C152" s="19">
        <f>IFERROR(__xludf.DUMMYFUNCTION("""COMPUTED_VALUE"""),43058.0)</f>
        <v>43058</v>
      </c>
      <c r="D152" s="17">
        <f>IFERROR(__xludf.DUMMYFUNCTION("""COMPUTED_VALUE"""),46.0)</f>
        <v>46</v>
      </c>
      <c r="E152" s="17">
        <f>IFERROR(__xludf.DUMMYFUNCTION("""COMPUTED_VALUE"""),4239.0)</f>
        <v>4239</v>
      </c>
      <c r="F152" s="17">
        <f>IFERROR(__xludf.DUMMYFUNCTION("""COMPUTED_VALUE"""),0.0)</f>
        <v>0</v>
      </c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tr">
        <f>IFERROR(__xludf.DUMMYFUNCTION("""COMPUTED_VALUE"""),"Colombia")</f>
        <v>Colombia</v>
      </c>
      <c r="B153" s="54">
        <f>IFERROR(__xludf.DUMMYFUNCTION("""COMPUTED_VALUE"""),43059.0)</f>
        <v>43059</v>
      </c>
      <c r="C153" s="19">
        <f>IFERROR(__xludf.DUMMYFUNCTION("""COMPUTED_VALUE"""),43065.0)</f>
        <v>43065</v>
      </c>
      <c r="D153" s="17">
        <f>IFERROR(__xludf.DUMMYFUNCTION("""COMPUTED_VALUE"""),47.0)</f>
        <v>47</v>
      </c>
      <c r="E153" s="17">
        <f>IFERROR(__xludf.DUMMYFUNCTION("""COMPUTED_VALUE"""),4306.0)</f>
        <v>4306</v>
      </c>
      <c r="F153" s="17">
        <f>IFERROR(__xludf.DUMMYFUNCTION("""COMPUTED_VALUE"""),0.0)</f>
        <v>0</v>
      </c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tr">
        <f>IFERROR(__xludf.DUMMYFUNCTION("""COMPUTED_VALUE"""),"Colombia")</f>
        <v>Colombia</v>
      </c>
      <c r="B154" s="54">
        <f>IFERROR(__xludf.DUMMYFUNCTION("""COMPUTED_VALUE"""),43066.0)</f>
        <v>43066</v>
      </c>
      <c r="C154" s="19">
        <f>IFERROR(__xludf.DUMMYFUNCTION("""COMPUTED_VALUE"""),43072.0)</f>
        <v>43072</v>
      </c>
      <c r="D154" s="17">
        <f>IFERROR(__xludf.DUMMYFUNCTION("""COMPUTED_VALUE"""),48.0)</f>
        <v>48</v>
      </c>
      <c r="E154" s="17">
        <f>IFERROR(__xludf.DUMMYFUNCTION("""COMPUTED_VALUE"""),4409.0)</f>
        <v>4409</v>
      </c>
      <c r="F154" s="17">
        <f>IFERROR(__xludf.DUMMYFUNCTION("""COMPUTED_VALUE"""),0.0)</f>
        <v>0</v>
      </c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tr">
        <f>IFERROR(__xludf.DUMMYFUNCTION("""COMPUTED_VALUE"""),"Colombia")</f>
        <v>Colombia</v>
      </c>
      <c r="B155" s="54">
        <f>IFERROR(__xludf.DUMMYFUNCTION("""COMPUTED_VALUE"""),43073.0)</f>
        <v>43073</v>
      </c>
      <c r="C155" s="19">
        <f>IFERROR(__xludf.DUMMYFUNCTION("""COMPUTED_VALUE"""),43079.0)</f>
        <v>43079</v>
      </c>
      <c r="D155" s="17">
        <f>IFERROR(__xludf.DUMMYFUNCTION("""COMPUTED_VALUE"""),49.0)</f>
        <v>49</v>
      </c>
      <c r="E155" s="17">
        <f>IFERROR(__xludf.DUMMYFUNCTION("""COMPUTED_VALUE"""),4575.0)</f>
        <v>4575</v>
      </c>
      <c r="F155" s="17">
        <f>IFERROR(__xludf.DUMMYFUNCTION("""COMPUTED_VALUE"""),0.0)</f>
        <v>0</v>
      </c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tr">
        <f>IFERROR(__xludf.DUMMYFUNCTION("""COMPUTED_VALUE"""),"Colombia")</f>
        <v>Colombia</v>
      </c>
      <c r="B156" s="54">
        <f>IFERROR(__xludf.DUMMYFUNCTION("""COMPUTED_VALUE"""),43080.0)</f>
        <v>43080</v>
      </c>
      <c r="C156" s="19">
        <f>IFERROR(__xludf.DUMMYFUNCTION("""COMPUTED_VALUE"""),43086.0)</f>
        <v>43086</v>
      </c>
      <c r="D156" s="17">
        <f>IFERROR(__xludf.DUMMYFUNCTION("""COMPUTED_VALUE"""),50.0)</f>
        <v>50</v>
      </c>
      <c r="E156" s="17">
        <f>IFERROR(__xludf.DUMMYFUNCTION("""COMPUTED_VALUE"""),4491.0)</f>
        <v>4491</v>
      </c>
      <c r="F156" s="17">
        <f>IFERROR(__xludf.DUMMYFUNCTION("""COMPUTED_VALUE"""),0.0)</f>
        <v>0</v>
      </c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tr">
        <f>IFERROR(__xludf.DUMMYFUNCTION("""COMPUTED_VALUE"""),"Colombia")</f>
        <v>Colombia</v>
      </c>
      <c r="B157" s="54">
        <f>IFERROR(__xludf.DUMMYFUNCTION("""COMPUTED_VALUE"""),43087.0)</f>
        <v>43087</v>
      </c>
      <c r="C157" s="19">
        <f>IFERROR(__xludf.DUMMYFUNCTION("""COMPUTED_VALUE"""),43093.0)</f>
        <v>43093</v>
      </c>
      <c r="D157" s="17">
        <f>IFERROR(__xludf.DUMMYFUNCTION("""COMPUTED_VALUE"""),51.0)</f>
        <v>51</v>
      </c>
      <c r="E157" s="17">
        <f>IFERROR(__xludf.DUMMYFUNCTION("""COMPUTED_VALUE"""),4562.0)</f>
        <v>4562</v>
      </c>
      <c r="F157" s="17">
        <f>IFERROR(__xludf.DUMMYFUNCTION("""COMPUTED_VALUE"""),0.0)</f>
        <v>0</v>
      </c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tr">
        <f>IFERROR(__xludf.DUMMYFUNCTION("""COMPUTED_VALUE"""),"Colombia")</f>
        <v>Colombia</v>
      </c>
      <c r="B158" s="54">
        <f>IFERROR(__xludf.DUMMYFUNCTION("""COMPUTED_VALUE"""),43094.0)</f>
        <v>43094</v>
      </c>
      <c r="C158" s="19">
        <f>IFERROR(__xludf.DUMMYFUNCTION("""COMPUTED_VALUE"""),43100.0)</f>
        <v>43100</v>
      </c>
      <c r="D158" s="17">
        <f>IFERROR(__xludf.DUMMYFUNCTION("""COMPUTED_VALUE"""),52.0)</f>
        <v>52</v>
      </c>
      <c r="E158" s="17">
        <f>IFERROR(__xludf.DUMMYFUNCTION("""COMPUTED_VALUE"""),4589.0)</f>
        <v>4589</v>
      </c>
      <c r="F158" s="17">
        <f>IFERROR(__xludf.DUMMYFUNCTION("""COMPUTED_VALUE"""),0.0)</f>
        <v>0</v>
      </c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tr">
        <f>IFERROR(__xludf.DUMMYFUNCTION("""COMPUTED_VALUE"""),"Colombia")</f>
        <v>Colombia</v>
      </c>
      <c r="B159" s="54">
        <f>IFERROR(__xludf.DUMMYFUNCTION("""COMPUTED_VALUE"""),43101.0)</f>
        <v>43101</v>
      </c>
      <c r="C159" s="19">
        <f>IFERROR(__xludf.DUMMYFUNCTION("""COMPUTED_VALUE"""),43107.0)</f>
        <v>43107</v>
      </c>
      <c r="D159" s="17">
        <f>IFERROR(__xludf.DUMMYFUNCTION("""COMPUTED_VALUE"""),1.0)</f>
        <v>1</v>
      </c>
      <c r="E159" s="17">
        <f>IFERROR(__xludf.DUMMYFUNCTION("""COMPUTED_VALUE"""),4721.0)</f>
        <v>4721</v>
      </c>
      <c r="F159" s="17">
        <f>IFERROR(__xludf.DUMMYFUNCTION("""COMPUTED_VALUE"""),0.0)</f>
        <v>0</v>
      </c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tr">
        <f>IFERROR(__xludf.DUMMYFUNCTION("""COMPUTED_VALUE"""),"Colombia")</f>
        <v>Colombia</v>
      </c>
      <c r="B160" s="54">
        <f>IFERROR(__xludf.DUMMYFUNCTION("""COMPUTED_VALUE"""),43108.0)</f>
        <v>43108</v>
      </c>
      <c r="C160" s="19">
        <f>IFERROR(__xludf.DUMMYFUNCTION("""COMPUTED_VALUE"""),43114.0)</f>
        <v>43114</v>
      </c>
      <c r="D160" s="17">
        <f>IFERROR(__xludf.DUMMYFUNCTION("""COMPUTED_VALUE"""),2.0)</f>
        <v>2</v>
      </c>
      <c r="E160" s="17">
        <f>IFERROR(__xludf.DUMMYFUNCTION("""COMPUTED_VALUE"""),4465.0)</f>
        <v>4465</v>
      </c>
      <c r="F160" s="17">
        <f>IFERROR(__xludf.DUMMYFUNCTION("""COMPUTED_VALUE"""),0.0)</f>
        <v>0</v>
      </c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tr">
        <f>IFERROR(__xludf.DUMMYFUNCTION("""COMPUTED_VALUE"""),"Colombia")</f>
        <v>Colombia</v>
      </c>
      <c r="B161" s="54">
        <f>IFERROR(__xludf.DUMMYFUNCTION("""COMPUTED_VALUE"""),43115.0)</f>
        <v>43115</v>
      </c>
      <c r="C161" s="19">
        <f>IFERROR(__xludf.DUMMYFUNCTION("""COMPUTED_VALUE"""),43121.0)</f>
        <v>43121</v>
      </c>
      <c r="D161" s="17">
        <f>IFERROR(__xludf.DUMMYFUNCTION("""COMPUTED_VALUE"""),3.0)</f>
        <v>3</v>
      </c>
      <c r="E161" s="17">
        <f>IFERROR(__xludf.DUMMYFUNCTION("""COMPUTED_VALUE"""),4631.0)</f>
        <v>4631</v>
      </c>
      <c r="F161" s="17">
        <f>IFERROR(__xludf.DUMMYFUNCTION("""COMPUTED_VALUE"""),0.0)</f>
        <v>0</v>
      </c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tr">
        <f>IFERROR(__xludf.DUMMYFUNCTION("""COMPUTED_VALUE"""),"Colombia")</f>
        <v>Colombia</v>
      </c>
      <c r="B162" s="54">
        <f>IFERROR(__xludf.DUMMYFUNCTION("""COMPUTED_VALUE"""),43122.0)</f>
        <v>43122</v>
      </c>
      <c r="C162" s="19">
        <f>IFERROR(__xludf.DUMMYFUNCTION("""COMPUTED_VALUE"""),43128.0)</f>
        <v>43128</v>
      </c>
      <c r="D162" s="17">
        <f>IFERROR(__xludf.DUMMYFUNCTION("""COMPUTED_VALUE"""),4.0)</f>
        <v>4</v>
      </c>
      <c r="E162" s="17">
        <f>IFERROR(__xludf.DUMMYFUNCTION("""COMPUTED_VALUE"""),4644.0)</f>
        <v>4644</v>
      </c>
      <c r="F162" s="17">
        <f>IFERROR(__xludf.DUMMYFUNCTION("""COMPUTED_VALUE"""),0.0)</f>
        <v>0</v>
      </c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tr">
        <f>IFERROR(__xludf.DUMMYFUNCTION("""COMPUTED_VALUE"""),"Colombia")</f>
        <v>Colombia</v>
      </c>
      <c r="B163" s="54">
        <f>IFERROR(__xludf.DUMMYFUNCTION("""COMPUTED_VALUE"""),43129.0)</f>
        <v>43129</v>
      </c>
      <c r="C163" s="19">
        <f>IFERROR(__xludf.DUMMYFUNCTION("""COMPUTED_VALUE"""),43135.0)</f>
        <v>43135</v>
      </c>
      <c r="D163" s="17">
        <f>IFERROR(__xludf.DUMMYFUNCTION("""COMPUTED_VALUE"""),5.0)</f>
        <v>5</v>
      </c>
      <c r="E163" s="17">
        <f>IFERROR(__xludf.DUMMYFUNCTION("""COMPUTED_VALUE"""),4485.0)</f>
        <v>4485</v>
      </c>
      <c r="F163" s="17">
        <f>IFERROR(__xludf.DUMMYFUNCTION("""COMPUTED_VALUE"""),0.0)</f>
        <v>0</v>
      </c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tr">
        <f>IFERROR(__xludf.DUMMYFUNCTION("""COMPUTED_VALUE"""),"Colombia")</f>
        <v>Colombia</v>
      </c>
      <c r="B164" s="54">
        <f>IFERROR(__xludf.DUMMYFUNCTION("""COMPUTED_VALUE"""),43136.0)</f>
        <v>43136</v>
      </c>
      <c r="C164" s="19">
        <f>IFERROR(__xludf.DUMMYFUNCTION("""COMPUTED_VALUE"""),43142.0)</f>
        <v>43142</v>
      </c>
      <c r="D164" s="17">
        <f>IFERROR(__xludf.DUMMYFUNCTION("""COMPUTED_VALUE"""),6.0)</f>
        <v>6</v>
      </c>
      <c r="E164" s="17">
        <f>IFERROR(__xludf.DUMMYFUNCTION("""COMPUTED_VALUE"""),4407.0)</f>
        <v>4407</v>
      </c>
      <c r="F164" s="17">
        <f>IFERROR(__xludf.DUMMYFUNCTION("""COMPUTED_VALUE"""),0.0)</f>
        <v>0</v>
      </c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tr">
        <f>IFERROR(__xludf.DUMMYFUNCTION("""COMPUTED_VALUE"""),"Colombia")</f>
        <v>Colombia</v>
      </c>
      <c r="B165" s="54">
        <f>IFERROR(__xludf.DUMMYFUNCTION("""COMPUTED_VALUE"""),43143.0)</f>
        <v>43143</v>
      </c>
      <c r="C165" s="19">
        <f>IFERROR(__xludf.DUMMYFUNCTION("""COMPUTED_VALUE"""),43149.0)</f>
        <v>43149</v>
      </c>
      <c r="D165" s="17">
        <f>IFERROR(__xludf.DUMMYFUNCTION("""COMPUTED_VALUE"""),7.0)</f>
        <v>7</v>
      </c>
      <c r="E165" s="17">
        <f>IFERROR(__xludf.DUMMYFUNCTION("""COMPUTED_VALUE"""),4332.0)</f>
        <v>4332</v>
      </c>
      <c r="F165" s="17">
        <f>IFERROR(__xludf.DUMMYFUNCTION("""COMPUTED_VALUE"""),0.0)</f>
        <v>0</v>
      </c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tr">
        <f>IFERROR(__xludf.DUMMYFUNCTION("""COMPUTED_VALUE"""),"Colombia")</f>
        <v>Colombia</v>
      </c>
      <c r="B166" s="54">
        <f>IFERROR(__xludf.DUMMYFUNCTION("""COMPUTED_VALUE"""),43150.0)</f>
        <v>43150</v>
      </c>
      <c r="C166" s="19">
        <f>IFERROR(__xludf.DUMMYFUNCTION("""COMPUTED_VALUE"""),43156.0)</f>
        <v>43156</v>
      </c>
      <c r="D166" s="17">
        <f>IFERROR(__xludf.DUMMYFUNCTION("""COMPUTED_VALUE"""),8.0)</f>
        <v>8</v>
      </c>
      <c r="E166" s="17">
        <f>IFERROR(__xludf.DUMMYFUNCTION("""COMPUTED_VALUE"""),4254.0)</f>
        <v>4254</v>
      </c>
      <c r="F166" s="17">
        <f>IFERROR(__xludf.DUMMYFUNCTION("""COMPUTED_VALUE"""),0.0)</f>
        <v>0</v>
      </c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tr">
        <f>IFERROR(__xludf.DUMMYFUNCTION("""COMPUTED_VALUE"""),"Colombia")</f>
        <v>Colombia</v>
      </c>
      <c r="B167" s="54">
        <f>IFERROR(__xludf.DUMMYFUNCTION("""COMPUTED_VALUE"""),43157.0)</f>
        <v>43157</v>
      </c>
      <c r="C167" s="19">
        <f>IFERROR(__xludf.DUMMYFUNCTION("""COMPUTED_VALUE"""),43163.0)</f>
        <v>43163</v>
      </c>
      <c r="D167" s="17">
        <f>IFERROR(__xludf.DUMMYFUNCTION("""COMPUTED_VALUE"""),9.0)</f>
        <v>9</v>
      </c>
      <c r="E167" s="17">
        <f>IFERROR(__xludf.DUMMYFUNCTION("""COMPUTED_VALUE"""),4378.0)</f>
        <v>4378</v>
      </c>
      <c r="F167" s="17">
        <f>IFERROR(__xludf.DUMMYFUNCTION("""COMPUTED_VALUE"""),0.0)</f>
        <v>0</v>
      </c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tr">
        <f>IFERROR(__xludf.DUMMYFUNCTION("""COMPUTED_VALUE"""),"Colombia")</f>
        <v>Colombia</v>
      </c>
      <c r="B168" s="54">
        <f>IFERROR(__xludf.DUMMYFUNCTION("""COMPUTED_VALUE"""),43164.0)</f>
        <v>43164</v>
      </c>
      <c r="C168" s="19">
        <f>IFERROR(__xludf.DUMMYFUNCTION("""COMPUTED_VALUE"""),43170.0)</f>
        <v>43170</v>
      </c>
      <c r="D168" s="17">
        <f>IFERROR(__xludf.DUMMYFUNCTION("""COMPUTED_VALUE"""),10.0)</f>
        <v>10</v>
      </c>
      <c r="E168" s="17">
        <f>IFERROR(__xludf.DUMMYFUNCTION("""COMPUTED_VALUE"""),4505.0)</f>
        <v>4505</v>
      </c>
      <c r="F168" s="17">
        <f>IFERROR(__xludf.DUMMYFUNCTION("""COMPUTED_VALUE"""),0.0)</f>
        <v>0</v>
      </c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tr">
        <f>IFERROR(__xludf.DUMMYFUNCTION("""COMPUTED_VALUE"""),"Colombia")</f>
        <v>Colombia</v>
      </c>
      <c r="B169" s="54">
        <f>IFERROR(__xludf.DUMMYFUNCTION("""COMPUTED_VALUE"""),43171.0)</f>
        <v>43171</v>
      </c>
      <c r="C169" s="19">
        <f>IFERROR(__xludf.DUMMYFUNCTION("""COMPUTED_VALUE"""),43177.0)</f>
        <v>43177</v>
      </c>
      <c r="D169" s="17">
        <f>IFERROR(__xludf.DUMMYFUNCTION("""COMPUTED_VALUE"""),11.0)</f>
        <v>11</v>
      </c>
      <c r="E169" s="17">
        <f>IFERROR(__xludf.DUMMYFUNCTION("""COMPUTED_VALUE"""),4597.0)</f>
        <v>4597</v>
      </c>
      <c r="F169" s="17">
        <f>IFERROR(__xludf.DUMMYFUNCTION("""COMPUTED_VALUE"""),0.0)</f>
        <v>0</v>
      </c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tr">
        <f>IFERROR(__xludf.DUMMYFUNCTION("""COMPUTED_VALUE"""),"Colombia")</f>
        <v>Colombia</v>
      </c>
      <c r="B170" s="54">
        <f>IFERROR(__xludf.DUMMYFUNCTION("""COMPUTED_VALUE"""),43178.0)</f>
        <v>43178</v>
      </c>
      <c r="C170" s="19">
        <f>IFERROR(__xludf.DUMMYFUNCTION("""COMPUTED_VALUE"""),43184.0)</f>
        <v>43184</v>
      </c>
      <c r="D170" s="17">
        <f>IFERROR(__xludf.DUMMYFUNCTION("""COMPUTED_VALUE"""),12.0)</f>
        <v>12</v>
      </c>
      <c r="E170" s="17">
        <f>IFERROR(__xludf.DUMMYFUNCTION("""COMPUTED_VALUE"""),4453.0)</f>
        <v>4453</v>
      </c>
      <c r="F170" s="17">
        <f>IFERROR(__xludf.DUMMYFUNCTION("""COMPUTED_VALUE"""),0.0)</f>
        <v>0</v>
      </c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tr">
        <f>IFERROR(__xludf.DUMMYFUNCTION("""COMPUTED_VALUE"""),"Colombia")</f>
        <v>Colombia</v>
      </c>
      <c r="B171" s="54">
        <f>IFERROR(__xludf.DUMMYFUNCTION("""COMPUTED_VALUE"""),43185.0)</f>
        <v>43185</v>
      </c>
      <c r="C171" s="19">
        <f>IFERROR(__xludf.DUMMYFUNCTION("""COMPUTED_VALUE"""),43191.0)</f>
        <v>43191</v>
      </c>
      <c r="D171" s="17">
        <f>IFERROR(__xludf.DUMMYFUNCTION("""COMPUTED_VALUE"""),13.0)</f>
        <v>13</v>
      </c>
      <c r="E171" s="17">
        <f>IFERROR(__xludf.DUMMYFUNCTION("""COMPUTED_VALUE"""),4248.0)</f>
        <v>4248</v>
      </c>
      <c r="F171" s="17">
        <f>IFERROR(__xludf.DUMMYFUNCTION("""COMPUTED_VALUE"""),0.0)</f>
        <v>0</v>
      </c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 t="str">
        <f>IFERROR(__xludf.DUMMYFUNCTION("""COMPUTED_VALUE"""),"Colombia")</f>
        <v>Colombia</v>
      </c>
      <c r="B172" s="54">
        <f>IFERROR(__xludf.DUMMYFUNCTION("""COMPUTED_VALUE"""),43192.0)</f>
        <v>43192</v>
      </c>
      <c r="C172" s="19">
        <f>IFERROR(__xludf.DUMMYFUNCTION("""COMPUTED_VALUE"""),43198.0)</f>
        <v>43198</v>
      </c>
      <c r="D172" s="17">
        <f>IFERROR(__xludf.DUMMYFUNCTION("""COMPUTED_VALUE"""),14.0)</f>
        <v>14</v>
      </c>
      <c r="E172" s="17">
        <f>IFERROR(__xludf.DUMMYFUNCTION("""COMPUTED_VALUE"""),4382.0)</f>
        <v>4382</v>
      </c>
      <c r="F172" s="17">
        <f>IFERROR(__xludf.DUMMYFUNCTION("""COMPUTED_VALUE"""),0.0)</f>
        <v>0</v>
      </c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 t="str">
        <f>IFERROR(__xludf.DUMMYFUNCTION("""COMPUTED_VALUE"""),"Colombia")</f>
        <v>Colombia</v>
      </c>
      <c r="B173" s="54">
        <f>IFERROR(__xludf.DUMMYFUNCTION("""COMPUTED_VALUE"""),43199.0)</f>
        <v>43199</v>
      </c>
      <c r="C173" s="19">
        <f>IFERROR(__xludf.DUMMYFUNCTION("""COMPUTED_VALUE"""),43205.0)</f>
        <v>43205</v>
      </c>
      <c r="D173" s="17">
        <f>IFERROR(__xludf.DUMMYFUNCTION("""COMPUTED_VALUE"""),15.0)</f>
        <v>15</v>
      </c>
      <c r="E173" s="17">
        <f>IFERROR(__xludf.DUMMYFUNCTION("""COMPUTED_VALUE"""),4332.0)</f>
        <v>4332</v>
      </c>
      <c r="F173" s="17">
        <f>IFERROR(__xludf.DUMMYFUNCTION("""COMPUTED_VALUE"""),0.0)</f>
        <v>0</v>
      </c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 t="str">
        <f>IFERROR(__xludf.DUMMYFUNCTION("""COMPUTED_VALUE"""),"Colombia")</f>
        <v>Colombia</v>
      </c>
      <c r="B174" s="54">
        <f>IFERROR(__xludf.DUMMYFUNCTION("""COMPUTED_VALUE"""),43206.0)</f>
        <v>43206</v>
      </c>
      <c r="C174" s="19">
        <f>IFERROR(__xludf.DUMMYFUNCTION("""COMPUTED_VALUE"""),43212.0)</f>
        <v>43212</v>
      </c>
      <c r="D174" s="17">
        <f>IFERROR(__xludf.DUMMYFUNCTION("""COMPUTED_VALUE"""),16.0)</f>
        <v>16</v>
      </c>
      <c r="E174" s="17">
        <f>IFERROR(__xludf.DUMMYFUNCTION("""COMPUTED_VALUE"""),4349.0)</f>
        <v>4349</v>
      </c>
      <c r="F174" s="17">
        <f>IFERROR(__xludf.DUMMYFUNCTION("""COMPUTED_VALUE"""),0.0)</f>
        <v>0</v>
      </c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 t="str">
        <f>IFERROR(__xludf.DUMMYFUNCTION("""COMPUTED_VALUE"""),"Colombia")</f>
        <v>Colombia</v>
      </c>
      <c r="B175" s="54">
        <f>IFERROR(__xludf.DUMMYFUNCTION("""COMPUTED_VALUE"""),43213.0)</f>
        <v>43213</v>
      </c>
      <c r="C175" s="19">
        <f>IFERROR(__xludf.DUMMYFUNCTION("""COMPUTED_VALUE"""),43219.0)</f>
        <v>43219</v>
      </c>
      <c r="D175" s="17">
        <f>IFERROR(__xludf.DUMMYFUNCTION("""COMPUTED_VALUE"""),17.0)</f>
        <v>17</v>
      </c>
      <c r="E175" s="17">
        <f>IFERROR(__xludf.DUMMYFUNCTION("""COMPUTED_VALUE"""),4409.0)</f>
        <v>4409</v>
      </c>
      <c r="F175" s="17">
        <f>IFERROR(__xludf.DUMMYFUNCTION("""COMPUTED_VALUE"""),0.0)</f>
        <v>0</v>
      </c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 t="str">
        <f>IFERROR(__xludf.DUMMYFUNCTION("""COMPUTED_VALUE"""),"Colombia")</f>
        <v>Colombia</v>
      </c>
      <c r="B176" s="54">
        <f>IFERROR(__xludf.DUMMYFUNCTION("""COMPUTED_VALUE"""),43220.0)</f>
        <v>43220</v>
      </c>
      <c r="C176" s="19">
        <f>IFERROR(__xludf.DUMMYFUNCTION("""COMPUTED_VALUE"""),43226.0)</f>
        <v>43226</v>
      </c>
      <c r="D176" s="17">
        <f>IFERROR(__xludf.DUMMYFUNCTION("""COMPUTED_VALUE"""),18.0)</f>
        <v>18</v>
      </c>
      <c r="E176" s="17">
        <f>IFERROR(__xludf.DUMMYFUNCTION("""COMPUTED_VALUE"""),4538.0)</f>
        <v>4538</v>
      </c>
      <c r="F176" s="17">
        <f>IFERROR(__xludf.DUMMYFUNCTION("""COMPUTED_VALUE"""),0.0)</f>
        <v>0</v>
      </c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 t="str">
        <f>IFERROR(__xludf.DUMMYFUNCTION("""COMPUTED_VALUE"""),"Colombia")</f>
        <v>Colombia</v>
      </c>
      <c r="B177" s="54">
        <f>IFERROR(__xludf.DUMMYFUNCTION("""COMPUTED_VALUE"""),43227.0)</f>
        <v>43227</v>
      </c>
      <c r="C177" s="19">
        <f>IFERROR(__xludf.DUMMYFUNCTION("""COMPUTED_VALUE"""),43233.0)</f>
        <v>43233</v>
      </c>
      <c r="D177" s="17">
        <f>IFERROR(__xludf.DUMMYFUNCTION("""COMPUTED_VALUE"""),19.0)</f>
        <v>19</v>
      </c>
      <c r="E177" s="17">
        <f>IFERROR(__xludf.DUMMYFUNCTION("""COMPUTED_VALUE"""),4460.0)</f>
        <v>4460</v>
      </c>
      <c r="F177" s="17">
        <f>IFERROR(__xludf.DUMMYFUNCTION("""COMPUTED_VALUE"""),0.0)</f>
        <v>0</v>
      </c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 t="str">
        <f>IFERROR(__xludf.DUMMYFUNCTION("""COMPUTED_VALUE"""),"Colombia")</f>
        <v>Colombia</v>
      </c>
      <c r="B178" s="54">
        <f>IFERROR(__xludf.DUMMYFUNCTION("""COMPUTED_VALUE"""),43234.0)</f>
        <v>43234</v>
      </c>
      <c r="C178" s="19">
        <f>IFERROR(__xludf.DUMMYFUNCTION("""COMPUTED_VALUE"""),43240.0)</f>
        <v>43240</v>
      </c>
      <c r="D178" s="17">
        <f>IFERROR(__xludf.DUMMYFUNCTION("""COMPUTED_VALUE"""),20.0)</f>
        <v>20</v>
      </c>
      <c r="E178" s="17">
        <f>IFERROR(__xludf.DUMMYFUNCTION("""COMPUTED_VALUE"""),4721.0)</f>
        <v>4721</v>
      </c>
      <c r="F178" s="17">
        <f>IFERROR(__xludf.DUMMYFUNCTION("""COMPUTED_VALUE"""),0.0)</f>
        <v>0</v>
      </c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 t="str">
        <f>IFERROR(__xludf.DUMMYFUNCTION("""COMPUTED_VALUE"""),"Colombia")</f>
        <v>Colombia</v>
      </c>
      <c r="B179" s="54">
        <f>IFERROR(__xludf.DUMMYFUNCTION("""COMPUTED_VALUE"""),43241.0)</f>
        <v>43241</v>
      </c>
      <c r="C179" s="19">
        <f>IFERROR(__xludf.DUMMYFUNCTION("""COMPUTED_VALUE"""),43247.0)</f>
        <v>43247</v>
      </c>
      <c r="D179" s="17">
        <f>IFERROR(__xludf.DUMMYFUNCTION("""COMPUTED_VALUE"""),21.0)</f>
        <v>21</v>
      </c>
      <c r="E179" s="17">
        <f>IFERROR(__xludf.DUMMYFUNCTION("""COMPUTED_VALUE"""),4654.0)</f>
        <v>4654</v>
      </c>
      <c r="F179" s="17">
        <f>IFERROR(__xludf.DUMMYFUNCTION("""COMPUTED_VALUE"""),0.0)</f>
        <v>0</v>
      </c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 t="str">
        <f>IFERROR(__xludf.DUMMYFUNCTION("""COMPUTED_VALUE"""),"Colombia")</f>
        <v>Colombia</v>
      </c>
      <c r="B180" s="54">
        <f>IFERROR(__xludf.DUMMYFUNCTION("""COMPUTED_VALUE"""),43248.0)</f>
        <v>43248</v>
      </c>
      <c r="C180" s="19">
        <f>IFERROR(__xludf.DUMMYFUNCTION("""COMPUTED_VALUE"""),43254.0)</f>
        <v>43254</v>
      </c>
      <c r="D180" s="17">
        <f>IFERROR(__xludf.DUMMYFUNCTION("""COMPUTED_VALUE"""),22.0)</f>
        <v>22</v>
      </c>
      <c r="E180" s="17">
        <f>IFERROR(__xludf.DUMMYFUNCTION("""COMPUTED_VALUE"""),4749.0)</f>
        <v>4749</v>
      </c>
      <c r="F180" s="17">
        <f>IFERROR(__xludf.DUMMYFUNCTION("""COMPUTED_VALUE"""),0.0)</f>
        <v>0</v>
      </c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 t="str">
        <f>IFERROR(__xludf.DUMMYFUNCTION("""COMPUTED_VALUE"""),"Colombia")</f>
        <v>Colombia</v>
      </c>
      <c r="B181" s="54">
        <f>IFERROR(__xludf.DUMMYFUNCTION("""COMPUTED_VALUE"""),43255.0)</f>
        <v>43255</v>
      </c>
      <c r="C181" s="19">
        <f>IFERROR(__xludf.DUMMYFUNCTION("""COMPUTED_VALUE"""),43261.0)</f>
        <v>43261</v>
      </c>
      <c r="D181" s="17">
        <f>IFERROR(__xludf.DUMMYFUNCTION("""COMPUTED_VALUE"""),23.0)</f>
        <v>23</v>
      </c>
      <c r="E181" s="17">
        <f>IFERROR(__xludf.DUMMYFUNCTION("""COMPUTED_VALUE"""),4848.0)</f>
        <v>4848</v>
      </c>
      <c r="F181" s="17">
        <f>IFERROR(__xludf.DUMMYFUNCTION("""COMPUTED_VALUE"""),0.0)</f>
        <v>0</v>
      </c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 t="str">
        <f>IFERROR(__xludf.DUMMYFUNCTION("""COMPUTED_VALUE"""),"Colombia")</f>
        <v>Colombia</v>
      </c>
      <c r="B182" s="54">
        <f>IFERROR(__xludf.DUMMYFUNCTION("""COMPUTED_VALUE"""),43262.0)</f>
        <v>43262</v>
      </c>
      <c r="C182" s="19">
        <f>IFERROR(__xludf.DUMMYFUNCTION("""COMPUTED_VALUE"""),43268.0)</f>
        <v>43268</v>
      </c>
      <c r="D182" s="17">
        <f>IFERROR(__xludf.DUMMYFUNCTION("""COMPUTED_VALUE"""),24.0)</f>
        <v>24</v>
      </c>
      <c r="E182" s="17">
        <f>IFERROR(__xludf.DUMMYFUNCTION("""COMPUTED_VALUE"""),4803.0)</f>
        <v>4803</v>
      </c>
      <c r="F182" s="17">
        <f>IFERROR(__xludf.DUMMYFUNCTION("""COMPUTED_VALUE"""),0.0)</f>
        <v>0</v>
      </c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 t="str">
        <f>IFERROR(__xludf.DUMMYFUNCTION("""COMPUTED_VALUE"""),"Colombia")</f>
        <v>Colombia</v>
      </c>
      <c r="B183" s="54">
        <f>IFERROR(__xludf.DUMMYFUNCTION("""COMPUTED_VALUE"""),43269.0)</f>
        <v>43269</v>
      </c>
      <c r="C183" s="19">
        <f>IFERROR(__xludf.DUMMYFUNCTION("""COMPUTED_VALUE"""),43275.0)</f>
        <v>43275</v>
      </c>
      <c r="D183" s="17">
        <f>IFERROR(__xludf.DUMMYFUNCTION("""COMPUTED_VALUE"""),25.0)</f>
        <v>25</v>
      </c>
      <c r="E183" s="17">
        <f>IFERROR(__xludf.DUMMYFUNCTION("""COMPUTED_VALUE"""),4851.0)</f>
        <v>4851</v>
      </c>
      <c r="F183" s="17">
        <f>IFERROR(__xludf.DUMMYFUNCTION("""COMPUTED_VALUE"""),0.0)</f>
        <v>0</v>
      </c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 t="str">
        <f>IFERROR(__xludf.DUMMYFUNCTION("""COMPUTED_VALUE"""),"Colombia")</f>
        <v>Colombia</v>
      </c>
      <c r="B184" s="54">
        <f>IFERROR(__xludf.DUMMYFUNCTION("""COMPUTED_VALUE"""),43276.0)</f>
        <v>43276</v>
      </c>
      <c r="C184" s="19">
        <f>IFERROR(__xludf.DUMMYFUNCTION("""COMPUTED_VALUE"""),43282.0)</f>
        <v>43282</v>
      </c>
      <c r="D184" s="17">
        <f>IFERROR(__xludf.DUMMYFUNCTION("""COMPUTED_VALUE"""),26.0)</f>
        <v>26</v>
      </c>
      <c r="E184" s="17">
        <f>IFERROR(__xludf.DUMMYFUNCTION("""COMPUTED_VALUE"""),4868.0)</f>
        <v>4868</v>
      </c>
      <c r="F184" s="17">
        <f>IFERROR(__xludf.DUMMYFUNCTION("""COMPUTED_VALUE"""),0.0)</f>
        <v>0</v>
      </c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 t="str">
        <f>IFERROR(__xludf.DUMMYFUNCTION("""COMPUTED_VALUE"""),"Colombia")</f>
        <v>Colombia</v>
      </c>
      <c r="B185" s="54">
        <f>IFERROR(__xludf.DUMMYFUNCTION("""COMPUTED_VALUE"""),43283.0)</f>
        <v>43283</v>
      </c>
      <c r="C185" s="19">
        <f>IFERROR(__xludf.DUMMYFUNCTION("""COMPUTED_VALUE"""),43289.0)</f>
        <v>43289</v>
      </c>
      <c r="D185" s="17">
        <f>IFERROR(__xludf.DUMMYFUNCTION("""COMPUTED_VALUE"""),27.0)</f>
        <v>27</v>
      </c>
      <c r="E185" s="17">
        <f>IFERROR(__xludf.DUMMYFUNCTION("""COMPUTED_VALUE"""),4845.0)</f>
        <v>4845</v>
      </c>
      <c r="F185" s="17">
        <f>IFERROR(__xludf.DUMMYFUNCTION("""COMPUTED_VALUE"""),0.0)</f>
        <v>0</v>
      </c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 t="str">
        <f>IFERROR(__xludf.DUMMYFUNCTION("""COMPUTED_VALUE"""),"Colombia")</f>
        <v>Colombia</v>
      </c>
      <c r="B186" s="54">
        <f>IFERROR(__xludf.DUMMYFUNCTION("""COMPUTED_VALUE"""),43290.0)</f>
        <v>43290</v>
      </c>
      <c r="C186" s="19">
        <f>IFERROR(__xludf.DUMMYFUNCTION("""COMPUTED_VALUE"""),43296.0)</f>
        <v>43296</v>
      </c>
      <c r="D186" s="17">
        <f>IFERROR(__xludf.DUMMYFUNCTION("""COMPUTED_VALUE"""),28.0)</f>
        <v>28</v>
      </c>
      <c r="E186" s="17">
        <f>IFERROR(__xludf.DUMMYFUNCTION("""COMPUTED_VALUE"""),4782.0)</f>
        <v>4782</v>
      </c>
      <c r="F186" s="17">
        <f>IFERROR(__xludf.DUMMYFUNCTION("""COMPUTED_VALUE"""),0.0)</f>
        <v>0</v>
      </c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 t="str">
        <f>IFERROR(__xludf.DUMMYFUNCTION("""COMPUTED_VALUE"""),"Colombia")</f>
        <v>Colombia</v>
      </c>
      <c r="B187" s="54">
        <f>IFERROR(__xludf.DUMMYFUNCTION("""COMPUTED_VALUE"""),43297.0)</f>
        <v>43297</v>
      </c>
      <c r="C187" s="19">
        <f>IFERROR(__xludf.DUMMYFUNCTION("""COMPUTED_VALUE"""),43303.0)</f>
        <v>43303</v>
      </c>
      <c r="D187" s="17">
        <f>IFERROR(__xludf.DUMMYFUNCTION("""COMPUTED_VALUE"""),29.0)</f>
        <v>29</v>
      </c>
      <c r="E187" s="17">
        <f>IFERROR(__xludf.DUMMYFUNCTION("""COMPUTED_VALUE"""),4740.0)</f>
        <v>4740</v>
      </c>
      <c r="F187" s="17">
        <f>IFERROR(__xludf.DUMMYFUNCTION("""COMPUTED_VALUE"""),0.0)</f>
        <v>0</v>
      </c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 t="str">
        <f>IFERROR(__xludf.DUMMYFUNCTION("""COMPUTED_VALUE"""),"Colombia")</f>
        <v>Colombia</v>
      </c>
      <c r="B188" s="54">
        <f>IFERROR(__xludf.DUMMYFUNCTION("""COMPUTED_VALUE"""),43304.0)</f>
        <v>43304</v>
      </c>
      <c r="C188" s="19">
        <f>IFERROR(__xludf.DUMMYFUNCTION("""COMPUTED_VALUE"""),43310.0)</f>
        <v>43310</v>
      </c>
      <c r="D188" s="17">
        <f>IFERROR(__xludf.DUMMYFUNCTION("""COMPUTED_VALUE"""),30.0)</f>
        <v>30</v>
      </c>
      <c r="E188" s="17">
        <f>IFERROR(__xludf.DUMMYFUNCTION("""COMPUTED_VALUE"""),4518.0)</f>
        <v>4518</v>
      </c>
      <c r="F188" s="17">
        <f>IFERROR(__xludf.DUMMYFUNCTION("""COMPUTED_VALUE"""),0.0)</f>
        <v>0</v>
      </c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 t="str">
        <f>IFERROR(__xludf.DUMMYFUNCTION("""COMPUTED_VALUE"""),"Colombia")</f>
        <v>Colombia</v>
      </c>
      <c r="B189" s="54">
        <f>IFERROR(__xludf.DUMMYFUNCTION("""COMPUTED_VALUE"""),43311.0)</f>
        <v>43311</v>
      </c>
      <c r="C189" s="19">
        <f>IFERROR(__xludf.DUMMYFUNCTION("""COMPUTED_VALUE"""),43317.0)</f>
        <v>43317</v>
      </c>
      <c r="D189" s="17">
        <f>IFERROR(__xludf.DUMMYFUNCTION("""COMPUTED_VALUE"""),31.0)</f>
        <v>31</v>
      </c>
      <c r="E189" s="17">
        <f>IFERROR(__xludf.DUMMYFUNCTION("""COMPUTED_VALUE"""),4459.0)</f>
        <v>4459</v>
      </c>
      <c r="F189" s="17">
        <f>IFERROR(__xludf.DUMMYFUNCTION("""COMPUTED_VALUE"""),0.0)</f>
        <v>0</v>
      </c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 t="str">
        <f>IFERROR(__xludf.DUMMYFUNCTION("""COMPUTED_VALUE"""),"Colombia")</f>
        <v>Colombia</v>
      </c>
      <c r="B190" s="54">
        <f>IFERROR(__xludf.DUMMYFUNCTION("""COMPUTED_VALUE"""),43318.0)</f>
        <v>43318</v>
      </c>
      <c r="C190" s="19">
        <f>IFERROR(__xludf.DUMMYFUNCTION("""COMPUTED_VALUE"""),43324.0)</f>
        <v>43324</v>
      </c>
      <c r="D190" s="17">
        <f>IFERROR(__xludf.DUMMYFUNCTION("""COMPUTED_VALUE"""),32.0)</f>
        <v>32</v>
      </c>
      <c r="E190" s="17">
        <f>IFERROR(__xludf.DUMMYFUNCTION("""COMPUTED_VALUE"""),4607.0)</f>
        <v>4607</v>
      </c>
      <c r="F190" s="17">
        <f>IFERROR(__xludf.DUMMYFUNCTION("""COMPUTED_VALUE"""),0.0)</f>
        <v>0</v>
      </c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 t="str">
        <f>IFERROR(__xludf.DUMMYFUNCTION("""COMPUTED_VALUE"""),"Colombia")</f>
        <v>Colombia</v>
      </c>
      <c r="B191" s="54">
        <f>IFERROR(__xludf.DUMMYFUNCTION("""COMPUTED_VALUE"""),43325.0)</f>
        <v>43325</v>
      </c>
      <c r="C191" s="19">
        <f>IFERROR(__xludf.DUMMYFUNCTION("""COMPUTED_VALUE"""),43331.0)</f>
        <v>43331</v>
      </c>
      <c r="D191" s="17">
        <f>IFERROR(__xludf.DUMMYFUNCTION("""COMPUTED_VALUE"""),33.0)</f>
        <v>33</v>
      </c>
      <c r="E191" s="17">
        <f>IFERROR(__xludf.DUMMYFUNCTION("""COMPUTED_VALUE"""),4637.0)</f>
        <v>4637</v>
      </c>
      <c r="F191" s="17">
        <f>IFERROR(__xludf.DUMMYFUNCTION("""COMPUTED_VALUE"""),0.0)</f>
        <v>0</v>
      </c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 t="str">
        <f>IFERROR(__xludf.DUMMYFUNCTION("""COMPUTED_VALUE"""),"Colombia")</f>
        <v>Colombia</v>
      </c>
      <c r="B192" s="54">
        <f>IFERROR(__xludf.DUMMYFUNCTION("""COMPUTED_VALUE"""),43332.0)</f>
        <v>43332</v>
      </c>
      <c r="C192" s="19">
        <f>IFERROR(__xludf.DUMMYFUNCTION("""COMPUTED_VALUE"""),43338.0)</f>
        <v>43338</v>
      </c>
      <c r="D192" s="17">
        <f>IFERROR(__xludf.DUMMYFUNCTION("""COMPUTED_VALUE"""),34.0)</f>
        <v>34</v>
      </c>
      <c r="E192" s="17">
        <f>IFERROR(__xludf.DUMMYFUNCTION("""COMPUTED_VALUE"""),4498.0)</f>
        <v>4498</v>
      </c>
      <c r="F192" s="17">
        <f>IFERROR(__xludf.DUMMYFUNCTION("""COMPUTED_VALUE"""),0.0)</f>
        <v>0</v>
      </c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 t="str">
        <f>IFERROR(__xludf.DUMMYFUNCTION("""COMPUTED_VALUE"""),"Colombia")</f>
        <v>Colombia</v>
      </c>
      <c r="B193" s="54">
        <f>IFERROR(__xludf.DUMMYFUNCTION("""COMPUTED_VALUE"""),43339.0)</f>
        <v>43339</v>
      </c>
      <c r="C193" s="19">
        <f>IFERROR(__xludf.DUMMYFUNCTION("""COMPUTED_VALUE"""),43345.0)</f>
        <v>43345</v>
      </c>
      <c r="D193" s="17">
        <f>IFERROR(__xludf.DUMMYFUNCTION("""COMPUTED_VALUE"""),35.0)</f>
        <v>35</v>
      </c>
      <c r="E193" s="17">
        <f>IFERROR(__xludf.DUMMYFUNCTION("""COMPUTED_VALUE"""),4462.0)</f>
        <v>4462</v>
      </c>
      <c r="F193" s="17">
        <f>IFERROR(__xludf.DUMMYFUNCTION("""COMPUTED_VALUE"""),0.0)</f>
        <v>0</v>
      </c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 t="str">
        <f>IFERROR(__xludf.DUMMYFUNCTION("""COMPUTED_VALUE"""),"Colombia")</f>
        <v>Colombia</v>
      </c>
      <c r="B194" s="54">
        <f>IFERROR(__xludf.DUMMYFUNCTION("""COMPUTED_VALUE"""),43346.0)</f>
        <v>43346</v>
      </c>
      <c r="C194" s="19">
        <f>IFERROR(__xludf.DUMMYFUNCTION("""COMPUTED_VALUE"""),43352.0)</f>
        <v>43352</v>
      </c>
      <c r="D194" s="17">
        <f>IFERROR(__xludf.DUMMYFUNCTION("""COMPUTED_VALUE"""),36.0)</f>
        <v>36</v>
      </c>
      <c r="E194" s="17">
        <f>IFERROR(__xludf.DUMMYFUNCTION("""COMPUTED_VALUE"""),4452.0)</f>
        <v>4452</v>
      </c>
      <c r="F194" s="17">
        <f>IFERROR(__xludf.DUMMYFUNCTION("""COMPUTED_VALUE"""),0.0)</f>
        <v>0</v>
      </c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 t="str">
        <f>IFERROR(__xludf.DUMMYFUNCTION("""COMPUTED_VALUE"""),"Colombia")</f>
        <v>Colombia</v>
      </c>
      <c r="B195" s="54">
        <f>IFERROR(__xludf.DUMMYFUNCTION("""COMPUTED_VALUE"""),43353.0)</f>
        <v>43353</v>
      </c>
      <c r="C195" s="19">
        <f>IFERROR(__xludf.DUMMYFUNCTION("""COMPUTED_VALUE"""),43359.0)</f>
        <v>43359</v>
      </c>
      <c r="D195" s="17">
        <f>IFERROR(__xludf.DUMMYFUNCTION("""COMPUTED_VALUE"""),37.0)</f>
        <v>37</v>
      </c>
      <c r="E195" s="17">
        <f>IFERROR(__xludf.DUMMYFUNCTION("""COMPUTED_VALUE"""),4415.0)</f>
        <v>4415</v>
      </c>
      <c r="F195" s="17">
        <f>IFERROR(__xludf.DUMMYFUNCTION("""COMPUTED_VALUE"""),0.0)</f>
        <v>0</v>
      </c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 t="str">
        <f>IFERROR(__xludf.DUMMYFUNCTION("""COMPUTED_VALUE"""),"Colombia")</f>
        <v>Colombia</v>
      </c>
      <c r="B196" s="54">
        <f>IFERROR(__xludf.DUMMYFUNCTION("""COMPUTED_VALUE"""),43360.0)</f>
        <v>43360</v>
      </c>
      <c r="C196" s="19">
        <f>IFERROR(__xludf.DUMMYFUNCTION("""COMPUTED_VALUE"""),43366.0)</f>
        <v>43366</v>
      </c>
      <c r="D196" s="17">
        <f>IFERROR(__xludf.DUMMYFUNCTION("""COMPUTED_VALUE"""),38.0)</f>
        <v>38</v>
      </c>
      <c r="E196" s="17">
        <f>IFERROR(__xludf.DUMMYFUNCTION("""COMPUTED_VALUE"""),4437.0)</f>
        <v>4437</v>
      </c>
      <c r="F196" s="17">
        <f>IFERROR(__xludf.DUMMYFUNCTION("""COMPUTED_VALUE"""),0.0)</f>
        <v>0</v>
      </c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 t="str">
        <f>IFERROR(__xludf.DUMMYFUNCTION("""COMPUTED_VALUE"""),"Colombia")</f>
        <v>Colombia</v>
      </c>
      <c r="B197" s="54">
        <f>IFERROR(__xludf.DUMMYFUNCTION("""COMPUTED_VALUE"""),43367.0)</f>
        <v>43367</v>
      </c>
      <c r="C197" s="19">
        <f>IFERROR(__xludf.DUMMYFUNCTION("""COMPUTED_VALUE"""),43373.0)</f>
        <v>43373</v>
      </c>
      <c r="D197" s="17">
        <f>IFERROR(__xludf.DUMMYFUNCTION("""COMPUTED_VALUE"""),39.0)</f>
        <v>39</v>
      </c>
      <c r="E197" s="17">
        <f>IFERROR(__xludf.DUMMYFUNCTION("""COMPUTED_VALUE"""),4324.0)</f>
        <v>4324</v>
      </c>
      <c r="F197" s="17">
        <f>IFERROR(__xludf.DUMMYFUNCTION("""COMPUTED_VALUE"""),0.0)</f>
        <v>0</v>
      </c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 t="str">
        <f>IFERROR(__xludf.DUMMYFUNCTION("""COMPUTED_VALUE"""),"Colombia")</f>
        <v>Colombia</v>
      </c>
      <c r="B198" s="54">
        <f>IFERROR(__xludf.DUMMYFUNCTION("""COMPUTED_VALUE"""),43374.0)</f>
        <v>43374</v>
      </c>
      <c r="C198" s="19">
        <f>IFERROR(__xludf.DUMMYFUNCTION("""COMPUTED_VALUE"""),43380.0)</f>
        <v>43380</v>
      </c>
      <c r="D198" s="17">
        <f>IFERROR(__xludf.DUMMYFUNCTION("""COMPUTED_VALUE"""),40.0)</f>
        <v>40</v>
      </c>
      <c r="E198" s="17">
        <f>IFERROR(__xludf.DUMMYFUNCTION("""COMPUTED_VALUE"""),4293.0)</f>
        <v>4293</v>
      </c>
      <c r="F198" s="17">
        <f>IFERROR(__xludf.DUMMYFUNCTION("""COMPUTED_VALUE"""),0.0)</f>
        <v>0</v>
      </c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 t="str">
        <f>IFERROR(__xludf.DUMMYFUNCTION("""COMPUTED_VALUE"""),"Colombia")</f>
        <v>Colombia</v>
      </c>
      <c r="B199" s="54">
        <f>IFERROR(__xludf.DUMMYFUNCTION("""COMPUTED_VALUE"""),43381.0)</f>
        <v>43381</v>
      </c>
      <c r="C199" s="19">
        <f>IFERROR(__xludf.DUMMYFUNCTION("""COMPUTED_VALUE"""),43387.0)</f>
        <v>43387</v>
      </c>
      <c r="D199" s="17">
        <f>IFERROR(__xludf.DUMMYFUNCTION("""COMPUTED_VALUE"""),41.0)</f>
        <v>41</v>
      </c>
      <c r="E199" s="17">
        <f>IFERROR(__xludf.DUMMYFUNCTION("""COMPUTED_VALUE"""),4363.0)</f>
        <v>4363</v>
      </c>
      <c r="F199" s="17">
        <f>IFERROR(__xludf.DUMMYFUNCTION("""COMPUTED_VALUE"""),0.0)</f>
        <v>0</v>
      </c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 t="str">
        <f>IFERROR(__xludf.DUMMYFUNCTION("""COMPUTED_VALUE"""),"Colombia")</f>
        <v>Colombia</v>
      </c>
      <c r="B200" s="54">
        <f>IFERROR(__xludf.DUMMYFUNCTION("""COMPUTED_VALUE"""),43388.0)</f>
        <v>43388</v>
      </c>
      <c r="C200" s="19">
        <f>IFERROR(__xludf.DUMMYFUNCTION("""COMPUTED_VALUE"""),43394.0)</f>
        <v>43394</v>
      </c>
      <c r="D200" s="17">
        <f>IFERROR(__xludf.DUMMYFUNCTION("""COMPUTED_VALUE"""),42.0)</f>
        <v>42</v>
      </c>
      <c r="E200" s="17">
        <f>IFERROR(__xludf.DUMMYFUNCTION("""COMPUTED_VALUE"""),4345.0)</f>
        <v>4345</v>
      </c>
      <c r="F200" s="17">
        <f>IFERROR(__xludf.DUMMYFUNCTION("""COMPUTED_VALUE"""),0.0)</f>
        <v>0</v>
      </c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 t="str">
        <f>IFERROR(__xludf.DUMMYFUNCTION("""COMPUTED_VALUE"""),"Colombia")</f>
        <v>Colombia</v>
      </c>
      <c r="B201" s="54">
        <f>IFERROR(__xludf.DUMMYFUNCTION("""COMPUTED_VALUE"""),43395.0)</f>
        <v>43395</v>
      </c>
      <c r="C201" s="19">
        <f>IFERROR(__xludf.DUMMYFUNCTION("""COMPUTED_VALUE"""),43401.0)</f>
        <v>43401</v>
      </c>
      <c r="D201" s="17">
        <f>IFERROR(__xludf.DUMMYFUNCTION("""COMPUTED_VALUE"""),43.0)</f>
        <v>43</v>
      </c>
      <c r="E201" s="17">
        <f>IFERROR(__xludf.DUMMYFUNCTION("""COMPUTED_VALUE"""),4287.0)</f>
        <v>4287</v>
      </c>
      <c r="F201" s="17">
        <f>IFERROR(__xludf.DUMMYFUNCTION("""COMPUTED_VALUE"""),0.0)</f>
        <v>0</v>
      </c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 t="str">
        <f>IFERROR(__xludf.DUMMYFUNCTION("""COMPUTED_VALUE"""),"Colombia")</f>
        <v>Colombia</v>
      </c>
      <c r="B202" s="54">
        <f>IFERROR(__xludf.DUMMYFUNCTION("""COMPUTED_VALUE"""),43402.0)</f>
        <v>43402</v>
      </c>
      <c r="C202" s="19">
        <f>IFERROR(__xludf.DUMMYFUNCTION("""COMPUTED_VALUE"""),43408.0)</f>
        <v>43408</v>
      </c>
      <c r="D202" s="17">
        <f>IFERROR(__xludf.DUMMYFUNCTION("""COMPUTED_VALUE"""),44.0)</f>
        <v>44</v>
      </c>
      <c r="E202" s="17">
        <f>IFERROR(__xludf.DUMMYFUNCTION("""COMPUTED_VALUE"""),4421.0)</f>
        <v>4421</v>
      </c>
      <c r="F202" s="17">
        <f>IFERROR(__xludf.DUMMYFUNCTION("""COMPUTED_VALUE"""),0.0)</f>
        <v>0</v>
      </c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 t="str">
        <f>IFERROR(__xludf.DUMMYFUNCTION("""COMPUTED_VALUE"""),"Colombia")</f>
        <v>Colombia</v>
      </c>
      <c r="B203" s="54">
        <f>IFERROR(__xludf.DUMMYFUNCTION("""COMPUTED_VALUE"""),43409.0)</f>
        <v>43409</v>
      </c>
      <c r="C203" s="19">
        <f>IFERROR(__xludf.DUMMYFUNCTION("""COMPUTED_VALUE"""),43415.0)</f>
        <v>43415</v>
      </c>
      <c r="D203" s="17">
        <f>IFERROR(__xludf.DUMMYFUNCTION("""COMPUTED_VALUE"""),45.0)</f>
        <v>45</v>
      </c>
      <c r="E203" s="17">
        <f>IFERROR(__xludf.DUMMYFUNCTION("""COMPUTED_VALUE"""),4366.0)</f>
        <v>4366</v>
      </c>
      <c r="F203" s="17">
        <f>IFERROR(__xludf.DUMMYFUNCTION("""COMPUTED_VALUE"""),0.0)</f>
        <v>0</v>
      </c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 t="str">
        <f>IFERROR(__xludf.DUMMYFUNCTION("""COMPUTED_VALUE"""),"Colombia")</f>
        <v>Colombia</v>
      </c>
      <c r="B204" s="54">
        <f>IFERROR(__xludf.DUMMYFUNCTION("""COMPUTED_VALUE"""),43416.0)</f>
        <v>43416</v>
      </c>
      <c r="C204" s="19">
        <f>IFERROR(__xludf.DUMMYFUNCTION("""COMPUTED_VALUE"""),43422.0)</f>
        <v>43422</v>
      </c>
      <c r="D204" s="17">
        <f>IFERROR(__xludf.DUMMYFUNCTION("""COMPUTED_VALUE"""),46.0)</f>
        <v>46</v>
      </c>
      <c r="E204" s="17">
        <f>IFERROR(__xludf.DUMMYFUNCTION("""COMPUTED_VALUE"""),4519.0)</f>
        <v>4519</v>
      </c>
      <c r="F204" s="17">
        <f>IFERROR(__xludf.DUMMYFUNCTION("""COMPUTED_VALUE"""),0.0)</f>
        <v>0</v>
      </c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 t="str">
        <f>IFERROR(__xludf.DUMMYFUNCTION("""COMPUTED_VALUE"""),"Colombia")</f>
        <v>Colombia</v>
      </c>
      <c r="B205" s="54">
        <f>IFERROR(__xludf.DUMMYFUNCTION("""COMPUTED_VALUE"""),43423.0)</f>
        <v>43423</v>
      </c>
      <c r="C205" s="19">
        <f>IFERROR(__xludf.DUMMYFUNCTION("""COMPUTED_VALUE"""),43429.0)</f>
        <v>43429</v>
      </c>
      <c r="D205" s="17">
        <f>IFERROR(__xludf.DUMMYFUNCTION("""COMPUTED_VALUE"""),47.0)</f>
        <v>47</v>
      </c>
      <c r="E205" s="17">
        <f>IFERROR(__xludf.DUMMYFUNCTION("""COMPUTED_VALUE"""),4448.0)</f>
        <v>4448</v>
      </c>
      <c r="F205" s="17">
        <f>IFERROR(__xludf.DUMMYFUNCTION("""COMPUTED_VALUE"""),0.0)</f>
        <v>0</v>
      </c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 t="str">
        <f>IFERROR(__xludf.DUMMYFUNCTION("""COMPUTED_VALUE"""),"Colombia")</f>
        <v>Colombia</v>
      </c>
      <c r="B206" s="54">
        <f>IFERROR(__xludf.DUMMYFUNCTION("""COMPUTED_VALUE"""),43430.0)</f>
        <v>43430</v>
      </c>
      <c r="C206" s="19">
        <f>IFERROR(__xludf.DUMMYFUNCTION("""COMPUTED_VALUE"""),43436.0)</f>
        <v>43436</v>
      </c>
      <c r="D206" s="17">
        <f>IFERROR(__xludf.DUMMYFUNCTION("""COMPUTED_VALUE"""),48.0)</f>
        <v>48</v>
      </c>
      <c r="E206" s="17">
        <f>IFERROR(__xludf.DUMMYFUNCTION("""COMPUTED_VALUE"""),4636.0)</f>
        <v>4636</v>
      </c>
      <c r="F206" s="17">
        <f>IFERROR(__xludf.DUMMYFUNCTION("""COMPUTED_VALUE"""),0.0)</f>
        <v>0</v>
      </c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 t="str">
        <f>IFERROR(__xludf.DUMMYFUNCTION("""COMPUTED_VALUE"""),"Colombia")</f>
        <v>Colombia</v>
      </c>
      <c r="B207" s="54">
        <f>IFERROR(__xludf.DUMMYFUNCTION("""COMPUTED_VALUE"""),43437.0)</f>
        <v>43437</v>
      </c>
      <c r="C207" s="19">
        <f>IFERROR(__xludf.DUMMYFUNCTION("""COMPUTED_VALUE"""),43443.0)</f>
        <v>43443</v>
      </c>
      <c r="D207" s="17">
        <f>IFERROR(__xludf.DUMMYFUNCTION("""COMPUTED_VALUE"""),49.0)</f>
        <v>49</v>
      </c>
      <c r="E207" s="17">
        <f>IFERROR(__xludf.DUMMYFUNCTION("""COMPUTED_VALUE"""),4756.0)</f>
        <v>4756</v>
      </c>
      <c r="F207" s="17">
        <f>IFERROR(__xludf.DUMMYFUNCTION("""COMPUTED_VALUE"""),0.0)</f>
        <v>0</v>
      </c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 t="str">
        <f>IFERROR(__xludf.DUMMYFUNCTION("""COMPUTED_VALUE"""),"Colombia")</f>
        <v>Colombia</v>
      </c>
      <c r="B208" s="54">
        <f>IFERROR(__xludf.DUMMYFUNCTION("""COMPUTED_VALUE"""),43444.0)</f>
        <v>43444</v>
      </c>
      <c r="C208" s="19">
        <f>IFERROR(__xludf.DUMMYFUNCTION("""COMPUTED_VALUE"""),43450.0)</f>
        <v>43450</v>
      </c>
      <c r="D208" s="17">
        <f>IFERROR(__xludf.DUMMYFUNCTION("""COMPUTED_VALUE"""),50.0)</f>
        <v>50</v>
      </c>
      <c r="E208" s="17">
        <f>IFERROR(__xludf.DUMMYFUNCTION("""COMPUTED_VALUE"""),4763.0)</f>
        <v>4763</v>
      </c>
      <c r="F208" s="17">
        <f>IFERROR(__xludf.DUMMYFUNCTION("""COMPUTED_VALUE"""),0.0)</f>
        <v>0</v>
      </c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 t="str">
        <f>IFERROR(__xludf.DUMMYFUNCTION("""COMPUTED_VALUE"""),"Colombia")</f>
        <v>Colombia</v>
      </c>
      <c r="B209" s="54">
        <f>IFERROR(__xludf.DUMMYFUNCTION("""COMPUTED_VALUE"""),43451.0)</f>
        <v>43451</v>
      </c>
      <c r="C209" s="19">
        <f>IFERROR(__xludf.DUMMYFUNCTION("""COMPUTED_VALUE"""),43457.0)</f>
        <v>43457</v>
      </c>
      <c r="D209" s="17">
        <f>IFERROR(__xludf.DUMMYFUNCTION("""COMPUTED_VALUE"""),51.0)</f>
        <v>51</v>
      </c>
      <c r="E209" s="17">
        <f>IFERROR(__xludf.DUMMYFUNCTION("""COMPUTED_VALUE"""),4787.0)</f>
        <v>4787</v>
      </c>
      <c r="F209" s="17">
        <f>IFERROR(__xludf.DUMMYFUNCTION("""COMPUTED_VALUE"""),0.0)</f>
        <v>0</v>
      </c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 t="str">
        <f>IFERROR(__xludf.DUMMYFUNCTION("""COMPUTED_VALUE"""),"Colombia")</f>
        <v>Colombia</v>
      </c>
      <c r="B210" s="54">
        <f>IFERROR(__xludf.DUMMYFUNCTION("""COMPUTED_VALUE"""),43458.0)</f>
        <v>43458</v>
      </c>
      <c r="C210" s="19">
        <f>IFERROR(__xludf.DUMMYFUNCTION("""COMPUTED_VALUE"""),43464.0)</f>
        <v>43464</v>
      </c>
      <c r="D210" s="17">
        <f>IFERROR(__xludf.DUMMYFUNCTION("""COMPUTED_VALUE"""),52.0)</f>
        <v>52</v>
      </c>
      <c r="E210" s="17">
        <f>IFERROR(__xludf.DUMMYFUNCTION("""COMPUTED_VALUE"""),4984.0)</f>
        <v>4984</v>
      </c>
      <c r="F210" s="17">
        <f>IFERROR(__xludf.DUMMYFUNCTION("""COMPUTED_VALUE"""),0.0)</f>
        <v>0</v>
      </c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 t="str">
        <f>IFERROR(__xludf.DUMMYFUNCTION("""COMPUTED_VALUE"""),"Colombia")</f>
        <v>Colombia</v>
      </c>
      <c r="B211" s="54">
        <f>IFERROR(__xludf.DUMMYFUNCTION("""COMPUTED_VALUE"""),43465.0)</f>
        <v>43465</v>
      </c>
      <c r="C211" s="19">
        <f>IFERROR(__xludf.DUMMYFUNCTION("""COMPUTED_VALUE"""),43471.0)</f>
        <v>43471</v>
      </c>
      <c r="D211" s="17">
        <f>IFERROR(__xludf.DUMMYFUNCTION("""COMPUTED_VALUE"""),1.0)</f>
        <v>1</v>
      </c>
      <c r="E211" s="17">
        <f>IFERROR(__xludf.DUMMYFUNCTION("""COMPUTED_VALUE"""),5348.0)</f>
        <v>5348</v>
      </c>
      <c r="F211" s="17">
        <f>IFERROR(__xludf.DUMMYFUNCTION("""COMPUTED_VALUE"""),0.0)</f>
        <v>0</v>
      </c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 t="str">
        <f>IFERROR(__xludf.DUMMYFUNCTION("""COMPUTED_VALUE"""),"Colombia")</f>
        <v>Colombia</v>
      </c>
      <c r="B212" s="54">
        <f>IFERROR(__xludf.DUMMYFUNCTION("""COMPUTED_VALUE"""),43472.0)</f>
        <v>43472</v>
      </c>
      <c r="C212" s="19">
        <f>IFERROR(__xludf.DUMMYFUNCTION("""COMPUTED_VALUE"""),43478.0)</f>
        <v>43478</v>
      </c>
      <c r="D212" s="17">
        <f>IFERROR(__xludf.DUMMYFUNCTION("""COMPUTED_VALUE"""),2.0)</f>
        <v>2</v>
      </c>
      <c r="E212" s="17">
        <f>IFERROR(__xludf.DUMMYFUNCTION("""COMPUTED_VALUE"""),4713.0)</f>
        <v>4713</v>
      </c>
      <c r="F212" s="17">
        <f>IFERROR(__xludf.DUMMYFUNCTION("""COMPUTED_VALUE"""),0.0)</f>
        <v>0</v>
      </c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 t="str">
        <f>IFERROR(__xludf.DUMMYFUNCTION("""COMPUTED_VALUE"""),"Colombia")</f>
        <v>Colombia</v>
      </c>
      <c r="B213" s="54">
        <f>IFERROR(__xludf.DUMMYFUNCTION("""COMPUTED_VALUE"""),43479.0)</f>
        <v>43479</v>
      </c>
      <c r="C213" s="19">
        <f>IFERROR(__xludf.DUMMYFUNCTION("""COMPUTED_VALUE"""),43485.0)</f>
        <v>43485</v>
      </c>
      <c r="D213" s="17">
        <f>IFERROR(__xludf.DUMMYFUNCTION("""COMPUTED_VALUE"""),3.0)</f>
        <v>3</v>
      </c>
      <c r="E213" s="17">
        <f>IFERROR(__xludf.DUMMYFUNCTION("""COMPUTED_VALUE"""),4842.0)</f>
        <v>4842</v>
      </c>
      <c r="F213" s="17">
        <f>IFERROR(__xludf.DUMMYFUNCTION("""COMPUTED_VALUE"""),0.0)</f>
        <v>0</v>
      </c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 t="str">
        <f>IFERROR(__xludf.DUMMYFUNCTION("""COMPUTED_VALUE"""),"Colombia")</f>
        <v>Colombia</v>
      </c>
      <c r="B214" s="54">
        <f>IFERROR(__xludf.DUMMYFUNCTION("""COMPUTED_VALUE"""),43486.0)</f>
        <v>43486</v>
      </c>
      <c r="C214" s="19">
        <f>IFERROR(__xludf.DUMMYFUNCTION("""COMPUTED_VALUE"""),43492.0)</f>
        <v>43492</v>
      </c>
      <c r="D214" s="17">
        <f>IFERROR(__xludf.DUMMYFUNCTION("""COMPUTED_VALUE"""),4.0)</f>
        <v>4</v>
      </c>
      <c r="E214" s="17">
        <f>IFERROR(__xludf.DUMMYFUNCTION("""COMPUTED_VALUE"""),4606.0)</f>
        <v>4606</v>
      </c>
      <c r="F214" s="17">
        <f>IFERROR(__xludf.DUMMYFUNCTION("""COMPUTED_VALUE"""),0.0)</f>
        <v>0</v>
      </c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 t="str">
        <f>IFERROR(__xludf.DUMMYFUNCTION("""COMPUTED_VALUE"""),"Colombia")</f>
        <v>Colombia</v>
      </c>
      <c r="B215" s="54">
        <f>IFERROR(__xludf.DUMMYFUNCTION("""COMPUTED_VALUE"""),43493.0)</f>
        <v>43493</v>
      </c>
      <c r="C215" s="19">
        <f>IFERROR(__xludf.DUMMYFUNCTION("""COMPUTED_VALUE"""),43499.0)</f>
        <v>43499</v>
      </c>
      <c r="D215" s="17">
        <f>IFERROR(__xludf.DUMMYFUNCTION("""COMPUTED_VALUE"""),5.0)</f>
        <v>5</v>
      </c>
      <c r="E215" s="17">
        <f>IFERROR(__xludf.DUMMYFUNCTION("""COMPUTED_VALUE"""),4562.0)</f>
        <v>4562</v>
      </c>
      <c r="F215" s="17">
        <f>IFERROR(__xludf.DUMMYFUNCTION("""COMPUTED_VALUE"""),0.0)</f>
        <v>0</v>
      </c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 t="str">
        <f>IFERROR(__xludf.DUMMYFUNCTION("""COMPUTED_VALUE"""),"Colombia")</f>
        <v>Colombia</v>
      </c>
      <c r="B216" s="54">
        <f>IFERROR(__xludf.DUMMYFUNCTION("""COMPUTED_VALUE"""),43500.0)</f>
        <v>43500</v>
      </c>
      <c r="C216" s="19">
        <f>IFERROR(__xludf.DUMMYFUNCTION("""COMPUTED_VALUE"""),43506.0)</f>
        <v>43506</v>
      </c>
      <c r="D216" s="17">
        <f>IFERROR(__xludf.DUMMYFUNCTION("""COMPUTED_VALUE"""),6.0)</f>
        <v>6</v>
      </c>
      <c r="E216" s="17">
        <f>IFERROR(__xludf.DUMMYFUNCTION("""COMPUTED_VALUE"""),4497.0)</f>
        <v>4497</v>
      </c>
      <c r="F216" s="17">
        <f>IFERROR(__xludf.DUMMYFUNCTION("""COMPUTED_VALUE"""),0.0)</f>
        <v>0</v>
      </c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 t="str">
        <f>IFERROR(__xludf.DUMMYFUNCTION("""COMPUTED_VALUE"""),"Colombia")</f>
        <v>Colombia</v>
      </c>
      <c r="B217" s="54">
        <f>IFERROR(__xludf.DUMMYFUNCTION("""COMPUTED_VALUE"""),43507.0)</f>
        <v>43507</v>
      </c>
      <c r="C217" s="19">
        <f>IFERROR(__xludf.DUMMYFUNCTION("""COMPUTED_VALUE"""),43513.0)</f>
        <v>43513</v>
      </c>
      <c r="D217" s="17">
        <f>IFERROR(__xludf.DUMMYFUNCTION("""COMPUTED_VALUE"""),7.0)</f>
        <v>7</v>
      </c>
      <c r="E217" s="17">
        <f>IFERROR(__xludf.DUMMYFUNCTION("""COMPUTED_VALUE"""),4484.0)</f>
        <v>4484</v>
      </c>
      <c r="F217" s="17">
        <f>IFERROR(__xludf.DUMMYFUNCTION("""COMPUTED_VALUE"""),0.0)</f>
        <v>0</v>
      </c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 t="str">
        <f>IFERROR(__xludf.DUMMYFUNCTION("""COMPUTED_VALUE"""),"Colombia")</f>
        <v>Colombia</v>
      </c>
      <c r="B218" s="54">
        <f>IFERROR(__xludf.DUMMYFUNCTION("""COMPUTED_VALUE"""),43514.0)</f>
        <v>43514</v>
      </c>
      <c r="C218" s="19">
        <f>IFERROR(__xludf.DUMMYFUNCTION("""COMPUTED_VALUE"""),43520.0)</f>
        <v>43520</v>
      </c>
      <c r="D218" s="17">
        <f>IFERROR(__xludf.DUMMYFUNCTION("""COMPUTED_VALUE"""),8.0)</f>
        <v>8</v>
      </c>
      <c r="E218" s="17">
        <f>IFERROR(__xludf.DUMMYFUNCTION("""COMPUTED_VALUE"""),4494.0)</f>
        <v>4494</v>
      </c>
      <c r="F218" s="17">
        <f>IFERROR(__xludf.DUMMYFUNCTION("""COMPUTED_VALUE"""),0.0)</f>
        <v>0</v>
      </c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 t="str">
        <f>IFERROR(__xludf.DUMMYFUNCTION("""COMPUTED_VALUE"""),"Colombia")</f>
        <v>Colombia</v>
      </c>
      <c r="B219" s="54">
        <f>IFERROR(__xludf.DUMMYFUNCTION("""COMPUTED_VALUE"""),43521.0)</f>
        <v>43521</v>
      </c>
      <c r="C219" s="19">
        <f>IFERROR(__xludf.DUMMYFUNCTION("""COMPUTED_VALUE"""),43527.0)</f>
        <v>43527</v>
      </c>
      <c r="D219" s="17">
        <f>IFERROR(__xludf.DUMMYFUNCTION("""COMPUTED_VALUE"""),9.0)</f>
        <v>9</v>
      </c>
      <c r="E219" s="17">
        <f>IFERROR(__xludf.DUMMYFUNCTION("""COMPUTED_VALUE"""),4474.0)</f>
        <v>4474</v>
      </c>
      <c r="F219" s="17">
        <f>IFERROR(__xludf.DUMMYFUNCTION("""COMPUTED_VALUE"""),0.0)</f>
        <v>0</v>
      </c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 t="str">
        <f>IFERROR(__xludf.DUMMYFUNCTION("""COMPUTED_VALUE"""),"Colombia")</f>
        <v>Colombia</v>
      </c>
      <c r="B220" s="54">
        <f>IFERROR(__xludf.DUMMYFUNCTION("""COMPUTED_VALUE"""),43528.0)</f>
        <v>43528</v>
      </c>
      <c r="C220" s="19">
        <f>IFERROR(__xludf.DUMMYFUNCTION("""COMPUTED_VALUE"""),43534.0)</f>
        <v>43534</v>
      </c>
      <c r="D220" s="17">
        <f>IFERROR(__xludf.DUMMYFUNCTION("""COMPUTED_VALUE"""),10.0)</f>
        <v>10</v>
      </c>
      <c r="E220" s="17">
        <f>IFERROR(__xludf.DUMMYFUNCTION("""COMPUTED_VALUE"""),4440.0)</f>
        <v>4440</v>
      </c>
      <c r="F220" s="17">
        <f>IFERROR(__xludf.DUMMYFUNCTION("""COMPUTED_VALUE"""),0.0)</f>
        <v>0</v>
      </c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 t="str">
        <f>IFERROR(__xludf.DUMMYFUNCTION("""COMPUTED_VALUE"""),"Colombia")</f>
        <v>Colombia</v>
      </c>
      <c r="B221" s="54">
        <f>IFERROR(__xludf.DUMMYFUNCTION("""COMPUTED_VALUE"""),43535.0)</f>
        <v>43535</v>
      </c>
      <c r="C221" s="19">
        <f>IFERROR(__xludf.DUMMYFUNCTION("""COMPUTED_VALUE"""),43541.0)</f>
        <v>43541</v>
      </c>
      <c r="D221" s="17">
        <f>IFERROR(__xludf.DUMMYFUNCTION("""COMPUTED_VALUE"""),11.0)</f>
        <v>11</v>
      </c>
      <c r="E221" s="17">
        <f>IFERROR(__xludf.DUMMYFUNCTION("""COMPUTED_VALUE"""),4493.0)</f>
        <v>4493</v>
      </c>
      <c r="F221" s="17">
        <f>IFERROR(__xludf.DUMMYFUNCTION("""COMPUTED_VALUE"""),0.0)</f>
        <v>0</v>
      </c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 t="str">
        <f>IFERROR(__xludf.DUMMYFUNCTION("""COMPUTED_VALUE"""),"Colombia")</f>
        <v>Colombia</v>
      </c>
      <c r="B222" s="54">
        <f>IFERROR(__xludf.DUMMYFUNCTION("""COMPUTED_VALUE"""),43542.0)</f>
        <v>43542</v>
      </c>
      <c r="C222" s="19">
        <f>IFERROR(__xludf.DUMMYFUNCTION("""COMPUTED_VALUE"""),43548.0)</f>
        <v>43548</v>
      </c>
      <c r="D222" s="17">
        <f>IFERROR(__xludf.DUMMYFUNCTION("""COMPUTED_VALUE"""),12.0)</f>
        <v>12</v>
      </c>
      <c r="E222" s="17">
        <f>IFERROR(__xludf.DUMMYFUNCTION("""COMPUTED_VALUE"""),4520.0)</f>
        <v>4520</v>
      </c>
      <c r="F222" s="17">
        <f>IFERROR(__xludf.DUMMYFUNCTION("""COMPUTED_VALUE"""),0.0)</f>
        <v>0</v>
      </c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 t="str">
        <f>IFERROR(__xludf.DUMMYFUNCTION("""COMPUTED_VALUE"""),"Colombia")</f>
        <v>Colombia</v>
      </c>
      <c r="B223" s="54">
        <f>IFERROR(__xludf.DUMMYFUNCTION("""COMPUTED_VALUE"""),43549.0)</f>
        <v>43549</v>
      </c>
      <c r="C223" s="19">
        <f>IFERROR(__xludf.DUMMYFUNCTION("""COMPUTED_VALUE"""),43555.0)</f>
        <v>43555</v>
      </c>
      <c r="D223" s="17">
        <f>IFERROR(__xludf.DUMMYFUNCTION("""COMPUTED_VALUE"""),13.0)</f>
        <v>13</v>
      </c>
      <c r="E223" s="17">
        <f>IFERROR(__xludf.DUMMYFUNCTION("""COMPUTED_VALUE"""),4511.0)</f>
        <v>4511</v>
      </c>
      <c r="F223" s="17">
        <f>IFERROR(__xludf.DUMMYFUNCTION("""COMPUTED_VALUE"""),0.0)</f>
        <v>0</v>
      </c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 t="str">
        <f>IFERROR(__xludf.DUMMYFUNCTION("""COMPUTED_VALUE"""),"Colombia")</f>
        <v>Colombia</v>
      </c>
      <c r="B224" s="54">
        <f>IFERROR(__xludf.DUMMYFUNCTION("""COMPUTED_VALUE"""),43556.0)</f>
        <v>43556</v>
      </c>
      <c r="C224" s="19">
        <f>IFERROR(__xludf.DUMMYFUNCTION("""COMPUTED_VALUE"""),43562.0)</f>
        <v>43562</v>
      </c>
      <c r="D224" s="17">
        <f>IFERROR(__xludf.DUMMYFUNCTION("""COMPUTED_VALUE"""),14.0)</f>
        <v>14</v>
      </c>
      <c r="E224" s="17">
        <f>IFERROR(__xludf.DUMMYFUNCTION("""COMPUTED_VALUE"""),4474.0)</f>
        <v>4474</v>
      </c>
      <c r="F224" s="17">
        <f>IFERROR(__xludf.DUMMYFUNCTION("""COMPUTED_VALUE"""),0.0)</f>
        <v>0</v>
      </c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 t="str">
        <f>IFERROR(__xludf.DUMMYFUNCTION("""COMPUTED_VALUE"""),"Colombia")</f>
        <v>Colombia</v>
      </c>
      <c r="B225" s="54">
        <f>IFERROR(__xludf.DUMMYFUNCTION("""COMPUTED_VALUE"""),43563.0)</f>
        <v>43563</v>
      </c>
      <c r="C225" s="19">
        <f>IFERROR(__xludf.DUMMYFUNCTION("""COMPUTED_VALUE"""),43569.0)</f>
        <v>43569</v>
      </c>
      <c r="D225" s="17">
        <f>IFERROR(__xludf.DUMMYFUNCTION("""COMPUTED_VALUE"""),15.0)</f>
        <v>15</v>
      </c>
      <c r="E225" s="17">
        <f>IFERROR(__xludf.DUMMYFUNCTION("""COMPUTED_VALUE"""),4548.0)</f>
        <v>4548</v>
      </c>
      <c r="F225" s="17">
        <f>IFERROR(__xludf.DUMMYFUNCTION("""COMPUTED_VALUE"""),0.0)</f>
        <v>0</v>
      </c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 t="str">
        <f>IFERROR(__xludf.DUMMYFUNCTION("""COMPUTED_VALUE"""),"Colombia")</f>
        <v>Colombia</v>
      </c>
      <c r="B226" s="54">
        <f>IFERROR(__xludf.DUMMYFUNCTION("""COMPUTED_VALUE"""),43570.0)</f>
        <v>43570</v>
      </c>
      <c r="C226" s="19">
        <f>IFERROR(__xludf.DUMMYFUNCTION("""COMPUTED_VALUE"""),43576.0)</f>
        <v>43576</v>
      </c>
      <c r="D226" s="17">
        <f>IFERROR(__xludf.DUMMYFUNCTION("""COMPUTED_VALUE"""),16.0)</f>
        <v>16</v>
      </c>
      <c r="E226" s="17">
        <f>IFERROR(__xludf.DUMMYFUNCTION("""COMPUTED_VALUE"""),4420.0)</f>
        <v>4420</v>
      </c>
      <c r="F226" s="17">
        <f>IFERROR(__xludf.DUMMYFUNCTION("""COMPUTED_VALUE"""),0.0)</f>
        <v>0</v>
      </c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 t="str">
        <f>IFERROR(__xludf.DUMMYFUNCTION("""COMPUTED_VALUE"""),"Colombia")</f>
        <v>Colombia</v>
      </c>
      <c r="B227" s="54">
        <f>IFERROR(__xludf.DUMMYFUNCTION("""COMPUTED_VALUE"""),43577.0)</f>
        <v>43577</v>
      </c>
      <c r="C227" s="19">
        <f>IFERROR(__xludf.DUMMYFUNCTION("""COMPUTED_VALUE"""),43583.0)</f>
        <v>43583</v>
      </c>
      <c r="D227" s="17">
        <f>IFERROR(__xludf.DUMMYFUNCTION("""COMPUTED_VALUE"""),17.0)</f>
        <v>17</v>
      </c>
      <c r="E227" s="17">
        <f>IFERROR(__xludf.DUMMYFUNCTION("""COMPUTED_VALUE"""),4452.0)</f>
        <v>4452</v>
      </c>
      <c r="F227" s="17">
        <f>IFERROR(__xludf.DUMMYFUNCTION("""COMPUTED_VALUE"""),0.0)</f>
        <v>0</v>
      </c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 t="str">
        <f>IFERROR(__xludf.DUMMYFUNCTION("""COMPUTED_VALUE"""),"Colombia")</f>
        <v>Colombia</v>
      </c>
      <c r="B228" s="54">
        <f>IFERROR(__xludf.DUMMYFUNCTION("""COMPUTED_VALUE"""),43584.0)</f>
        <v>43584</v>
      </c>
      <c r="C228" s="19">
        <f>IFERROR(__xludf.DUMMYFUNCTION("""COMPUTED_VALUE"""),43590.0)</f>
        <v>43590</v>
      </c>
      <c r="D228" s="17">
        <f>IFERROR(__xludf.DUMMYFUNCTION("""COMPUTED_VALUE"""),18.0)</f>
        <v>18</v>
      </c>
      <c r="E228" s="17">
        <f>IFERROR(__xludf.DUMMYFUNCTION("""COMPUTED_VALUE"""),4677.0)</f>
        <v>4677</v>
      </c>
      <c r="F228" s="17">
        <f>IFERROR(__xludf.DUMMYFUNCTION("""COMPUTED_VALUE"""),0.0)</f>
        <v>0</v>
      </c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 t="str">
        <f>IFERROR(__xludf.DUMMYFUNCTION("""COMPUTED_VALUE"""),"Colombia")</f>
        <v>Colombia</v>
      </c>
      <c r="B229" s="54">
        <f>IFERROR(__xludf.DUMMYFUNCTION("""COMPUTED_VALUE"""),43591.0)</f>
        <v>43591</v>
      </c>
      <c r="C229" s="19">
        <f>IFERROR(__xludf.DUMMYFUNCTION("""COMPUTED_VALUE"""),43597.0)</f>
        <v>43597</v>
      </c>
      <c r="D229" s="17">
        <f>IFERROR(__xludf.DUMMYFUNCTION("""COMPUTED_VALUE"""),19.0)</f>
        <v>19</v>
      </c>
      <c r="E229" s="17">
        <f>IFERROR(__xludf.DUMMYFUNCTION("""COMPUTED_VALUE"""),4624.0)</f>
        <v>4624</v>
      </c>
      <c r="F229" s="17">
        <f>IFERROR(__xludf.DUMMYFUNCTION("""COMPUTED_VALUE"""),0.0)</f>
        <v>0</v>
      </c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 t="str">
        <f>IFERROR(__xludf.DUMMYFUNCTION("""COMPUTED_VALUE"""),"Colombia")</f>
        <v>Colombia</v>
      </c>
      <c r="B230" s="54">
        <f>IFERROR(__xludf.DUMMYFUNCTION("""COMPUTED_VALUE"""),43598.0)</f>
        <v>43598</v>
      </c>
      <c r="C230" s="19">
        <f>IFERROR(__xludf.DUMMYFUNCTION("""COMPUTED_VALUE"""),43604.0)</f>
        <v>43604</v>
      </c>
      <c r="D230" s="17">
        <f>IFERROR(__xludf.DUMMYFUNCTION("""COMPUTED_VALUE"""),20.0)</f>
        <v>20</v>
      </c>
      <c r="E230" s="17">
        <f>IFERROR(__xludf.DUMMYFUNCTION("""COMPUTED_VALUE"""),4448.0)</f>
        <v>4448</v>
      </c>
      <c r="F230" s="17">
        <f>IFERROR(__xludf.DUMMYFUNCTION("""COMPUTED_VALUE"""),0.0)</f>
        <v>0</v>
      </c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 t="str">
        <f>IFERROR(__xludf.DUMMYFUNCTION("""COMPUTED_VALUE"""),"Colombia")</f>
        <v>Colombia</v>
      </c>
      <c r="B231" s="54">
        <f>IFERROR(__xludf.DUMMYFUNCTION("""COMPUTED_VALUE"""),43605.0)</f>
        <v>43605</v>
      </c>
      <c r="C231" s="19">
        <f>IFERROR(__xludf.DUMMYFUNCTION("""COMPUTED_VALUE"""),43611.0)</f>
        <v>43611</v>
      </c>
      <c r="D231" s="17">
        <f>IFERROR(__xludf.DUMMYFUNCTION("""COMPUTED_VALUE"""),21.0)</f>
        <v>21</v>
      </c>
      <c r="E231" s="17">
        <f>IFERROR(__xludf.DUMMYFUNCTION("""COMPUTED_VALUE"""),4670.0)</f>
        <v>4670</v>
      </c>
      <c r="F231" s="17">
        <f>IFERROR(__xludf.DUMMYFUNCTION("""COMPUTED_VALUE"""),0.0)</f>
        <v>0</v>
      </c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 t="str">
        <f>IFERROR(__xludf.DUMMYFUNCTION("""COMPUTED_VALUE"""),"Colombia")</f>
        <v>Colombia</v>
      </c>
      <c r="B232" s="54">
        <f>IFERROR(__xludf.DUMMYFUNCTION("""COMPUTED_VALUE"""),43612.0)</f>
        <v>43612</v>
      </c>
      <c r="C232" s="19">
        <f>IFERROR(__xludf.DUMMYFUNCTION("""COMPUTED_VALUE"""),43618.0)</f>
        <v>43618</v>
      </c>
      <c r="D232" s="17">
        <f>IFERROR(__xludf.DUMMYFUNCTION("""COMPUTED_VALUE"""),22.0)</f>
        <v>22</v>
      </c>
      <c r="E232" s="17">
        <f>IFERROR(__xludf.DUMMYFUNCTION("""COMPUTED_VALUE"""),4570.0)</f>
        <v>4570</v>
      </c>
      <c r="F232" s="17">
        <f>IFERROR(__xludf.DUMMYFUNCTION("""COMPUTED_VALUE"""),0.0)</f>
        <v>0</v>
      </c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 t="str">
        <f>IFERROR(__xludf.DUMMYFUNCTION("""COMPUTED_VALUE"""),"Colombia")</f>
        <v>Colombia</v>
      </c>
      <c r="B233" s="54">
        <f>IFERROR(__xludf.DUMMYFUNCTION("""COMPUTED_VALUE"""),43619.0)</f>
        <v>43619</v>
      </c>
      <c r="C233" s="19">
        <f>IFERROR(__xludf.DUMMYFUNCTION("""COMPUTED_VALUE"""),43625.0)</f>
        <v>43625</v>
      </c>
      <c r="D233" s="17">
        <f>IFERROR(__xludf.DUMMYFUNCTION("""COMPUTED_VALUE"""),23.0)</f>
        <v>23</v>
      </c>
      <c r="E233" s="17">
        <f>IFERROR(__xludf.DUMMYFUNCTION("""COMPUTED_VALUE"""),4860.0)</f>
        <v>4860</v>
      </c>
      <c r="F233" s="17">
        <f>IFERROR(__xludf.DUMMYFUNCTION("""COMPUTED_VALUE"""),0.0)</f>
        <v>0</v>
      </c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 t="str">
        <f>IFERROR(__xludf.DUMMYFUNCTION("""COMPUTED_VALUE"""),"Colombia")</f>
        <v>Colombia</v>
      </c>
      <c r="B234" s="54">
        <f>IFERROR(__xludf.DUMMYFUNCTION("""COMPUTED_VALUE"""),43626.0)</f>
        <v>43626</v>
      </c>
      <c r="C234" s="19">
        <f>IFERROR(__xludf.DUMMYFUNCTION("""COMPUTED_VALUE"""),43632.0)</f>
        <v>43632</v>
      </c>
      <c r="D234" s="17">
        <f>IFERROR(__xludf.DUMMYFUNCTION("""COMPUTED_VALUE"""),24.0)</f>
        <v>24</v>
      </c>
      <c r="E234" s="17">
        <f>IFERROR(__xludf.DUMMYFUNCTION("""COMPUTED_VALUE"""),4753.0)</f>
        <v>4753</v>
      </c>
      <c r="F234" s="17">
        <f>IFERROR(__xludf.DUMMYFUNCTION("""COMPUTED_VALUE"""),0.0)</f>
        <v>0</v>
      </c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 t="str">
        <f>IFERROR(__xludf.DUMMYFUNCTION("""COMPUTED_VALUE"""),"Colombia")</f>
        <v>Colombia</v>
      </c>
      <c r="B235" s="54">
        <f>IFERROR(__xludf.DUMMYFUNCTION("""COMPUTED_VALUE"""),43633.0)</f>
        <v>43633</v>
      </c>
      <c r="C235" s="19">
        <f>IFERROR(__xludf.DUMMYFUNCTION("""COMPUTED_VALUE"""),43639.0)</f>
        <v>43639</v>
      </c>
      <c r="D235" s="17">
        <f>IFERROR(__xludf.DUMMYFUNCTION("""COMPUTED_VALUE"""),25.0)</f>
        <v>25</v>
      </c>
      <c r="E235" s="17">
        <f>IFERROR(__xludf.DUMMYFUNCTION("""COMPUTED_VALUE"""),4964.0)</f>
        <v>4964</v>
      </c>
      <c r="F235" s="17">
        <f>IFERROR(__xludf.DUMMYFUNCTION("""COMPUTED_VALUE"""),0.0)</f>
        <v>0</v>
      </c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 t="str">
        <f>IFERROR(__xludf.DUMMYFUNCTION("""COMPUTED_VALUE"""),"Colombia")</f>
        <v>Colombia</v>
      </c>
      <c r="B236" s="54">
        <f>IFERROR(__xludf.DUMMYFUNCTION("""COMPUTED_VALUE"""),43640.0)</f>
        <v>43640</v>
      </c>
      <c r="C236" s="19">
        <f>IFERROR(__xludf.DUMMYFUNCTION("""COMPUTED_VALUE"""),43646.0)</f>
        <v>43646</v>
      </c>
      <c r="D236" s="17">
        <f>IFERROR(__xludf.DUMMYFUNCTION("""COMPUTED_VALUE"""),26.0)</f>
        <v>26</v>
      </c>
      <c r="E236" s="17">
        <f>IFERROR(__xludf.DUMMYFUNCTION("""COMPUTED_VALUE"""),4807.0)</f>
        <v>4807</v>
      </c>
      <c r="F236" s="17">
        <f>IFERROR(__xludf.DUMMYFUNCTION("""COMPUTED_VALUE"""),0.0)</f>
        <v>0</v>
      </c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 t="str">
        <f>IFERROR(__xludf.DUMMYFUNCTION("""COMPUTED_VALUE"""),"Colombia")</f>
        <v>Colombia</v>
      </c>
      <c r="B237" s="54">
        <f>IFERROR(__xludf.DUMMYFUNCTION("""COMPUTED_VALUE"""),43647.0)</f>
        <v>43647</v>
      </c>
      <c r="C237" s="19">
        <f>IFERROR(__xludf.DUMMYFUNCTION("""COMPUTED_VALUE"""),43653.0)</f>
        <v>43653</v>
      </c>
      <c r="D237" s="17">
        <f>IFERROR(__xludf.DUMMYFUNCTION("""COMPUTED_VALUE"""),27.0)</f>
        <v>27</v>
      </c>
      <c r="E237" s="17">
        <f>IFERROR(__xludf.DUMMYFUNCTION("""COMPUTED_VALUE"""),4854.0)</f>
        <v>4854</v>
      </c>
      <c r="F237" s="17">
        <f>IFERROR(__xludf.DUMMYFUNCTION("""COMPUTED_VALUE"""),0.0)</f>
        <v>0</v>
      </c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 t="str">
        <f>IFERROR(__xludf.DUMMYFUNCTION("""COMPUTED_VALUE"""),"Colombia")</f>
        <v>Colombia</v>
      </c>
      <c r="B238" s="54">
        <f>IFERROR(__xludf.DUMMYFUNCTION("""COMPUTED_VALUE"""),43654.0)</f>
        <v>43654</v>
      </c>
      <c r="C238" s="19">
        <f>IFERROR(__xludf.DUMMYFUNCTION("""COMPUTED_VALUE"""),43660.0)</f>
        <v>43660</v>
      </c>
      <c r="D238" s="17">
        <f>IFERROR(__xludf.DUMMYFUNCTION("""COMPUTED_VALUE"""),28.0)</f>
        <v>28</v>
      </c>
      <c r="E238" s="17">
        <f>IFERROR(__xludf.DUMMYFUNCTION("""COMPUTED_VALUE"""),4887.0)</f>
        <v>4887</v>
      </c>
      <c r="F238" s="17">
        <f>IFERROR(__xludf.DUMMYFUNCTION("""COMPUTED_VALUE"""),0.0)</f>
        <v>0</v>
      </c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 t="str">
        <f>IFERROR(__xludf.DUMMYFUNCTION("""COMPUTED_VALUE"""),"Colombia")</f>
        <v>Colombia</v>
      </c>
      <c r="B239" s="54">
        <f>IFERROR(__xludf.DUMMYFUNCTION("""COMPUTED_VALUE"""),43661.0)</f>
        <v>43661</v>
      </c>
      <c r="C239" s="19">
        <f>IFERROR(__xludf.DUMMYFUNCTION("""COMPUTED_VALUE"""),43667.0)</f>
        <v>43667</v>
      </c>
      <c r="D239" s="17">
        <f>IFERROR(__xludf.DUMMYFUNCTION("""COMPUTED_VALUE"""),29.0)</f>
        <v>29</v>
      </c>
      <c r="E239" s="17">
        <f>IFERROR(__xludf.DUMMYFUNCTION("""COMPUTED_VALUE"""),4918.0)</f>
        <v>4918</v>
      </c>
      <c r="F239" s="17">
        <f>IFERROR(__xludf.DUMMYFUNCTION("""COMPUTED_VALUE"""),0.0)</f>
        <v>0</v>
      </c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 t="str">
        <f>IFERROR(__xludf.DUMMYFUNCTION("""COMPUTED_VALUE"""),"Colombia")</f>
        <v>Colombia</v>
      </c>
      <c r="B240" s="54">
        <f>IFERROR(__xludf.DUMMYFUNCTION("""COMPUTED_VALUE"""),43668.0)</f>
        <v>43668</v>
      </c>
      <c r="C240" s="19">
        <f>IFERROR(__xludf.DUMMYFUNCTION("""COMPUTED_VALUE"""),43674.0)</f>
        <v>43674</v>
      </c>
      <c r="D240" s="17">
        <f>IFERROR(__xludf.DUMMYFUNCTION("""COMPUTED_VALUE"""),30.0)</f>
        <v>30</v>
      </c>
      <c r="E240" s="17">
        <f>IFERROR(__xludf.DUMMYFUNCTION("""COMPUTED_VALUE"""),4672.0)</f>
        <v>4672</v>
      </c>
      <c r="F240" s="17">
        <f>IFERROR(__xludf.DUMMYFUNCTION("""COMPUTED_VALUE"""),0.0)</f>
        <v>0</v>
      </c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 t="str">
        <f>IFERROR(__xludf.DUMMYFUNCTION("""COMPUTED_VALUE"""),"Colombia")</f>
        <v>Colombia</v>
      </c>
      <c r="B241" s="54">
        <f>IFERROR(__xludf.DUMMYFUNCTION("""COMPUTED_VALUE"""),43675.0)</f>
        <v>43675</v>
      </c>
      <c r="C241" s="19">
        <f>IFERROR(__xludf.DUMMYFUNCTION("""COMPUTED_VALUE"""),43681.0)</f>
        <v>43681</v>
      </c>
      <c r="D241" s="17">
        <f>IFERROR(__xludf.DUMMYFUNCTION("""COMPUTED_VALUE"""),31.0)</f>
        <v>31</v>
      </c>
      <c r="E241" s="17">
        <f>IFERROR(__xludf.DUMMYFUNCTION("""COMPUTED_VALUE"""),4726.0)</f>
        <v>4726</v>
      </c>
      <c r="F241" s="17">
        <f>IFERROR(__xludf.DUMMYFUNCTION("""COMPUTED_VALUE"""),0.0)</f>
        <v>0</v>
      </c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 t="str">
        <f>IFERROR(__xludf.DUMMYFUNCTION("""COMPUTED_VALUE"""),"Colombia")</f>
        <v>Colombia</v>
      </c>
      <c r="B242" s="54">
        <f>IFERROR(__xludf.DUMMYFUNCTION("""COMPUTED_VALUE"""),43682.0)</f>
        <v>43682</v>
      </c>
      <c r="C242" s="19">
        <f>IFERROR(__xludf.DUMMYFUNCTION("""COMPUTED_VALUE"""),43688.0)</f>
        <v>43688</v>
      </c>
      <c r="D242" s="17">
        <f>IFERROR(__xludf.DUMMYFUNCTION("""COMPUTED_VALUE"""),32.0)</f>
        <v>32</v>
      </c>
      <c r="E242" s="17">
        <f>IFERROR(__xludf.DUMMYFUNCTION("""COMPUTED_VALUE"""),4742.0)</f>
        <v>4742</v>
      </c>
      <c r="F242" s="17">
        <f>IFERROR(__xludf.DUMMYFUNCTION("""COMPUTED_VALUE"""),0.0)</f>
        <v>0</v>
      </c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 t="str">
        <f>IFERROR(__xludf.DUMMYFUNCTION("""COMPUTED_VALUE"""),"Colombia")</f>
        <v>Colombia</v>
      </c>
      <c r="B243" s="54">
        <f>IFERROR(__xludf.DUMMYFUNCTION("""COMPUTED_VALUE"""),43689.0)</f>
        <v>43689</v>
      </c>
      <c r="C243" s="19">
        <f>IFERROR(__xludf.DUMMYFUNCTION("""COMPUTED_VALUE"""),43695.0)</f>
        <v>43695</v>
      </c>
      <c r="D243" s="17">
        <f>IFERROR(__xludf.DUMMYFUNCTION("""COMPUTED_VALUE"""),33.0)</f>
        <v>33</v>
      </c>
      <c r="E243" s="17">
        <f>IFERROR(__xludf.DUMMYFUNCTION("""COMPUTED_VALUE"""),4693.0)</f>
        <v>4693</v>
      </c>
      <c r="F243" s="17">
        <f>IFERROR(__xludf.DUMMYFUNCTION("""COMPUTED_VALUE"""),0.0)</f>
        <v>0</v>
      </c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 t="str">
        <f>IFERROR(__xludf.DUMMYFUNCTION("""COMPUTED_VALUE"""),"Colombia")</f>
        <v>Colombia</v>
      </c>
      <c r="B244" s="54">
        <f>IFERROR(__xludf.DUMMYFUNCTION("""COMPUTED_VALUE"""),43696.0)</f>
        <v>43696</v>
      </c>
      <c r="C244" s="19">
        <f>IFERROR(__xludf.DUMMYFUNCTION("""COMPUTED_VALUE"""),43702.0)</f>
        <v>43702</v>
      </c>
      <c r="D244" s="17">
        <f>IFERROR(__xludf.DUMMYFUNCTION("""COMPUTED_VALUE"""),34.0)</f>
        <v>34</v>
      </c>
      <c r="E244" s="17">
        <f>IFERROR(__xludf.DUMMYFUNCTION("""COMPUTED_VALUE"""),4912.0)</f>
        <v>4912</v>
      </c>
      <c r="F244" s="17">
        <f>IFERROR(__xludf.DUMMYFUNCTION("""COMPUTED_VALUE"""),0.0)</f>
        <v>0</v>
      </c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 t="str">
        <f>IFERROR(__xludf.DUMMYFUNCTION("""COMPUTED_VALUE"""),"Colombia")</f>
        <v>Colombia</v>
      </c>
      <c r="B245" s="54">
        <f>IFERROR(__xludf.DUMMYFUNCTION("""COMPUTED_VALUE"""),43703.0)</f>
        <v>43703</v>
      </c>
      <c r="C245" s="19">
        <f>IFERROR(__xludf.DUMMYFUNCTION("""COMPUTED_VALUE"""),43709.0)</f>
        <v>43709</v>
      </c>
      <c r="D245" s="17">
        <f>IFERROR(__xludf.DUMMYFUNCTION("""COMPUTED_VALUE"""),35.0)</f>
        <v>35</v>
      </c>
      <c r="E245" s="17">
        <f>IFERROR(__xludf.DUMMYFUNCTION("""COMPUTED_VALUE"""),4842.0)</f>
        <v>4842</v>
      </c>
      <c r="F245" s="17">
        <f>IFERROR(__xludf.DUMMYFUNCTION("""COMPUTED_VALUE"""),0.0)</f>
        <v>0</v>
      </c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 t="str">
        <f>IFERROR(__xludf.DUMMYFUNCTION("""COMPUTED_VALUE"""),"Colombia")</f>
        <v>Colombia</v>
      </c>
      <c r="B246" s="54">
        <f>IFERROR(__xludf.DUMMYFUNCTION("""COMPUTED_VALUE"""),43710.0)</f>
        <v>43710</v>
      </c>
      <c r="C246" s="19">
        <f>IFERROR(__xludf.DUMMYFUNCTION("""COMPUTED_VALUE"""),43716.0)</f>
        <v>43716</v>
      </c>
      <c r="D246" s="17">
        <f>IFERROR(__xludf.DUMMYFUNCTION("""COMPUTED_VALUE"""),36.0)</f>
        <v>36</v>
      </c>
      <c r="E246" s="17">
        <f>IFERROR(__xludf.DUMMYFUNCTION("""COMPUTED_VALUE"""),4717.0)</f>
        <v>4717</v>
      </c>
      <c r="F246" s="17">
        <f>IFERROR(__xludf.DUMMYFUNCTION("""COMPUTED_VALUE"""),0.0)</f>
        <v>0</v>
      </c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 t="str">
        <f>IFERROR(__xludf.DUMMYFUNCTION("""COMPUTED_VALUE"""),"Colombia")</f>
        <v>Colombia</v>
      </c>
      <c r="B247" s="54">
        <f>IFERROR(__xludf.DUMMYFUNCTION("""COMPUTED_VALUE"""),43717.0)</f>
        <v>43717</v>
      </c>
      <c r="C247" s="19">
        <f>IFERROR(__xludf.DUMMYFUNCTION("""COMPUTED_VALUE"""),43723.0)</f>
        <v>43723</v>
      </c>
      <c r="D247" s="17">
        <f>IFERROR(__xludf.DUMMYFUNCTION("""COMPUTED_VALUE"""),37.0)</f>
        <v>37</v>
      </c>
      <c r="E247" s="17">
        <f>IFERROR(__xludf.DUMMYFUNCTION("""COMPUTED_VALUE"""),4609.0)</f>
        <v>4609</v>
      </c>
      <c r="F247" s="17">
        <f>IFERROR(__xludf.DUMMYFUNCTION("""COMPUTED_VALUE"""),0.0)</f>
        <v>0</v>
      </c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 t="str">
        <f>IFERROR(__xludf.DUMMYFUNCTION("""COMPUTED_VALUE"""),"Colombia")</f>
        <v>Colombia</v>
      </c>
      <c r="B248" s="54">
        <f>IFERROR(__xludf.DUMMYFUNCTION("""COMPUTED_VALUE"""),43724.0)</f>
        <v>43724</v>
      </c>
      <c r="C248" s="19">
        <f>IFERROR(__xludf.DUMMYFUNCTION("""COMPUTED_VALUE"""),43730.0)</f>
        <v>43730</v>
      </c>
      <c r="D248" s="17">
        <f>IFERROR(__xludf.DUMMYFUNCTION("""COMPUTED_VALUE"""),38.0)</f>
        <v>38</v>
      </c>
      <c r="E248" s="17">
        <f>IFERROR(__xludf.DUMMYFUNCTION("""COMPUTED_VALUE"""),4648.0)</f>
        <v>4648</v>
      </c>
      <c r="F248" s="17">
        <f>IFERROR(__xludf.DUMMYFUNCTION("""COMPUTED_VALUE"""),0.0)</f>
        <v>0</v>
      </c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 t="str">
        <f>IFERROR(__xludf.DUMMYFUNCTION("""COMPUTED_VALUE"""),"Colombia")</f>
        <v>Colombia</v>
      </c>
      <c r="B249" s="54">
        <f>IFERROR(__xludf.DUMMYFUNCTION("""COMPUTED_VALUE"""),43731.0)</f>
        <v>43731</v>
      </c>
      <c r="C249" s="19">
        <f>IFERROR(__xludf.DUMMYFUNCTION("""COMPUTED_VALUE"""),43737.0)</f>
        <v>43737</v>
      </c>
      <c r="D249" s="17">
        <f>IFERROR(__xludf.DUMMYFUNCTION("""COMPUTED_VALUE"""),39.0)</f>
        <v>39</v>
      </c>
      <c r="E249" s="17">
        <f>IFERROR(__xludf.DUMMYFUNCTION("""COMPUTED_VALUE"""),4432.0)</f>
        <v>4432</v>
      </c>
      <c r="F249" s="17">
        <f>IFERROR(__xludf.DUMMYFUNCTION("""COMPUTED_VALUE"""),0.0)</f>
        <v>0</v>
      </c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 t="str">
        <f>IFERROR(__xludf.DUMMYFUNCTION("""COMPUTED_VALUE"""),"Colombia")</f>
        <v>Colombia</v>
      </c>
      <c r="B250" s="54">
        <f>IFERROR(__xludf.DUMMYFUNCTION("""COMPUTED_VALUE"""),43738.0)</f>
        <v>43738</v>
      </c>
      <c r="C250" s="19">
        <f>IFERROR(__xludf.DUMMYFUNCTION("""COMPUTED_VALUE"""),43744.0)</f>
        <v>43744</v>
      </c>
      <c r="D250" s="17">
        <f>IFERROR(__xludf.DUMMYFUNCTION("""COMPUTED_VALUE"""),40.0)</f>
        <v>40</v>
      </c>
      <c r="E250" s="17">
        <f>IFERROR(__xludf.DUMMYFUNCTION("""COMPUTED_VALUE"""),4628.0)</f>
        <v>4628</v>
      </c>
      <c r="F250" s="17">
        <f>IFERROR(__xludf.DUMMYFUNCTION("""COMPUTED_VALUE"""),0.0)</f>
        <v>0</v>
      </c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 t="str">
        <f>IFERROR(__xludf.DUMMYFUNCTION("""COMPUTED_VALUE"""),"Colombia")</f>
        <v>Colombia</v>
      </c>
      <c r="B251" s="54">
        <f>IFERROR(__xludf.DUMMYFUNCTION("""COMPUTED_VALUE"""),43745.0)</f>
        <v>43745</v>
      </c>
      <c r="C251" s="19">
        <f>IFERROR(__xludf.DUMMYFUNCTION("""COMPUTED_VALUE"""),43751.0)</f>
        <v>43751</v>
      </c>
      <c r="D251" s="17">
        <f>IFERROR(__xludf.DUMMYFUNCTION("""COMPUTED_VALUE"""),41.0)</f>
        <v>41</v>
      </c>
      <c r="E251" s="17">
        <f>IFERROR(__xludf.DUMMYFUNCTION("""COMPUTED_VALUE"""),4577.0)</f>
        <v>4577</v>
      </c>
      <c r="F251" s="17">
        <f>IFERROR(__xludf.DUMMYFUNCTION("""COMPUTED_VALUE"""),0.0)</f>
        <v>0</v>
      </c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 t="str">
        <f>IFERROR(__xludf.DUMMYFUNCTION("""COMPUTED_VALUE"""),"Colombia")</f>
        <v>Colombia</v>
      </c>
      <c r="B252" s="54">
        <f>IFERROR(__xludf.DUMMYFUNCTION("""COMPUTED_VALUE"""),43752.0)</f>
        <v>43752</v>
      </c>
      <c r="C252" s="19">
        <f>IFERROR(__xludf.DUMMYFUNCTION("""COMPUTED_VALUE"""),43758.0)</f>
        <v>43758</v>
      </c>
      <c r="D252" s="17">
        <f>IFERROR(__xludf.DUMMYFUNCTION("""COMPUTED_VALUE"""),42.0)</f>
        <v>42</v>
      </c>
      <c r="E252" s="17">
        <f>IFERROR(__xludf.DUMMYFUNCTION("""COMPUTED_VALUE"""),4617.0)</f>
        <v>4617</v>
      </c>
      <c r="F252" s="17">
        <f>IFERROR(__xludf.DUMMYFUNCTION("""COMPUTED_VALUE"""),0.0)</f>
        <v>0</v>
      </c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 t="str">
        <f>IFERROR(__xludf.DUMMYFUNCTION("""COMPUTED_VALUE"""),"Colombia")</f>
        <v>Colombia</v>
      </c>
      <c r="B253" s="54">
        <f>IFERROR(__xludf.DUMMYFUNCTION("""COMPUTED_VALUE"""),43759.0)</f>
        <v>43759</v>
      </c>
      <c r="C253" s="19">
        <f>IFERROR(__xludf.DUMMYFUNCTION("""COMPUTED_VALUE"""),43765.0)</f>
        <v>43765</v>
      </c>
      <c r="D253" s="17">
        <f>IFERROR(__xludf.DUMMYFUNCTION("""COMPUTED_VALUE"""),43.0)</f>
        <v>43</v>
      </c>
      <c r="E253" s="17">
        <f>IFERROR(__xludf.DUMMYFUNCTION("""COMPUTED_VALUE"""),4633.0)</f>
        <v>4633</v>
      </c>
      <c r="F253" s="17">
        <f>IFERROR(__xludf.DUMMYFUNCTION("""COMPUTED_VALUE"""),0.0)</f>
        <v>0</v>
      </c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 t="str">
        <f>IFERROR(__xludf.DUMMYFUNCTION("""COMPUTED_VALUE"""),"Colombia")</f>
        <v>Colombia</v>
      </c>
      <c r="B254" s="54">
        <f>IFERROR(__xludf.DUMMYFUNCTION("""COMPUTED_VALUE"""),43766.0)</f>
        <v>43766</v>
      </c>
      <c r="C254" s="19">
        <f>IFERROR(__xludf.DUMMYFUNCTION("""COMPUTED_VALUE"""),43772.0)</f>
        <v>43772</v>
      </c>
      <c r="D254" s="17">
        <f>IFERROR(__xludf.DUMMYFUNCTION("""COMPUTED_VALUE"""),44.0)</f>
        <v>44</v>
      </c>
      <c r="E254" s="17">
        <f>IFERROR(__xludf.DUMMYFUNCTION("""COMPUTED_VALUE"""),4778.0)</f>
        <v>4778</v>
      </c>
      <c r="F254" s="17">
        <f>IFERROR(__xludf.DUMMYFUNCTION("""COMPUTED_VALUE"""),0.0)</f>
        <v>0</v>
      </c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 t="str">
        <f>IFERROR(__xludf.DUMMYFUNCTION("""COMPUTED_VALUE"""),"Colombia")</f>
        <v>Colombia</v>
      </c>
      <c r="B255" s="54">
        <f>IFERROR(__xludf.DUMMYFUNCTION("""COMPUTED_VALUE"""),43773.0)</f>
        <v>43773</v>
      </c>
      <c r="C255" s="19">
        <f>IFERROR(__xludf.DUMMYFUNCTION("""COMPUTED_VALUE"""),43779.0)</f>
        <v>43779</v>
      </c>
      <c r="D255" s="17">
        <f>IFERROR(__xludf.DUMMYFUNCTION("""COMPUTED_VALUE"""),45.0)</f>
        <v>45</v>
      </c>
      <c r="E255" s="17">
        <f>IFERROR(__xludf.DUMMYFUNCTION("""COMPUTED_VALUE"""),4746.0)</f>
        <v>4746</v>
      </c>
      <c r="F255" s="17">
        <f>IFERROR(__xludf.DUMMYFUNCTION("""COMPUTED_VALUE"""),0.0)</f>
        <v>0</v>
      </c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 t="str">
        <f>IFERROR(__xludf.DUMMYFUNCTION("""COMPUTED_VALUE"""),"Colombia")</f>
        <v>Colombia</v>
      </c>
      <c r="B256" s="54">
        <f>IFERROR(__xludf.DUMMYFUNCTION("""COMPUTED_VALUE"""),43780.0)</f>
        <v>43780</v>
      </c>
      <c r="C256" s="19">
        <f>IFERROR(__xludf.DUMMYFUNCTION("""COMPUTED_VALUE"""),43786.0)</f>
        <v>43786</v>
      </c>
      <c r="D256" s="17">
        <f>IFERROR(__xludf.DUMMYFUNCTION("""COMPUTED_VALUE"""),46.0)</f>
        <v>46</v>
      </c>
      <c r="E256" s="17">
        <f>IFERROR(__xludf.DUMMYFUNCTION("""COMPUTED_VALUE"""),4697.0)</f>
        <v>4697</v>
      </c>
      <c r="F256" s="17">
        <f>IFERROR(__xludf.DUMMYFUNCTION("""COMPUTED_VALUE"""),0.0)</f>
        <v>0</v>
      </c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 t="str">
        <f>IFERROR(__xludf.DUMMYFUNCTION("""COMPUTED_VALUE"""),"Colombia")</f>
        <v>Colombia</v>
      </c>
      <c r="B257" s="54">
        <f>IFERROR(__xludf.DUMMYFUNCTION("""COMPUTED_VALUE"""),43787.0)</f>
        <v>43787</v>
      </c>
      <c r="C257" s="19">
        <f>IFERROR(__xludf.DUMMYFUNCTION("""COMPUTED_VALUE"""),43793.0)</f>
        <v>43793</v>
      </c>
      <c r="D257" s="17">
        <f>IFERROR(__xludf.DUMMYFUNCTION("""COMPUTED_VALUE"""),47.0)</f>
        <v>47</v>
      </c>
      <c r="E257" s="17">
        <f>IFERROR(__xludf.DUMMYFUNCTION("""COMPUTED_VALUE"""),4790.0)</f>
        <v>4790</v>
      </c>
      <c r="F257" s="17">
        <f>IFERROR(__xludf.DUMMYFUNCTION("""COMPUTED_VALUE"""),0.0)</f>
        <v>0</v>
      </c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 t="str">
        <f>IFERROR(__xludf.DUMMYFUNCTION("""COMPUTED_VALUE"""),"Colombia")</f>
        <v>Colombia</v>
      </c>
      <c r="B258" s="54">
        <f>IFERROR(__xludf.DUMMYFUNCTION("""COMPUTED_VALUE"""),43794.0)</f>
        <v>43794</v>
      </c>
      <c r="C258" s="19">
        <f>IFERROR(__xludf.DUMMYFUNCTION("""COMPUTED_VALUE"""),43800.0)</f>
        <v>43800</v>
      </c>
      <c r="D258" s="17">
        <f>IFERROR(__xludf.DUMMYFUNCTION("""COMPUTED_VALUE"""),48.0)</f>
        <v>48</v>
      </c>
      <c r="E258" s="17">
        <f>IFERROR(__xludf.DUMMYFUNCTION("""COMPUTED_VALUE"""),4755.0)</f>
        <v>4755</v>
      </c>
      <c r="F258" s="17">
        <f>IFERROR(__xludf.DUMMYFUNCTION("""COMPUTED_VALUE"""),0.0)</f>
        <v>0</v>
      </c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 t="str">
        <f>IFERROR(__xludf.DUMMYFUNCTION("""COMPUTED_VALUE"""),"Colombia")</f>
        <v>Colombia</v>
      </c>
      <c r="B259" s="54">
        <f>IFERROR(__xludf.DUMMYFUNCTION("""COMPUTED_VALUE"""),43801.0)</f>
        <v>43801</v>
      </c>
      <c r="C259" s="19">
        <f>IFERROR(__xludf.DUMMYFUNCTION("""COMPUTED_VALUE"""),43807.0)</f>
        <v>43807</v>
      </c>
      <c r="D259" s="17">
        <f>IFERROR(__xludf.DUMMYFUNCTION("""COMPUTED_VALUE"""),49.0)</f>
        <v>49</v>
      </c>
      <c r="E259" s="17">
        <f>IFERROR(__xludf.DUMMYFUNCTION("""COMPUTED_VALUE"""),4803.0)</f>
        <v>4803</v>
      </c>
      <c r="F259" s="17">
        <f>IFERROR(__xludf.DUMMYFUNCTION("""COMPUTED_VALUE"""),0.0)</f>
        <v>0</v>
      </c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 t="str">
        <f>IFERROR(__xludf.DUMMYFUNCTION("""COMPUTED_VALUE"""),"Colombia")</f>
        <v>Colombia</v>
      </c>
      <c r="B260" s="54">
        <f>IFERROR(__xludf.DUMMYFUNCTION("""COMPUTED_VALUE"""),43808.0)</f>
        <v>43808</v>
      </c>
      <c r="C260" s="19">
        <f>IFERROR(__xludf.DUMMYFUNCTION("""COMPUTED_VALUE"""),43814.0)</f>
        <v>43814</v>
      </c>
      <c r="D260" s="17">
        <f>IFERROR(__xludf.DUMMYFUNCTION("""COMPUTED_VALUE"""),50.0)</f>
        <v>50</v>
      </c>
      <c r="E260" s="17">
        <f>IFERROR(__xludf.DUMMYFUNCTION("""COMPUTED_VALUE"""),4818.0)</f>
        <v>4818</v>
      </c>
      <c r="F260" s="17">
        <f>IFERROR(__xludf.DUMMYFUNCTION("""COMPUTED_VALUE"""),0.0)</f>
        <v>0</v>
      </c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 t="str">
        <f>IFERROR(__xludf.DUMMYFUNCTION("""COMPUTED_VALUE"""),"Colombia")</f>
        <v>Colombia</v>
      </c>
      <c r="B261" s="54">
        <f>IFERROR(__xludf.DUMMYFUNCTION("""COMPUTED_VALUE"""),43815.0)</f>
        <v>43815</v>
      </c>
      <c r="C261" s="19">
        <f>IFERROR(__xludf.DUMMYFUNCTION("""COMPUTED_VALUE"""),43821.0)</f>
        <v>43821</v>
      </c>
      <c r="D261" s="17">
        <f>IFERROR(__xludf.DUMMYFUNCTION("""COMPUTED_VALUE"""),51.0)</f>
        <v>51</v>
      </c>
      <c r="E261" s="17">
        <f>IFERROR(__xludf.DUMMYFUNCTION("""COMPUTED_VALUE"""),4862.0)</f>
        <v>4862</v>
      </c>
      <c r="F261" s="17">
        <f>IFERROR(__xludf.DUMMYFUNCTION("""COMPUTED_VALUE"""),0.0)</f>
        <v>0</v>
      </c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 t="str">
        <f>IFERROR(__xludf.DUMMYFUNCTION("""COMPUTED_VALUE"""),"Colombia")</f>
        <v>Colombia</v>
      </c>
      <c r="B262" s="54">
        <f>IFERROR(__xludf.DUMMYFUNCTION("""COMPUTED_VALUE"""),43822.0)</f>
        <v>43822</v>
      </c>
      <c r="C262" s="19">
        <f>IFERROR(__xludf.DUMMYFUNCTION("""COMPUTED_VALUE"""),43828.0)</f>
        <v>43828</v>
      </c>
      <c r="D262" s="17">
        <f>IFERROR(__xludf.DUMMYFUNCTION("""COMPUTED_VALUE"""),52.0)</f>
        <v>52</v>
      </c>
      <c r="E262" s="17">
        <f>IFERROR(__xludf.DUMMYFUNCTION("""COMPUTED_VALUE"""),5041.0)</f>
        <v>5041</v>
      </c>
      <c r="F262" s="17">
        <f>IFERROR(__xludf.DUMMYFUNCTION("""COMPUTED_VALUE"""),0.0)</f>
        <v>0</v>
      </c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 t="str">
        <f>IFERROR(__xludf.DUMMYFUNCTION("""COMPUTED_VALUE"""),"Colombia")</f>
        <v>Colombia</v>
      </c>
      <c r="B263" s="54">
        <f>IFERROR(__xludf.DUMMYFUNCTION("""COMPUTED_VALUE"""),43829.0)</f>
        <v>43829</v>
      </c>
      <c r="C263" s="19">
        <f>IFERROR(__xludf.DUMMYFUNCTION("""COMPUTED_VALUE"""),43835.0)</f>
        <v>43835</v>
      </c>
      <c r="D263" s="17">
        <f>IFERROR(__xludf.DUMMYFUNCTION("""COMPUTED_VALUE"""),1.0)</f>
        <v>1</v>
      </c>
      <c r="E263" s="17">
        <f>IFERROR(__xludf.DUMMYFUNCTION("""COMPUTED_VALUE"""),5076.0)</f>
        <v>5076</v>
      </c>
      <c r="F263" s="17">
        <f>IFERROR(__xludf.DUMMYFUNCTION("""COMPUTED_VALUE"""),0.0)</f>
        <v>0</v>
      </c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 t="str">
        <f>IFERROR(__xludf.DUMMYFUNCTION("""COMPUTED_VALUE"""),"Colombia")</f>
        <v>Colombia</v>
      </c>
      <c r="B264" s="54">
        <f>IFERROR(__xludf.DUMMYFUNCTION("""COMPUTED_VALUE"""),43836.0)</f>
        <v>43836</v>
      </c>
      <c r="C264" s="19">
        <f>IFERROR(__xludf.DUMMYFUNCTION("""COMPUTED_VALUE"""),43842.0)</f>
        <v>43842</v>
      </c>
      <c r="D264" s="17">
        <f>IFERROR(__xludf.DUMMYFUNCTION("""COMPUTED_VALUE"""),2.0)</f>
        <v>2</v>
      </c>
      <c r="E264" s="17">
        <f>IFERROR(__xludf.DUMMYFUNCTION("""COMPUTED_VALUE"""),5007.0)</f>
        <v>5007</v>
      </c>
      <c r="F264" s="17">
        <f>IFERROR(__xludf.DUMMYFUNCTION("""COMPUTED_VALUE"""),0.0)</f>
        <v>0</v>
      </c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 t="str">
        <f>IFERROR(__xludf.DUMMYFUNCTION("""COMPUTED_VALUE"""),"Colombia")</f>
        <v>Colombia</v>
      </c>
      <c r="B265" s="54">
        <f>IFERROR(__xludf.DUMMYFUNCTION("""COMPUTED_VALUE"""),43843.0)</f>
        <v>43843</v>
      </c>
      <c r="C265" s="19">
        <f>IFERROR(__xludf.DUMMYFUNCTION("""COMPUTED_VALUE"""),43849.0)</f>
        <v>43849</v>
      </c>
      <c r="D265" s="17">
        <f>IFERROR(__xludf.DUMMYFUNCTION("""COMPUTED_VALUE"""),3.0)</f>
        <v>3</v>
      </c>
      <c r="E265" s="17">
        <f>IFERROR(__xludf.DUMMYFUNCTION("""COMPUTED_VALUE"""),4897.0)</f>
        <v>4897</v>
      </c>
      <c r="F265" s="17">
        <f>IFERROR(__xludf.DUMMYFUNCTION("""COMPUTED_VALUE"""),0.0)</f>
        <v>0</v>
      </c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 t="str">
        <f>IFERROR(__xludf.DUMMYFUNCTION("""COMPUTED_VALUE"""),"Colombia")</f>
        <v>Colombia</v>
      </c>
      <c r="B266" s="54">
        <f>IFERROR(__xludf.DUMMYFUNCTION("""COMPUTED_VALUE"""),43850.0)</f>
        <v>43850</v>
      </c>
      <c r="C266" s="19">
        <f>IFERROR(__xludf.DUMMYFUNCTION("""COMPUTED_VALUE"""),43856.0)</f>
        <v>43856</v>
      </c>
      <c r="D266" s="17">
        <f>IFERROR(__xludf.DUMMYFUNCTION("""COMPUTED_VALUE"""),4.0)</f>
        <v>4</v>
      </c>
      <c r="E266" s="17">
        <f>IFERROR(__xludf.DUMMYFUNCTION("""COMPUTED_VALUE"""),4760.0)</f>
        <v>4760</v>
      </c>
      <c r="F266" s="17">
        <f>IFERROR(__xludf.DUMMYFUNCTION("""COMPUTED_VALUE"""),0.0)</f>
        <v>0</v>
      </c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 t="str">
        <f>IFERROR(__xludf.DUMMYFUNCTION("""COMPUTED_VALUE"""),"Colombia")</f>
        <v>Colombia</v>
      </c>
      <c r="B267" s="54">
        <f>IFERROR(__xludf.DUMMYFUNCTION("""COMPUTED_VALUE"""),43857.0)</f>
        <v>43857</v>
      </c>
      <c r="C267" s="19">
        <f>IFERROR(__xludf.DUMMYFUNCTION("""COMPUTED_VALUE"""),43863.0)</f>
        <v>43863</v>
      </c>
      <c r="D267" s="17">
        <f>IFERROR(__xludf.DUMMYFUNCTION("""COMPUTED_VALUE"""),5.0)</f>
        <v>5</v>
      </c>
      <c r="E267" s="17">
        <f>IFERROR(__xludf.DUMMYFUNCTION("""COMPUTED_VALUE"""),4631.0)</f>
        <v>4631</v>
      </c>
      <c r="F267" s="17">
        <f>IFERROR(__xludf.DUMMYFUNCTION("""COMPUTED_VALUE"""),0.0)</f>
        <v>0</v>
      </c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 t="str">
        <f>IFERROR(__xludf.DUMMYFUNCTION("""COMPUTED_VALUE"""),"Colombia")</f>
        <v>Colombia</v>
      </c>
      <c r="B268" s="54">
        <f>IFERROR(__xludf.DUMMYFUNCTION("""COMPUTED_VALUE"""),43864.0)</f>
        <v>43864</v>
      </c>
      <c r="C268" s="19">
        <f>IFERROR(__xludf.DUMMYFUNCTION("""COMPUTED_VALUE"""),43870.0)</f>
        <v>43870</v>
      </c>
      <c r="D268" s="17">
        <f>IFERROR(__xludf.DUMMYFUNCTION("""COMPUTED_VALUE"""),6.0)</f>
        <v>6</v>
      </c>
      <c r="E268" s="17">
        <f>IFERROR(__xludf.DUMMYFUNCTION("""COMPUTED_VALUE"""),4742.0)</f>
        <v>4742</v>
      </c>
      <c r="F268" s="17">
        <f>IFERROR(__xludf.DUMMYFUNCTION("""COMPUTED_VALUE"""),0.0)</f>
        <v>0</v>
      </c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 t="str">
        <f>IFERROR(__xludf.DUMMYFUNCTION("""COMPUTED_VALUE"""),"Colombia")</f>
        <v>Colombia</v>
      </c>
      <c r="B269" s="54">
        <f>IFERROR(__xludf.DUMMYFUNCTION("""COMPUTED_VALUE"""),43871.0)</f>
        <v>43871</v>
      </c>
      <c r="C269" s="19">
        <f>IFERROR(__xludf.DUMMYFUNCTION("""COMPUTED_VALUE"""),43877.0)</f>
        <v>43877</v>
      </c>
      <c r="D269" s="17">
        <f>IFERROR(__xludf.DUMMYFUNCTION("""COMPUTED_VALUE"""),7.0)</f>
        <v>7</v>
      </c>
      <c r="E269" s="17">
        <f>IFERROR(__xludf.DUMMYFUNCTION("""COMPUTED_VALUE"""),4699.0)</f>
        <v>4699</v>
      </c>
      <c r="F269" s="17">
        <f>IFERROR(__xludf.DUMMYFUNCTION("""COMPUTED_VALUE"""),0.0)</f>
        <v>0</v>
      </c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 t="str">
        <f>IFERROR(__xludf.DUMMYFUNCTION("""COMPUTED_VALUE"""),"Colombia")</f>
        <v>Colombia</v>
      </c>
      <c r="B270" s="54">
        <f>IFERROR(__xludf.DUMMYFUNCTION("""COMPUTED_VALUE"""),43878.0)</f>
        <v>43878</v>
      </c>
      <c r="C270" s="19">
        <f>IFERROR(__xludf.DUMMYFUNCTION("""COMPUTED_VALUE"""),43884.0)</f>
        <v>43884</v>
      </c>
      <c r="D270" s="17">
        <f>IFERROR(__xludf.DUMMYFUNCTION("""COMPUTED_VALUE"""),8.0)</f>
        <v>8</v>
      </c>
      <c r="E270" s="17">
        <f>IFERROR(__xludf.DUMMYFUNCTION("""COMPUTED_VALUE"""),4693.0)</f>
        <v>4693</v>
      </c>
      <c r="F270" s="17">
        <f>IFERROR(__xludf.DUMMYFUNCTION("""COMPUTED_VALUE"""),0.0)</f>
        <v>0</v>
      </c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 t="str">
        <f>IFERROR(__xludf.DUMMYFUNCTION("""COMPUTED_VALUE"""),"Colombia")</f>
        <v>Colombia</v>
      </c>
      <c r="B271" s="54">
        <f>IFERROR(__xludf.DUMMYFUNCTION("""COMPUTED_VALUE"""),43885.0)</f>
        <v>43885</v>
      </c>
      <c r="C271" s="19">
        <f>IFERROR(__xludf.DUMMYFUNCTION("""COMPUTED_VALUE"""),43891.0)</f>
        <v>43891</v>
      </c>
      <c r="D271" s="17">
        <f>IFERROR(__xludf.DUMMYFUNCTION("""COMPUTED_VALUE"""),9.0)</f>
        <v>9</v>
      </c>
      <c r="E271" s="17">
        <f>IFERROR(__xludf.DUMMYFUNCTION("""COMPUTED_VALUE"""),4520.0)</f>
        <v>4520</v>
      </c>
      <c r="F271" s="17">
        <f>IFERROR(__xludf.DUMMYFUNCTION("""COMPUTED_VALUE"""),0.0)</f>
        <v>0</v>
      </c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 t="str">
        <f>IFERROR(__xludf.DUMMYFUNCTION("""COMPUTED_VALUE"""),"Colombia")</f>
        <v>Colombia</v>
      </c>
      <c r="B272" s="54">
        <f>IFERROR(__xludf.DUMMYFUNCTION("""COMPUTED_VALUE"""),43892.0)</f>
        <v>43892</v>
      </c>
      <c r="C272" s="19">
        <f>IFERROR(__xludf.DUMMYFUNCTION("""COMPUTED_VALUE"""),43898.0)</f>
        <v>43898</v>
      </c>
      <c r="D272" s="17">
        <f>IFERROR(__xludf.DUMMYFUNCTION("""COMPUTED_VALUE"""),10.0)</f>
        <v>10</v>
      </c>
      <c r="E272" s="17">
        <f>IFERROR(__xludf.DUMMYFUNCTION("""COMPUTED_VALUE"""),4534.0)</f>
        <v>4534</v>
      </c>
      <c r="F272" s="17">
        <f>IFERROR(__xludf.DUMMYFUNCTION("""COMPUTED_VALUE"""),0.0)</f>
        <v>0</v>
      </c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 t="str">
        <f>IFERROR(__xludf.DUMMYFUNCTION("""COMPUTED_VALUE"""),"Colombia")</f>
        <v>Colombia</v>
      </c>
      <c r="B273" s="54">
        <f>IFERROR(__xludf.DUMMYFUNCTION("""COMPUTED_VALUE"""),43899.0)</f>
        <v>43899</v>
      </c>
      <c r="C273" s="19">
        <f>IFERROR(__xludf.DUMMYFUNCTION("""COMPUTED_VALUE"""),43905.0)</f>
        <v>43905</v>
      </c>
      <c r="D273" s="17">
        <f>IFERROR(__xludf.DUMMYFUNCTION("""COMPUTED_VALUE"""),11.0)</f>
        <v>11</v>
      </c>
      <c r="E273" s="17">
        <f>IFERROR(__xludf.DUMMYFUNCTION("""COMPUTED_VALUE"""),4457.0)</f>
        <v>4457</v>
      </c>
      <c r="F273" s="17">
        <f>IFERROR(__xludf.DUMMYFUNCTION("""COMPUTED_VALUE"""),0.0)</f>
        <v>0</v>
      </c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sheetData>
    <row r="1">
      <c r="A1" s="80" t="str">
        <f>IFERROR(__xludf.DUMMYFUNCTION("QUERY(Dataset!A:F, ""SELECT A,B,C,D,E,F WHERE A='Colombia' AND F&gt;0"",1)"),"País")</f>
        <v>País</v>
      </c>
      <c r="B1" s="80" t="str">
        <f>IFERROR(__xludf.DUMMYFUNCTION("""COMPUTED_VALUE"""),"Fecha inicio")</f>
        <v>Fecha inicio</v>
      </c>
      <c r="C1" s="80" t="str">
        <f>IFERROR(__xludf.DUMMYFUNCTION("""COMPUTED_VALUE"""),"Fecha fin")</f>
        <v>Fecha fin</v>
      </c>
      <c r="D1" s="80" t="str">
        <f>IFERROR(__xludf.DUMMYFUNCTION("""COMPUTED_VALUE"""),"Semana")</f>
        <v>Semana</v>
      </c>
      <c r="E1" s="80" t="str">
        <f>IFERROR(__xludf.DUMMYFUNCTION("""COMPUTED_VALUE"""),"Total muertes reportadas")</f>
        <v>Total muertes reportadas</v>
      </c>
      <c r="F1" s="80" t="str">
        <f>IFERROR(__xludf.DUMMYFUNCTION("""COMPUTED_VALUE"""),"Total muertes reportadas por covid")</f>
        <v>Total muertes reportadas por covid</v>
      </c>
      <c r="G1" s="81" t="s">
        <v>8</v>
      </c>
      <c r="H1" s="81" t="s">
        <v>20</v>
      </c>
      <c r="I1" s="81" t="s">
        <v>19</v>
      </c>
      <c r="J1" s="82" t="s">
        <v>21</v>
      </c>
      <c r="K1" s="83" t="s">
        <v>22</v>
      </c>
      <c r="L1" s="83" t="s">
        <v>23</v>
      </c>
      <c r="M1" s="84" t="s">
        <v>24</v>
      </c>
      <c r="N1" s="84" t="s">
        <v>25</v>
      </c>
      <c r="O1" s="85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17" t="str">
        <f>IFERROR(__xludf.DUMMYFUNCTION("""COMPUTED_VALUE"""),"Colombia")</f>
        <v>Colombia</v>
      </c>
      <c r="B2" s="18">
        <f>IFERROR(__xludf.DUMMYFUNCTION("""COMPUTED_VALUE"""),43906.0)</f>
        <v>43906</v>
      </c>
      <c r="C2" s="19">
        <f>IFERROR(__xludf.DUMMYFUNCTION("""COMPUTED_VALUE"""),43912.0)</f>
        <v>43912</v>
      </c>
      <c r="D2" s="17">
        <f>IFERROR(__xludf.DUMMYFUNCTION("""COMPUTED_VALUE"""),12.0)</f>
        <v>12</v>
      </c>
      <c r="E2" s="17">
        <f>IFERROR(__xludf.DUMMYFUNCTION("""COMPUTED_VALUE"""),4499.0)</f>
        <v>4499</v>
      </c>
      <c r="F2" s="17">
        <f>IFERROR(__xludf.DUMMYFUNCTION("""COMPUTED_VALUE"""),2.0)</f>
        <v>2</v>
      </c>
      <c r="G2" s="62">
        <v>1.0</v>
      </c>
      <c r="H2" s="86">
        <f t="shared" ref="H2:H54" si="2">AVERAGEIFS($E$2:$E$83,$D$2:$D$83,G2)</f>
        <v>7964</v>
      </c>
      <c r="I2" s="63">
        <v>4853.333333333333</v>
      </c>
      <c r="J2" s="21">
        <f t="shared" ref="J2:J70" si="3">IFERROR(E2-INDEX($I$2:$I$54, MATCH(D2, $G$2:$G$54, 0)), "")</f>
        <v>202.2</v>
      </c>
      <c r="K2" s="22">
        <f>(F2/(VLOOKUP("Colombia",Poblacion!$A$2:$B$5,2,0)))*100000</f>
        <v>0.003901233182</v>
      </c>
      <c r="L2" s="22">
        <f>(J2/(VLOOKUP("Colombia",Poblacion!$A$2:$B$5,2,0)))*100000</f>
        <v>0.3944146747</v>
      </c>
      <c r="M2" s="22">
        <f t="shared" ref="M2:N2" si="1">K2</f>
        <v>0.003901233182</v>
      </c>
      <c r="N2" s="22">
        <f t="shared" si="1"/>
        <v>0.3944146747</v>
      </c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tr">
        <f>IFERROR(__xludf.DUMMYFUNCTION("""COMPUTED_VALUE"""),"Colombia")</f>
        <v>Colombia</v>
      </c>
      <c r="B3" s="18">
        <f>IFERROR(__xludf.DUMMYFUNCTION("""COMPUTED_VALUE"""),43913.0)</f>
        <v>43913</v>
      </c>
      <c r="C3" s="19">
        <f>IFERROR(__xludf.DUMMYFUNCTION("""COMPUTED_VALUE"""),43919.0)</f>
        <v>43919</v>
      </c>
      <c r="D3" s="17">
        <f>IFERROR(__xludf.DUMMYFUNCTION("""COMPUTED_VALUE"""),13.0)</f>
        <v>13</v>
      </c>
      <c r="E3" s="17">
        <f>IFERROR(__xludf.DUMMYFUNCTION("""COMPUTED_VALUE"""),4337.0)</f>
        <v>4337</v>
      </c>
      <c r="F3" s="17">
        <f>IFERROR(__xludf.DUMMYFUNCTION("""COMPUTED_VALUE"""),8.0)</f>
        <v>8</v>
      </c>
      <c r="G3" s="62">
        <v>2.0</v>
      </c>
      <c r="H3" s="86">
        <f t="shared" si="2"/>
        <v>8440</v>
      </c>
      <c r="I3" s="63">
        <v>4660.666666666667</v>
      </c>
      <c r="J3" s="21">
        <f t="shared" si="3"/>
        <v>20.6</v>
      </c>
      <c r="K3" s="22">
        <f>(F3/(VLOOKUP("Colombia",Poblacion!$A$2:$B$5,2,0)))*100000</f>
        <v>0.01560493273</v>
      </c>
      <c r="L3" s="22">
        <f>(J3/(VLOOKUP("Colombia",Poblacion!$A$2:$B$5,2,0)))*100000</f>
        <v>0.04018270177</v>
      </c>
      <c r="M3" s="22">
        <f t="shared" ref="M3:N3" si="4">K3+M2</f>
        <v>0.01950616591</v>
      </c>
      <c r="N3" s="22">
        <f t="shared" si="4"/>
        <v>0.4345973764</v>
      </c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tr">
        <f>IFERROR(__xludf.DUMMYFUNCTION("""COMPUTED_VALUE"""),"Colombia")</f>
        <v>Colombia</v>
      </c>
      <c r="B4" s="18">
        <f>IFERROR(__xludf.DUMMYFUNCTION("""COMPUTED_VALUE"""),43920.0)</f>
        <v>43920</v>
      </c>
      <c r="C4" s="19">
        <f>IFERROR(__xludf.DUMMYFUNCTION("""COMPUTED_VALUE"""),43926.0)</f>
        <v>43926</v>
      </c>
      <c r="D4" s="17">
        <f>IFERROR(__xludf.DUMMYFUNCTION("""COMPUTED_VALUE"""),14.0)</f>
        <v>14</v>
      </c>
      <c r="E4" s="17">
        <f>IFERROR(__xludf.DUMMYFUNCTION("""COMPUTED_VALUE"""),4190.0)</f>
        <v>4190</v>
      </c>
      <c r="F4" s="17">
        <f>IFERROR(__xludf.DUMMYFUNCTION("""COMPUTED_VALUE"""),25.0)</f>
        <v>25</v>
      </c>
      <c r="G4" s="62">
        <v>3.0</v>
      </c>
      <c r="H4" s="86">
        <f t="shared" si="2"/>
        <v>8479</v>
      </c>
      <c r="I4" s="63">
        <v>4653.166666666667</v>
      </c>
      <c r="J4" s="21">
        <f t="shared" si="3"/>
        <v>-88</v>
      </c>
      <c r="K4" s="22">
        <f>(F4/(VLOOKUP("Colombia",Poblacion!$A$2:$B$5,2,0)))*100000</f>
        <v>0.04876541477</v>
      </c>
      <c r="L4" s="22">
        <f>(J4/(VLOOKUP("Colombia",Poblacion!$A$2:$B$5,2,0)))*100000</f>
        <v>-0.17165426</v>
      </c>
      <c r="M4" s="22">
        <f t="shared" ref="M4:N4" si="5">K4+M3</f>
        <v>0.06827158068</v>
      </c>
      <c r="N4" s="22">
        <f t="shared" si="5"/>
        <v>0.2629431165</v>
      </c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tr">
        <f>IFERROR(__xludf.DUMMYFUNCTION("""COMPUTED_VALUE"""),"Colombia")</f>
        <v>Colombia</v>
      </c>
      <c r="B5" s="18">
        <f>IFERROR(__xludf.DUMMYFUNCTION("""COMPUTED_VALUE"""),43927.0)</f>
        <v>43927</v>
      </c>
      <c r="C5" s="19">
        <f>IFERROR(__xludf.DUMMYFUNCTION("""COMPUTED_VALUE"""),43933.0)</f>
        <v>43933</v>
      </c>
      <c r="D5" s="17">
        <f>IFERROR(__xludf.DUMMYFUNCTION("""COMPUTED_VALUE"""),15.0)</f>
        <v>15</v>
      </c>
      <c r="E5" s="17">
        <f>IFERROR(__xludf.DUMMYFUNCTION("""COMPUTED_VALUE"""),4255.0)</f>
        <v>4255</v>
      </c>
      <c r="F5" s="17">
        <f>IFERROR(__xludf.DUMMYFUNCTION("""COMPUTED_VALUE"""),74.0)</f>
        <v>74</v>
      </c>
      <c r="G5" s="62">
        <v>4.0</v>
      </c>
      <c r="H5" s="86">
        <f t="shared" si="2"/>
        <v>7676</v>
      </c>
      <c r="I5" s="63">
        <v>4519.5</v>
      </c>
      <c r="J5" s="21">
        <f t="shared" si="3"/>
        <v>0</v>
      </c>
      <c r="K5" s="22">
        <f>(F5/(VLOOKUP("Colombia",Poblacion!$A$2:$B$5,2,0)))*100000</f>
        <v>0.1443456277</v>
      </c>
      <c r="L5" s="22">
        <f>(J5/(VLOOKUP("Colombia",Poblacion!$A$2:$B$5,2,0)))*100000</f>
        <v>0</v>
      </c>
      <c r="M5" s="22">
        <f t="shared" ref="M5:N5" si="6">K5+M4</f>
        <v>0.2126172084</v>
      </c>
      <c r="N5" s="22">
        <f t="shared" si="6"/>
        <v>0.2629431165</v>
      </c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tr">
        <f>IFERROR(__xludf.DUMMYFUNCTION("""COMPUTED_VALUE"""),"Colombia")</f>
        <v>Colombia</v>
      </c>
      <c r="B6" s="18">
        <f>IFERROR(__xludf.DUMMYFUNCTION("""COMPUTED_VALUE"""),43934.0)</f>
        <v>43934</v>
      </c>
      <c r="C6" s="19">
        <f>IFERROR(__xludf.DUMMYFUNCTION("""COMPUTED_VALUE"""),43940.0)</f>
        <v>43940</v>
      </c>
      <c r="D6" s="17">
        <f>IFERROR(__xludf.DUMMYFUNCTION("""COMPUTED_VALUE"""),16.0)</f>
        <v>16</v>
      </c>
      <c r="E6" s="17">
        <f>IFERROR(__xludf.DUMMYFUNCTION("""COMPUTED_VALUE"""),4355.0)</f>
        <v>4355</v>
      </c>
      <c r="F6" s="17">
        <f>IFERROR(__xludf.DUMMYFUNCTION("""COMPUTED_VALUE"""),70.0)</f>
        <v>70</v>
      </c>
      <c r="G6" s="62">
        <v>5.0</v>
      </c>
      <c r="H6" s="86">
        <f t="shared" si="2"/>
        <v>7029</v>
      </c>
      <c r="I6" s="63">
        <v>4406.333333333333</v>
      </c>
      <c r="J6" s="21">
        <f t="shared" si="3"/>
        <v>92.2</v>
      </c>
      <c r="K6" s="22">
        <f>(F6/(VLOOKUP("Colombia",Poblacion!$A$2:$B$5,2,0)))*100000</f>
        <v>0.1365431614</v>
      </c>
      <c r="L6" s="22">
        <f>(J6/(VLOOKUP("Colombia",Poblacion!$A$2:$B$5,2,0)))*100000</f>
        <v>0.1798468497</v>
      </c>
      <c r="M6" s="22">
        <f t="shared" ref="M6:N6" si="7">K6+M5</f>
        <v>0.3491603698</v>
      </c>
      <c r="N6" s="22">
        <f t="shared" si="7"/>
        <v>0.4427899661</v>
      </c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tr">
        <f>IFERROR(__xludf.DUMMYFUNCTION("""COMPUTED_VALUE"""),"Colombia")</f>
        <v>Colombia</v>
      </c>
      <c r="B7" s="18">
        <f>IFERROR(__xludf.DUMMYFUNCTION("""COMPUTED_VALUE"""),43941.0)</f>
        <v>43941</v>
      </c>
      <c r="C7" s="19">
        <f>IFERROR(__xludf.DUMMYFUNCTION("""COMPUTED_VALUE"""),43947.0)</f>
        <v>43947</v>
      </c>
      <c r="D7" s="17">
        <f>IFERROR(__xludf.DUMMYFUNCTION("""COMPUTED_VALUE"""),17.0)</f>
        <v>17</v>
      </c>
      <c r="E7" s="17">
        <f>IFERROR(__xludf.DUMMYFUNCTION("""COMPUTED_VALUE"""),4328.0)</f>
        <v>4328</v>
      </c>
      <c r="F7" s="17">
        <f>IFERROR(__xludf.DUMMYFUNCTION("""COMPUTED_VALUE"""),65.0)</f>
        <v>65</v>
      </c>
      <c r="G7" s="62">
        <v>6.0</v>
      </c>
      <c r="H7" s="86">
        <f t="shared" si="2"/>
        <v>6341</v>
      </c>
      <c r="I7" s="63">
        <v>4375.166666666667</v>
      </c>
      <c r="J7" s="21">
        <f t="shared" si="3"/>
        <v>65</v>
      </c>
      <c r="K7" s="22">
        <f>(F7/(VLOOKUP("Colombia",Poblacion!$A$2:$B$5,2,0)))*100000</f>
        <v>0.1267900784</v>
      </c>
      <c r="L7" s="22">
        <f>(J7/(VLOOKUP("Colombia",Poblacion!$A$2:$B$5,2,0)))*100000</f>
        <v>0.1267900784</v>
      </c>
      <c r="M7" s="22">
        <f t="shared" ref="M7:N7" si="8">K7+M6</f>
        <v>0.4759504482</v>
      </c>
      <c r="N7" s="22">
        <f t="shared" si="8"/>
        <v>0.5695800445</v>
      </c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tr">
        <f>IFERROR(__xludf.DUMMYFUNCTION("""COMPUTED_VALUE"""),"Colombia")</f>
        <v>Colombia</v>
      </c>
      <c r="B8" s="18">
        <f>IFERROR(__xludf.DUMMYFUNCTION("""COMPUTED_VALUE"""),43948.0)</f>
        <v>43948</v>
      </c>
      <c r="C8" s="19">
        <f>IFERROR(__xludf.DUMMYFUNCTION("""COMPUTED_VALUE"""),43954.0)</f>
        <v>43954</v>
      </c>
      <c r="D8" s="17">
        <f>IFERROR(__xludf.DUMMYFUNCTION("""COMPUTED_VALUE"""),18.0)</f>
        <v>18</v>
      </c>
      <c r="E8" s="17">
        <f>IFERROR(__xludf.DUMMYFUNCTION("""COMPUTED_VALUE"""),4263.0)</f>
        <v>4263</v>
      </c>
      <c r="F8" s="17">
        <f>IFERROR(__xludf.DUMMYFUNCTION("""COMPUTED_VALUE"""),96.0)</f>
        <v>96</v>
      </c>
      <c r="G8" s="62">
        <v>7.0</v>
      </c>
      <c r="H8" s="86">
        <f t="shared" si="2"/>
        <v>5915</v>
      </c>
      <c r="I8" s="63">
        <v>4324.5</v>
      </c>
      <c r="J8" s="21">
        <f t="shared" si="3"/>
        <v>-68.2</v>
      </c>
      <c r="K8" s="22">
        <f>(F8/(VLOOKUP("Colombia",Poblacion!$A$2:$B$5,2,0)))*100000</f>
        <v>0.1872591927</v>
      </c>
      <c r="L8" s="22">
        <f>(J8/(VLOOKUP("Colombia",Poblacion!$A$2:$B$5,2,0)))*100000</f>
        <v>-0.1330320515</v>
      </c>
      <c r="M8" s="22">
        <f t="shared" ref="M8:N8" si="9">K8+M7</f>
        <v>0.6632096409</v>
      </c>
      <c r="N8" s="22">
        <f t="shared" si="9"/>
        <v>0.436547993</v>
      </c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tr">
        <f>IFERROR(__xludf.DUMMYFUNCTION("""COMPUTED_VALUE"""),"Colombia")</f>
        <v>Colombia</v>
      </c>
      <c r="B9" s="18">
        <f>IFERROR(__xludf.DUMMYFUNCTION("""COMPUTED_VALUE"""),43955.0)</f>
        <v>43955</v>
      </c>
      <c r="C9" s="19">
        <f>IFERROR(__xludf.DUMMYFUNCTION("""COMPUTED_VALUE"""),43961.0)</f>
        <v>43961</v>
      </c>
      <c r="D9" s="17">
        <f>IFERROR(__xludf.DUMMYFUNCTION("""COMPUTED_VALUE"""),19.0)</f>
        <v>19</v>
      </c>
      <c r="E9" s="17">
        <f>IFERROR(__xludf.DUMMYFUNCTION("""COMPUTED_VALUE"""),4469.0)</f>
        <v>4469</v>
      </c>
      <c r="F9" s="17">
        <f>IFERROR(__xludf.DUMMYFUNCTION("""COMPUTED_VALUE"""),123.0)</f>
        <v>123</v>
      </c>
      <c r="G9" s="62">
        <v>8.0</v>
      </c>
      <c r="H9" s="86">
        <f t="shared" si="2"/>
        <v>5564</v>
      </c>
      <c r="I9" s="63">
        <v>4307.333333333333</v>
      </c>
      <c r="J9" s="21">
        <f t="shared" si="3"/>
        <v>100.8</v>
      </c>
      <c r="K9" s="22">
        <f>(F9/(VLOOKUP("Colombia",Poblacion!$A$2:$B$5,2,0)))*100000</f>
        <v>0.2399258407</v>
      </c>
      <c r="L9" s="22">
        <f>(J9/(VLOOKUP("Colombia",Poblacion!$A$2:$B$5,2,0)))*100000</f>
        <v>0.1966221524</v>
      </c>
      <c r="M9" s="22">
        <f t="shared" ref="M9:N9" si="10">K9+M8</f>
        <v>0.9031354816</v>
      </c>
      <c r="N9" s="22">
        <f t="shared" si="10"/>
        <v>0.6331701454</v>
      </c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tr">
        <f>IFERROR(__xludf.DUMMYFUNCTION("""COMPUTED_VALUE"""),"Colombia")</f>
        <v>Colombia</v>
      </c>
      <c r="B10" s="18">
        <f>IFERROR(__xludf.DUMMYFUNCTION("""COMPUTED_VALUE"""),43962.0)</f>
        <v>43962</v>
      </c>
      <c r="C10" s="19">
        <f>IFERROR(__xludf.DUMMYFUNCTION("""COMPUTED_VALUE"""),43968.0)</f>
        <v>43968</v>
      </c>
      <c r="D10" s="17">
        <f>IFERROR(__xludf.DUMMYFUNCTION("""COMPUTED_VALUE"""),20.0)</f>
        <v>20</v>
      </c>
      <c r="E10" s="17">
        <f>IFERROR(__xludf.DUMMYFUNCTION("""COMPUTED_VALUE"""),4579.0)</f>
        <v>4579</v>
      </c>
      <c r="F10" s="17">
        <f>IFERROR(__xludf.DUMMYFUNCTION("""COMPUTED_VALUE"""),111.0)</f>
        <v>111</v>
      </c>
      <c r="G10" s="62">
        <v>9.0</v>
      </c>
      <c r="H10" s="86">
        <f t="shared" si="2"/>
        <v>5562</v>
      </c>
      <c r="I10" s="63">
        <v>4312.0</v>
      </c>
      <c r="J10" s="21">
        <f t="shared" si="3"/>
        <v>60.2</v>
      </c>
      <c r="K10" s="22">
        <f>(F10/(VLOOKUP("Colombia",Poblacion!$A$2:$B$5,2,0)))*100000</f>
        <v>0.2165184416</v>
      </c>
      <c r="L10" s="22">
        <f>(J10/(VLOOKUP("Colombia",Poblacion!$A$2:$B$5,2,0)))*100000</f>
        <v>0.1174271188</v>
      </c>
      <c r="M10" s="22">
        <f t="shared" ref="M10:N10" si="11">K10+M9</f>
        <v>1.119653923</v>
      </c>
      <c r="N10" s="22">
        <f t="shared" si="11"/>
        <v>0.7505972642</v>
      </c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tr">
        <f>IFERROR(__xludf.DUMMYFUNCTION("""COMPUTED_VALUE"""),"Colombia")</f>
        <v>Colombia</v>
      </c>
      <c r="B11" s="18">
        <f>IFERROR(__xludf.DUMMYFUNCTION("""COMPUTED_VALUE"""),43969.0)</f>
        <v>43969</v>
      </c>
      <c r="C11" s="19">
        <f>IFERROR(__xludf.DUMMYFUNCTION("""COMPUTED_VALUE"""),43975.0)</f>
        <v>43975</v>
      </c>
      <c r="D11" s="17">
        <f>IFERROR(__xludf.DUMMYFUNCTION("""COMPUTED_VALUE"""),21.0)</f>
        <v>21</v>
      </c>
      <c r="E11" s="17">
        <f>IFERROR(__xludf.DUMMYFUNCTION("""COMPUTED_VALUE"""),4701.0)</f>
        <v>4701</v>
      </c>
      <c r="F11" s="17">
        <f>IFERROR(__xludf.DUMMYFUNCTION("""COMPUTED_VALUE"""),153.0)</f>
        <v>153</v>
      </c>
      <c r="G11" s="62">
        <v>10.0</v>
      </c>
      <c r="H11" s="86">
        <f t="shared" si="2"/>
        <v>5315</v>
      </c>
      <c r="I11" s="63">
        <v>4341.666666666667</v>
      </c>
      <c r="J11" s="21">
        <f t="shared" si="3"/>
        <v>222.8</v>
      </c>
      <c r="K11" s="22">
        <f>(F11/(VLOOKUP("Colombia",Poblacion!$A$2:$B$5,2,0)))*100000</f>
        <v>0.2984443384</v>
      </c>
      <c r="L11" s="22">
        <f>(J11/(VLOOKUP("Colombia",Poblacion!$A$2:$B$5,2,0)))*100000</f>
        <v>0.4345973764</v>
      </c>
      <c r="M11" s="22">
        <f t="shared" ref="M11:N11" si="12">K11+M10</f>
        <v>1.418098262</v>
      </c>
      <c r="N11" s="22">
        <f t="shared" si="12"/>
        <v>1.185194641</v>
      </c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tr">
        <f>IFERROR(__xludf.DUMMYFUNCTION("""COMPUTED_VALUE"""),"Colombia")</f>
        <v>Colombia</v>
      </c>
      <c r="B12" s="18">
        <f>IFERROR(__xludf.DUMMYFUNCTION("""COMPUTED_VALUE"""),43976.0)</f>
        <v>43976</v>
      </c>
      <c r="C12" s="19">
        <f>IFERROR(__xludf.DUMMYFUNCTION("""COMPUTED_VALUE"""),43982.0)</f>
        <v>43982</v>
      </c>
      <c r="D12" s="17">
        <f>IFERROR(__xludf.DUMMYFUNCTION("""COMPUTED_VALUE"""),22.0)</f>
        <v>22</v>
      </c>
      <c r="E12" s="17">
        <f>IFERROR(__xludf.DUMMYFUNCTION("""COMPUTED_VALUE"""),4738.0)</f>
        <v>4738</v>
      </c>
      <c r="F12" s="17">
        <f>IFERROR(__xludf.DUMMYFUNCTION("""COMPUTED_VALUE"""),212.0)</f>
        <v>212</v>
      </c>
      <c r="G12" s="62">
        <v>11.0</v>
      </c>
      <c r="H12" s="86">
        <f t="shared" si="2"/>
        <v>5569</v>
      </c>
      <c r="I12" s="63">
        <v>4366.0</v>
      </c>
      <c r="J12" s="21">
        <f t="shared" si="3"/>
        <v>253</v>
      </c>
      <c r="K12" s="22">
        <f>(F12/(VLOOKUP("Colombia",Poblacion!$A$2:$B$5,2,0)))*100000</f>
        <v>0.4135307173</v>
      </c>
      <c r="L12" s="22">
        <f>(J12/(VLOOKUP("Colombia",Poblacion!$A$2:$B$5,2,0)))*100000</f>
        <v>0.4935059975</v>
      </c>
      <c r="M12" s="22">
        <f t="shared" ref="M12:N12" si="13">K12+M11</f>
        <v>1.831628979</v>
      </c>
      <c r="N12" s="22">
        <f t="shared" si="13"/>
        <v>1.678700638</v>
      </c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tr">
        <f>IFERROR(__xludf.DUMMYFUNCTION("""COMPUTED_VALUE"""),"Colombia")</f>
        <v>Colombia</v>
      </c>
      <c r="B13" s="18">
        <f>IFERROR(__xludf.DUMMYFUNCTION("""COMPUTED_VALUE"""),43983.0)</f>
        <v>43983</v>
      </c>
      <c r="C13" s="19">
        <f>IFERROR(__xludf.DUMMYFUNCTION("""COMPUTED_VALUE"""),43989.0)</f>
        <v>43989</v>
      </c>
      <c r="D13" s="17">
        <f>IFERROR(__xludf.DUMMYFUNCTION("""COMPUTED_VALUE"""),23.0)</f>
        <v>23</v>
      </c>
      <c r="E13" s="17">
        <f>IFERROR(__xludf.DUMMYFUNCTION("""COMPUTED_VALUE"""),5153.0)</f>
        <v>5153</v>
      </c>
      <c r="F13" s="17">
        <f>IFERROR(__xludf.DUMMYFUNCTION("""COMPUTED_VALUE"""),320.0)</f>
        <v>320</v>
      </c>
      <c r="G13" s="62">
        <v>12.0</v>
      </c>
      <c r="H13" s="86">
        <f t="shared" si="2"/>
        <v>5228.5</v>
      </c>
      <c r="I13" s="63">
        <v>4296.8</v>
      </c>
      <c r="J13" s="21">
        <f t="shared" si="3"/>
        <v>610.4</v>
      </c>
      <c r="K13" s="22">
        <f>(F13/(VLOOKUP("Colombia",Poblacion!$A$2:$B$5,2,0)))*100000</f>
        <v>0.6241973091</v>
      </c>
      <c r="L13" s="22">
        <f>(J13/(VLOOKUP("Colombia",Poblacion!$A$2:$B$5,2,0)))*100000</f>
        <v>1.190656367</v>
      </c>
      <c r="M13" s="22">
        <f t="shared" ref="M13:N13" si="14">K13+M12</f>
        <v>2.455826288</v>
      </c>
      <c r="N13" s="22">
        <f t="shared" si="14"/>
        <v>2.869357005</v>
      </c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tr">
        <f>IFERROR(__xludf.DUMMYFUNCTION("""COMPUTED_VALUE"""),"Colombia")</f>
        <v>Colombia</v>
      </c>
      <c r="B14" s="18">
        <f>IFERROR(__xludf.DUMMYFUNCTION("""COMPUTED_VALUE"""),43990.0)</f>
        <v>43990</v>
      </c>
      <c r="C14" s="19">
        <f>IFERROR(__xludf.DUMMYFUNCTION("""COMPUTED_VALUE"""),43996.0)</f>
        <v>43996</v>
      </c>
      <c r="D14" s="17">
        <f>IFERROR(__xludf.DUMMYFUNCTION("""COMPUTED_VALUE"""),24.0)</f>
        <v>24</v>
      </c>
      <c r="E14" s="17">
        <f>IFERROR(__xludf.DUMMYFUNCTION("""COMPUTED_VALUE"""),5338.0)</f>
        <v>5338</v>
      </c>
      <c r="F14" s="17">
        <f>IFERROR(__xludf.DUMMYFUNCTION("""COMPUTED_VALUE"""),408.0)</f>
        <v>408</v>
      </c>
      <c r="G14" s="62">
        <v>13.0</v>
      </c>
      <c r="H14" s="86">
        <f t="shared" si="2"/>
        <v>5405</v>
      </c>
      <c r="I14" s="63">
        <v>4316.4</v>
      </c>
      <c r="J14" s="21">
        <f t="shared" si="3"/>
        <v>823.2</v>
      </c>
      <c r="K14" s="22">
        <f>(F14/(VLOOKUP("Colombia",Poblacion!$A$2:$B$5,2,0)))*100000</f>
        <v>0.7958515691</v>
      </c>
      <c r="L14" s="22">
        <f>(J14/(VLOOKUP("Colombia",Poblacion!$A$2:$B$5,2,0)))*100000</f>
        <v>1.605747578</v>
      </c>
      <c r="M14" s="22">
        <f t="shared" ref="M14:N14" si="15">K14+M13</f>
        <v>3.251677857</v>
      </c>
      <c r="N14" s="22">
        <f t="shared" si="15"/>
        <v>4.475104583</v>
      </c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tr">
        <f>IFERROR(__xludf.DUMMYFUNCTION("""COMPUTED_VALUE"""),"Colombia")</f>
        <v>Colombia</v>
      </c>
      <c r="B15" s="18">
        <f>IFERROR(__xludf.DUMMYFUNCTION("""COMPUTED_VALUE"""),43997.0)</f>
        <v>43997</v>
      </c>
      <c r="C15" s="19">
        <f>IFERROR(__xludf.DUMMYFUNCTION("""COMPUTED_VALUE"""),44003.0)</f>
        <v>44003</v>
      </c>
      <c r="D15" s="17">
        <f>IFERROR(__xludf.DUMMYFUNCTION("""COMPUTED_VALUE"""),25.0)</f>
        <v>25</v>
      </c>
      <c r="E15" s="17">
        <f>IFERROR(__xludf.DUMMYFUNCTION("""COMPUTED_VALUE"""),5778.0)</f>
        <v>5778</v>
      </c>
      <c r="F15" s="17">
        <f>IFERROR(__xludf.DUMMYFUNCTION("""COMPUTED_VALUE"""),570.0)</f>
        <v>570</v>
      </c>
      <c r="G15" s="62">
        <v>14.0</v>
      </c>
      <c r="H15" s="86">
        <f t="shared" si="2"/>
        <v>5700</v>
      </c>
      <c r="I15" s="63">
        <v>4278.0</v>
      </c>
      <c r="J15" s="21">
        <f t="shared" si="3"/>
        <v>1223.4</v>
      </c>
      <c r="K15" s="22">
        <f>(F15/(VLOOKUP("Colombia",Poblacion!$A$2:$B$5,2,0)))*100000</f>
        <v>1.111851457</v>
      </c>
      <c r="L15" s="22">
        <f>(J15/(VLOOKUP("Colombia",Poblacion!$A$2:$B$5,2,0)))*100000</f>
        <v>2.386384337</v>
      </c>
      <c r="M15" s="22">
        <f t="shared" ref="M15:N15" si="16">K15+M14</f>
        <v>4.363529314</v>
      </c>
      <c r="N15" s="22">
        <f t="shared" si="16"/>
        <v>6.86148892</v>
      </c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tr">
        <f>IFERROR(__xludf.DUMMYFUNCTION("""COMPUTED_VALUE"""),"Colombia")</f>
        <v>Colombia</v>
      </c>
      <c r="B16" s="18">
        <f>IFERROR(__xludf.DUMMYFUNCTION("""COMPUTED_VALUE"""),44004.0)</f>
        <v>44004</v>
      </c>
      <c r="C16" s="19">
        <f>IFERROR(__xludf.DUMMYFUNCTION("""COMPUTED_VALUE"""),44010.0)</f>
        <v>44010</v>
      </c>
      <c r="D16" s="17">
        <f>IFERROR(__xludf.DUMMYFUNCTION("""COMPUTED_VALUE"""),26.0)</f>
        <v>26</v>
      </c>
      <c r="E16" s="17">
        <f>IFERROR(__xludf.DUMMYFUNCTION("""COMPUTED_VALUE"""),6128.0)</f>
        <v>6128</v>
      </c>
      <c r="F16" s="17">
        <f>IFERROR(__xludf.DUMMYFUNCTION("""COMPUTED_VALUE"""),941.0)</f>
        <v>941</v>
      </c>
      <c r="G16" s="62">
        <v>15.0</v>
      </c>
      <c r="H16" s="86">
        <f t="shared" si="2"/>
        <v>6347.5</v>
      </c>
      <c r="I16" s="63">
        <v>4255.0</v>
      </c>
      <c r="J16" s="21">
        <f t="shared" si="3"/>
        <v>1536</v>
      </c>
      <c r="K16" s="22">
        <f>(F16/(VLOOKUP("Colombia",Poblacion!$A$2:$B$5,2,0)))*100000</f>
        <v>1.835530212</v>
      </c>
      <c r="L16" s="22">
        <f>(J16/(VLOOKUP("Colombia",Poblacion!$A$2:$B$5,2,0)))*100000</f>
        <v>2.996147084</v>
      </c>
      <c r="M16" s="22">
        <f t="shared" ref="M16:N16" si="17">K16+M15</f>
        <v>6.199059526</v>
      </c>
      <c r="N16" s="22">
        <f t="shared" si="17"/>
        <v>9.857636004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tr">
        <f>IFERROR(__xludf.DUMMYFUNCTION("""COMPUTED_VALUE"""),"Colombia")</f>
        <v>Colombia</v>
      </c>
      <c r="B17" s="18">
        <f>IFERROR(__xludf.DUMMYFUNCTION("""COMPUTED_VALUE"""),44011.0)</f>
        <v>44011</v>
      </c>
      <c r="C17" s="19">
        <f>IFERROR(__xludf.DUMMYFUNCTION("""COMPUTED_VALUE"""),44017.0)</f>
        <v>44017</v>
      </c>
      <c r="D17" s="17">
        <f>IFERROR(__xludf.DUMMYFUNCTION("""COMPUTED_VALUE"""),27.0)</f>
        <v>27</v>
      </c>
      <c r="E17" s="17">
        <f>IFERROR(__xludf.DUMMYFUNCTION("""COMPUTED_VALUE"""),6233.0)</f>
        <v>6233</v>
      </c>
      <c r="F17" s="17">
        <f>IFERROR(__xludf.DUMMYFUNCTION("""COMPUTED_VALUE"""),886.0)</f>
        <v>886</v>
      </c>
      <c r="G17" s="62">
        <v>16.0</v>
      </c>
      <c r="H17" s="86">
        <f t="shared" si="2"/>
        <v>6565</v>
      </c>
      <c r="I17" s="63">
        <v>4262.8</v>
      </c>
      <c r="J17" s="21">
        <f t="shared" si="3"/>
        <v>1666</v>
      </c>
      <c r="K17" s="22">
        <f>(F17/(VLOOKUP("Colombia",Poblacion!$A$2:$B$5,2,0)))*100000</f>
        <v>1.7282463</v>
      </c>
      <c r="L17" s="22">
        <f>(J17/(VLOOKUP("Colombia",Poblacion!$A$2:$B$5,2,0)))*100000</f>
        <v>3.24972724</v>
      </c>
      <c r="M17" s="22">
        <f t="shared" ref="M17:N17" si="18">K17+M16</f>
        <v>7.927305825</v>
      </c>
      <c r="N17" s="22">
        <f t="shared" si="18"/>
        <v>13.10736324</v>
      </c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tr">
        <f>IFERROR(__xludf.DUMMYFUNCTION("""COMPUTED_VALUE"""),"Colombia")</f>
        <v>Colombia</v>
      </c>
      <c r="B18" s="18">
        <f>IFERROR(__xludf.DUMMYFUNCTION("""COMPUTED_VALUE"""),44018.0)</f>
        <v>44018</v>
      </c>
      <c r="C18" s="19">
        <f>IFERROR(__xludf.DUMMYFUNCTION("""COMPUTED_VALUE"""),44024.0)</f>
        <v>44024</v>
      </c>
      <c r="D18" s="17">
        <f>IFERROR(__xludf.DUMMYFUNCTION("""COMPUTED_VALUE"""),28.0)</f>
        <v>28</v>
      </c>
      <c r="E18" s="17">
        <f>IFERROR(__xludf.DUMMYFUNCTION("""COMPUTED_VALUE"""),6739.0)</f>
        <v>6739</v>
      </c>
      <c r="F18" s="17">
        <f>IFERROR(__xludf.DUMMYFUNCTION("""COMPUTED_VALUE"""),1243.0)</f>
        <v>1243</v>
      </c>
      <c r="G18" s="62">
        <v>17.0</v>
      </c>
      <c r="H18" s="86">
        <f t="shared" si="2"/>
        <v>6558.5</v>
      </c>
      <c r="I18" s="63">
        <v>4263.0</v>
      </c>
      <c r="J18" s="21">
        <f t="shared" si="3"/>
        <v>2195.4</v>
      </c>
      <c r="K18" s="22">
        <f>(F18/(VLOOKUP("Colombia",Poblacion!$A$2:$B$5,2,0)))*100000</f>
        <v>2.424616422</v>
      </c>
      <c r="L18" s="22">
        <f>(J18/(VLOOKUP("Colombia",Poblacion!$A$2:$B$5,2,0)))*100000</f>
        <v>4.282383664</v>
      </c>
      <c r="M18" s="22">
        <f t="shared" ref="M18:N18" si="19">K18+M17</f>
        <v>10.35192225</v>
      </c>
      <c r="N18" s="22">
        <f t="shared" si="19"/>
        <v>17.38974691</v>
      </c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tr">
        <f>IFERROR(__xludf.DUMMYFUNCTION("""COMPUTED_VALUE"""),"Colombia")</f>
        <v>Colombia</v>
      </c>
      <c r="B19" s="18">
        <f>IFERROR(__xludf.DUMMYFUNCTION("""COMPUTED_VALUE"""),44025.0)</f>
        <v>44025</v>
      </c>
      <c r="C19" s="19">
        <f>IFERROR(__xludf.DUMMYFUNCTION("""COMPUTED_VALUE"""),44031.0)</f>
        <v>44031</v>
      </c>
      <c r="D19" s="17">
        <f>IFERROR(__xludf.DUMMYFUNCTION("""COMPUTED_VALUE"""),29.0)</f>
        <v>29</v>
      </c>
      <c r="E19" s="17">
        <f>IFERROR(__xludf.DUMMYFUNCTION("""COMPUTED_VALUE"""),7313.0)</f>
        <v>7313</v>
      </c>
      <c r="F19" s="17">
        <f>IFERROR(__xludf.DUMMYFUNCTION("""COMPUTED_VALUE"""),1429.0)</f>
        <v>1429</v>
      </c>
      <c r="G19" s="62">
        <v>18.0</v>
      </c>
      <c r="H19" s="86">
        <f t="shared" si="2"/>
        <v>6572.5</v>
      </c>
      <c r="I19" s="63">
        <v>4331.2</v>
      </c>
      <c r="J19" s="21">
        <f t="shared" si="3"/>
        <v>2868.2</v>
      </c>
      <c r="K19" s="22">
        <f>(F19/(VLOOKUP("Colombia",Poblacion!$A$2:$B$5,2,0)))*100000</f>
        <v>2.787431108</v>
      </c>
      <c r="L19" s="22">
        <f>(J19/(VLOOKUP("Colombia",Poblacion!$A$2:$B$5,2,0)))*100000</f>
        <v>5.594758506</v>
      </c>
      <c r="M19" s="22">
        <f t="shared" ref="M19:N19" si="20">K19+M18</f>
        <v>13.13935336</v>
      </c>
      <c r="N19" s="22">
        <f t="shared" si="20"/>
        <v>22.98450541</v>
      </c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tr">
        <f>IFERROR(__xludf.DUMMYFUNCTION("""COMPUTED_VALUE"""),"Colombia")</f>
        <v>Colombia</v>
      </c>
      <c r="B20" s="18">
        <f>IFERROR(__xludf.DUMMYFUNCTION("""COMPUTED_VALUE"""),44032.0)</f>
        <v>44032</v>
      </c>
      <c r="C20" s="19">
        <f>IFERROR(__xludf.DUMMYFUNCTION("""COMPUTED_VALUE"""),44038.0)</f>
        <v>44038</v>
      </c>
      <c r="D20" s="17">
        <f>IFERROR(__xludf.DUMMYFUNCTION("""COMPUTED_VALUE"""),30.0)</f>
        <v>30</v>
      </c>
      <c r="E20" s="17">
        <f>IFERROR(__xludf.DUMMYFUNCTION("""COMPUTED_VALUE"""),7702.0)</f>
        <v>7702</v>
      </c>
      <c r="F20" s="17">
        <f>IFERROR(__xludf.DUMMYFUNCTION("""COMPUTED_VALUE"""),1789.0)</f>
        <v>1789</v>
      </c>
      <c r="G20" s="62">
        <v>19.0</v>
      </c>
      <c r="H20" s="86">
        <f t="shared" si="2"/>
        <v>6728.5</v>
      </c>
      <c r="I20" s="63">
        <v>4368.2</v>
      </c>
      <c r="J20" s="21">
        <f t="shared" si="3"/>
        <v>3379.8</v>
      </c>
      <c r="K20" s="22">
        <f>(F20/(VLOOKUP("Colombia",Poblacion!$A$2:$B$5,2,0)))*100000</f>
        <v>3.489653081</v>
      </c>
      <c r="L20" s="22">
        <f>(J20/(VLOOKUP("Colombia",Poblacion!$A$2:$B$5,2,0)))*100000</f>
        <v>6.592693954</v>
      </c>
      <c r="M20" s="22">
        <f t="shared" ref="M20:N20" si="21">K20+M19</f>
        <v>16.62900644</v>
      </c>
      <c r="N20" s="22">
        <f t="shared" si="21"/>
        <v>29.57719937</v>
      </c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tr">
        <f>IFERROR(__xludf.DUMMYFUNCTION("""COMPUTED_VALUE"""),"Colombia")</f>
        <v>Colombia</v>
      </c>
      <c r="B21" s="18">
        <f>IFERROR(__xludf.DUMMYFUNCTION("""COMPUTED_VALUE"""),44039.0)</f>
        <v>44039</v>
      </c>
      <c r="C21" s="19">
        <f>IFERROR(__xludf.DUMMYFUNCTION("""COMPUTED_VALUE"""),44045.0)</f>
        <v>44045</v>
      </c>
      <c r="D21" s="17">
        <f>IFERROR(__xludf.DUMMYFUNCTION("""COMPUTED_VALUE"""),31.0)</f>
        <v>31</v>
      </c>
      <c r="E21" s="17">
        <f>IFERROR(__xludf.DUMMYFUNCTION("""COMPUTED_VALUE"""),8070.0)</f>
        <v>8070</v>
      </c>
      <c r="F21" s="17">
        <f>IFERROR(__xludf.DUMMYFUNCTION("""COMPUTED_VALUE"""),2125.0)</f>
        <v>2125</v>
      </c>
      <c r="G21" s="62">
        <v>20.0</v>
      </c>
      <c r="H21" s="86">
        <f t="shared" si="2"/>
        <v>6818.5</v>
      </c>
      <c r="I21" s="63">
        <v>4518.8</v>
      </c>
      <c r="J21" s="21">
        <f t="shared" si="3"/>
        <v>3706.2</v>
      </c>
      <c r="K21" s="22">
        <f>(F21/(VLOOKUP("Colombia",Poblacion!$A$2:$B$5,2,0)))*100000</f>
        <v>4.145060256</v>
      </c>
      <c r="L21" s="22">
        <f>(J21/(VLOOKUP("Colombia",Poblacion!$A$2:$B$5,2,0)))*100000</f>
        <v>7.229375209</v>
      </c>
      <c r="M21" s="22">
        <f t="shared" ref="M21:N21" si="22">K21+M20</f>
        <v>20.77406669</v>
      </c>
      <c r="N21" s="22">
        <f t="shared" si="22"/>
        <v>36.80657458</v>
      </c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tr">
        <f>IFERROR(__xludf.DUMMYFUNCTION("""COMPUTED_VALUE"""),"Colombia")</f>
        <v>Colombia</v>
      </c>
      <c r="B22" s="18">
        <f>IFERROR(__xludf.DUMMYFUNCTION("""COMPUTED_VALUE"""),44046.0)</f>
        <v>44046</v>
      </c>
      <c r="C22" s="19">
        <f>IFERROR(__xludf.DUMMYFUNCTION("""COMPUTED_VALUE"""),44052.0)</f>
        <v>44052</v>
      </c>
      <c r="D22" s="17">
        <f>IFERROR(__xludf.DUMMYFUNCTION("""COMPUTED_VALUE"""),32.0)</f>
        <v>32</v>
      </c>
      <c r="E22" s="17">
        <f>IFERROR(__xludf.DUMMYFUNCTION("""COMPUTED_VALUE"""),7888.0)</f>
        <v>7888</v>
      </c>
      <c r="F22" s="17">
        <f>IFERROR(__xludf.DUMMYFUNCTION("""COMPUTED_VALUE"""),2192.0)</f>
        <v>2192</v>
      </c>
      <c r="G22" s="62">
        <v>21.0</v>
      </c>
      <c r="H22" s="86">
        <f t="shared" si="2"/>
        <v>6998.5</v>
      </c>
      <c r="I22" s="63">
        <v>4478.2</v>
      </c>
      <c r="J22" s="21">
        <f t="shared" si="3"/>
        <v>3445.2</v>
      </c>
      <c r="K22" s="22">
        <f>(F22/(VLOOKUP("Colombia",Poblacion!$A$2:$B$5,2,0)))*100000</f>
        <v>4.275751567</v>
      </c>
      <c r="L22" s="22">
        <f>(J22/(VLOOKUP("Colombia",Poblacion!$A$2:$B$5,2,0)))*100000</f>
        <v>6.720264279</v>
      </c>
      <c r="M22" s="22">
        <f t="shared" ref="M22:N22" si="23">K22+M21</f>
        <v>25.04981826</v>
      </c>
      <c r="N22" s="22">
        <f t="shared" si="23"/>
        <v>43.52683886</v>
      </c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tr">
        <f>IFERROR(__xludf.DUMMYFUNCTION("""COMPUTED_VALUE"""),"Colombia")</f>
        <v>Colombia</v>
      </c>
      <c r="B23" s="18">
        <f>IFERROR(__xludf.DUMMYFUNCTION("""COMPUTED_VALUE"""),44053.0)</f>
        <v>44053</v>
      </c>
      <c r="C23" s="19">
        <f>IFERROR(__xludf.DUMMYFUNCTION("""COMPUTED_VALUE"""),44059.0)</f>
        <v>44059</v>
      </c>
      <c r="D23" s="17">
        <f>IFERROR(__xludf.DUMMYFUNCTION("""COMPUTED_VALUE"""),33.0)</f>
        <v>33</v>
      </c>
      <c r="E23" s="17">
        <f>IFERROR(__xludf.DUMMYFUNCTION("""COMPUTED_VALUE"""),7648.0)</f>
        <v>7648</v>
      </c>
      <c r="F23" s="17">
        <f>IFERROR(__xludf.DUMMYFUNCTION("""COMPUTED_VALUE"""),2255.0)</f>
        <v>2255</v>
      </c>
      <c r="G23" s="62">
        <v>22.0</v>
      </c>
      <c r="H23" s="86">
        <f t="shared" si="2"/>
        <v>7252.5</v>
      </c>
      <c r="I23" s="63">
        <v>4485.0</v>
      </c>
      <c r="J23" s="21">
        <f t="shared" si="3"/>
        <v>3248.8</v>
      </c>
      <c r="K23" s="22">
        <f>(F23/(VLOOKUP("Colombia",Poblacion!$A$2:$B$5,2,0)))*100000</f>
        <v>4.398640412</v>
      </c>
      <c r="L23" s="22">
        <f>(J23/(VLOOKUP("Colombia",Poblacion!$A$2:$B$5,2,0)))*100000</f>
        <v>6.33716318</v>
      </c>
      <c r="M23" s="22">
        <f t="shared" ref="M23:N23" si="24">K23+M22</f>
        <v>29.44845867</v>
      </c>
      <c r="N23" s="22">
        <f t="shared" si="24"/>
        <v>49.86400204</v>
      </c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tr">
        <f>IFERROR(__xludf.DUMMYFUNCTION("""COMPUTED_VALUE"""),"Colombia")</f>
        <v>Colombia</v>
      </c>
      <c r="B24" s="18">
        <f>IFERROR(__xludf.DUMMYFUNCTION("""COMPUTED_VALUE"""),44060.0)</f>
        <v>44060</v>
      </c>
      <c r="C24" s="19">
        <f>IFERROR(__xludf.DUMMYFUNCTION("""COMPUTED_VALUE"""),44066.0)</f>
        <v>44066</v>
      </c>
      <c r="D24" s="17">
        <f>IFERROR(__xludf.DUMMYFUNCTION("""COMPUTED_VALUE"""),34.0)</f>
        <v>34</v>
      </c>
      <c r="E24" s="17">
        <f>IFERROR(__xludf.DUMMYFUNCTION("""COMPUTED_VALUE"""),7152.0)</f>
        <v>7152</v>
      </c>
      <c r="F24" s="17">
        <f>IFERROR(__xludf.DUMMYFUNCTION("""COMPUTED_VALUE"""),2219.0)</f>
        <v>2219</v>
      </c>
      <c r="G24" s="62">
        <v>23.0</v>
      </c>
      <c r="H24" s="86">
        <f t="shared" si="2"/>
        <v>7617</v>
      </c>
      <c r="I24" s="63">
        <v>4542.6</v>
      </c>
      <c r="J24" s="21">
        <f t="shared" si="3"/>
        <v>2816</v>
      </c>
      <c r="K24" s="22">
        <f>(F24/(VLOOKUP("Colombia",Poblacion!$A$2:$B$5,2,0)))*100000</f>
        <v>4.328418215</v>
      </c>
      <c r="L24" s="22">
        <f>(J24/(VLOOKUP("Colombia",Poblacion!$A$2:$B$5,2,0)))*100000</f>
        <v>5.49293632</v>
      </c>
      <c r="M24" s="22">
        <f t="shared" ref="M24:N24" si="25">K24+M23</f>
        <v>33.77687689</v>
      </c>
      <c r="N24" s="22">
        <f t="shared" si="25"/>
        <v>55.35693836</v>
      </c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tr">
        <f>IFERROR(__xludf.DUMMYFUNCTION("""COMPUTED_VALUE"""),"Colombia")</f>
        <v>Colombia</v>
      </c>
      <c r="B25" s="18">
        <f>IFERROR(__xludf.DUMMYFUNCTION("""COMPUTED_VALUE"""),44067.0)</f>
        <v>44067</v>
      </c>
      <c r="C25" s="19">
        <f>IFERROR(__xludf.DUMMYFUNCTION("""COMPUTED_VALUE"""),44073.0)</f>
        <v>44073</v>
      </c>
      <c r="D25" s="17">
        <f>IFERROR(__xludf.DUMMYFUNCTION("""COMPUTED_VALUE"""),35.0)</f>
        <v>35</v>
      </c>
      <c r="E25" s="17">
        <f>IFERROR(__xludf.DUMMYFUNCTION("""COMPUTED_VALUE"""),6798.0)</f>
        <v>6798</v>
      </c>
      <c r="F25" s="17">
        <f>IFERROR(__xludf.DUMMYFUNCTION("""COMPUTED_VALUE"""),2047.0)</f>
        <v>2047</v>
      </c>
      <c r="G25" s="62">
        <v>24.0</v>
      </c>
      <c r="H25" s="86">
        <f t="shared" si="2"/>
        <v>7894.5</v>
      </c>
      <c r="I25" s="63">
        <v>4514.8</v>
      </c>
      <c r="J25" s="21">
        <f t="shared" si="3"/>
        <v>2445.4</v>
      </c>
      <c r="K25" s="22">
        <f>(F25/(VLOOKUP("Colombia",Poblacion!$A$2:$B$5,2,0)))*100000</f>
        <v>3.992912162</v>
      </c>
      <c r="L25" s="22">
        <f>(J25/(VLOOKUP("Colombia",Poblacion!$A$2:$B$5,2,0)))*100000</f>
        <v>4.770037811</v>
      </c>
      <c r="M25" s="22">
        <f t="shared" ref="M25:N25" si="26">K25+M24</f>
        <v>37.76978905</v>
      </c>
      <c r="N25" s="22">
        <f t="shared" si="26"/>
        <v>60.12697617</v>
      </c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tr">
        <f>IFERROR(__xludf.DUMMYFUNCTION("""COMPUTED_VALUE"""),"Colombia")</f>
        <v>Colombia</v>
      </c>
      <c r="B26" s="18">
        <f>IFERROR(__xludf.DUMMYFUNCTION("""COMPUTED_VALUE"""),44074.0)</f>
        <v>44074</v>
      </c>
      <c r="C26" s="19">
        <f>IFERROR(__xludf.DUMMYFUNCTION("""COMPUTED_VALUE"""),44080.0)</f>
        <v>44080</v>
      </c>
      <c r="D26" s="17">
        <f>IFERROR(__xludf.DUMMYFUNCTION("""COMPUTED_VALUE"""),36.0)</f>
        <v>36</v>
      </c>
      <c r="E26" s="17">
        <f>IFERROR(__xludf.DUMMYFUNCTION("""COMPUTED_VALUE"""),6570.0)</f>
        <v>6570</v>
      </c>
      <c r="F26" s="17">
        <f>IFERROR(__xludf.DUMMYFUNCTION("""COMPUTED_VALUE"""),2049.0)</f>
        <v>2049</v>
      </c>
      <c r="G26" s="62">
        <v>25.0</v>
      </c>
      <c r="H26" s="86">
        <f t="shared" si="2"/>
        <v>8117</v>
      </c>
      <c r="I26" s="63">
        <v>4554.6</v>
      </c>
      <c r="J26" s="21">
        <f t="shared" si="3"/>
        <v>2221.6</v>
      </c>
      <c r="K26" s="22">
        <f>(F26/(VLOOKUP("Colombia",Poblacion!$A$2:$B$5,2,0)))*100000</f>
        <v>3.996813395</v>
      </c>
      <c r="L26" s="22">
        <f>(J26/(VLOOKUP("Colombia",Poblacion!$A$2:$B$5,2,0)))*100000</f>
        <v>4.333489818</v>
      </c>
      <c r="M26" s="22">
        <f t="shared" ref="M26:N26" si="27">K26+M25</f>
        <v>41.76660244</v>
      </c>
      <c r="N26" s="22">
        <f t="shared" si="27"/>
        <v>64.46046599</v>
      </c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tr">
        <f>IFERROR(__xludf.DUMMYFUNCTION("""COMPUTED_VALUE"""),"Colombia")</f>
        <v>Colombia</v>
      </c>
      <c r="B27" s="18">
        <f>IFERROR(__xludf.DUMMYFUNCTION("""COMPUTED_VALUE"""),44081.0)</f>
        <v>44081</v>
      </c>
      <c r="C27" s="19">
        <f>IFERROR(__xludf.DUMMYFUNCTION("""COMPUTED_VALUE"""),44087.0)</f>
        <v>44087</v>
      </c>
      <c r="D27" s="17">
        <f>IFERROR(__xludf.DUMMYFUNCTION("""COMPUTED_VALUE"""),37.0)</f>
        <v>37</v>
      </c>
      <c r="E27" s="17">
        <f>IFERROR(__xludf.DUMMYFUNCTION("""COMPUTED_VALUE"""),6383.0)</f>
        <v>6383</v>
      </c>
      <c r="F27" s="17">
        <f>IFERROR(__xludf.DUMMYFUNCTION("""COMPUTED_VALUE"""),1512.0)</f>
        <v>1512</v>
      </c>
      <c r="G27" s="62">
        <v>26.0</v>
      </c>
      <c r="H27" s="86">
        <f t="shared" si="2"/>
        <v>8184</v>
      </c>
      <c r="I27" s="63">
        <v>4592.0</v>
      </c>
      <c r="J27" s="21">
        <f t="shared" si="3"/>
        <v>2072.4</v>
      </c>
      <c r="K27" s="22">
        <f>(F27/(VLOOKUP("Colombia",Poblacion!$A$2:$B$5,2,0)))*100000</f>
        <v>2.949332285</v>
      </c>
      <c r="L27" s="22">
        <f>(J27/(VLOOKUP("Colombia",Poblacion!$A$2:$B$5,2,0)))*100000</f>
        <v>4.042457823</v>
      </c>
      <c r="M27" s="22">
        <f t="shared" ref="M27:N27" si="28">K27+M26</f>
        <v>44.71593473</v>
      </c>
      <c r="N27" s="22">
        <f t="shared" si="28"/>
        <v>68.50292381</v>
      </c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tr">
        <f>IFERROR(__xludf.DUMMYFUNCTION("""COMPUTED_VALUE"""),"Colombia")</f>
        <v>Colombia</v>
      </c>
      <c r="B28" s="18">
        <f>IFERROR(__xludf.DUMMYFUNCTION("""COMPUTED_VALUE"""),44088.0)</f>
        <v>44088</v>
      </c>
      <c r="C28" s="19">
        <f>IFERROR(__xludf.DUMMYFUNCTION("""COMPUTED_VALUE"""),44094.0)</f>
        <v>44094</v>
      </c>
      <c r="D28" s="17">
        <f>IFERROR(__xludf.DUMMYFUNCTION("""COMPUTED_VALUE"""),38.0)</f>
        <v>38</v>
      </c>
      <c r="E28" s="17">
        <f>IFERROR(__xludf.DUMMYFUNCTION("""COMPUTED_VALUE"""),6240.0)</f>
        <v>6240</v>
      </c>
      <c r="F28" s="17">
        <f>IFERROR(__xludf.DUMMYFUNCTION("""COMPUTED_VALUE"""),1284.0)</f>
        <v>1284</v>
      </c>
      <c r="G28" s="62">
        <v>27.0</v>
      </c>
      <c r="H28" s="86">
        <f t="shared" si="2"/>
        <v>7859</v>
      </c>
      <c r="I28" s="63">
        <v>4567.0</v>
      </c>
      <c r="J28" s="21">
        <f t="shared" si="3"/>
        <v>1867.8</v>
      </c>
      <c r="K28" s="22">
        <f>(F28/(VLOOKUP("Colombia",Poblacion!$A$2:$B$5,2,0)))*100000</f>
        <v>2.504591703</v>
      </c>
      <c r="L28" s="22">
        <f>(J28/(VLOOKUP("Colombia",Poblacion!$A$2:$B$5,2,0)))*100000</f>
        <v>3.643361668</v>
      </c>
      <c r="M28" s="22">
        <f t="shared" ref="M28:N28" si="29">K28+M27</f>
        <v>47.22052643</v>
      </c>
      <c r="N28" s="22">
        <f t="shared" si="29"/>
        <v>72.14628548</v>
      </c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tr">
        <f>IFERROR(__xludf.DUMMYFUNCTION("""COMPUTED_VALUE"""),"Colombia")</f>
        <v>Colombia</v>
      </c>
      <c r="B29" s="18">
        <f>IFERROR(__xludf.DUMMYFUNCTION("""COMPUTED_VALUE"""),44095.0)</f>
        <v>44095</v>
      </c>
      <c r="C29" s="19">
        <f>IFERROR(__xludf.DUMMYFUNCTION("""COMPUTED_VALUE"""),44101.0)</f>
        <v>44101</v>
      </c>
      <c r="D29" s="17">
        <f>IFERROR(__xludf.DUMMYFUNCTION("""COMPUTED_VALUE"""),39.0)</f>
        <v>39</v>
      </c>
      <c r="E29" s="17">
        <f>IFERROR(__xludf.DUMMYFUNCTION("""COMPUTED_VALUE"""),6161.0)</f>
        <v>6161</v>
      </c>
      <c r="F29" s="17">
        <f>IFERROR(__xludf.DUMMYFUNCTION("""COMPUTED_VALUE"""),1280.0)</f>
        <v>1280</v>
      </c>
      <c r="G29" s="62">
        <v>28.0</v>
      </c>
      <c r="H29" s="86">
        <f t="shared" si="2"/>
        <v>6739</v>
      </c>
      <c r="I29" s="63">
        <v>4543.6</v>
      </c>
      <c r="J29" s="21">
        <f t="shared" si="3"/>
        <v>1903.4</v>
      </c>
      <c r="K29" s="22">
        <f>(F29/(VLOOKUP("Colombia",Poblacion!$A$2:$B$5,2,0)))*100000</f>
        <v>2.496789236</v>
      </c>
      <c r="L29" s="22">
        <f>(J29/(VLOOKUP("Colombia",Poblacion!$A$2:$B$5,2,0)))*100000</f>
        <v>3.712803619</v>
      </c>
      <c r="M29" s="22">
        <f t="shared" ref="M29:N29" si="30">K29+M28</f>
        <v>49.71731567</v>
      </c>
      <c r="N29" s="22">
        <f t="shared" si="30"/>
        <v>75.8590891</v>
      </c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tr">
        <f>IFERROR(__xludf.DUMMYFUNCTION("""COMPUTED_VALUE"""),"Colombia")</f>
        <v>Colombia</v>
      </c>
      <c r="B30" s="18">
        <f>IFERROR(__xludf.DUMMYFUNCTION("""COMPUTED_VALUE"""),44102.0)</f>
        <v>44102</v>
      </c>
      <c r="C30" s="19">
        <f>IFERROR(__xludf.DUMMYFUNCTION("""COMPUTED_VALUE"""),44108.0)</f>
        <v>44108</v>
      </c>
      <c r="D30" s="17">
        <f>IFERROR(__xludf.DUMMYFUNCTION("""COMPUTED_VALUE"""),40.0)</f>
        <v>40</v>
      </c>
      <c r="E30" s="17">
        <f>IFERROR(__xludf.DUMMYFUNCTION("""COMPUTED_VALUE"""),6019.0)</f>
        <v>6019</v>
      </c>
      <c r="F30" s="17">
        <f>IFERROR(__xludf.DUMMYFUNCTION("""COMPUTED_VALUE"""),1224.0)</f>
        <v>1224</v>
      </c>
      <c r="G30" s="62">
        <v>29.0</v>
      </c>
      <c r="H30" s="86">
        <f t="shared" si="2"/>
        <v>7313</v>
      </c>
      <c r="I30" s="63">
        <v>4444.8</v>
      </c>
      <c r="J30" s="21">
        <f t="shared" si="3"/>
        <v>1711.8</v>
      </c>
      <c r="K30" s="22">
        <f>(F30/(VLOOKUP("Colombia",Poblacion!$A$2:$B$5,2,0)))*100000</f>
        <v>2.387554707</v>
      </c>
      <c r="L30" s="22">
        <f>(J30/(VLOOKUP("Colombia",Poblacion!$A$2:$B$5,2,0)))*100000</f>
        <v>3.33906548</v>
      </c>
      <c r="M30" s="22">
        <f t="shared" ref="M30:N30" si="31">K30+M29</f>
        <v>52.10487038</v>
      </c>
      <c r="N30" s="22">
        <f t="shared" si="31"/>
        <v>79.19815458</v>
      </c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tr">
        <f>IFERROR(__xludf.DUMMYFUNCTION("""COMPUTED_VALUE"""),"Colombia")</f>
        <v>Colombia</v>
      </c>
      <c r="B31" s="18">
        <f>IFERROR(__xludf.DUMMYFUNCTION("""COMPUTED_VALUE"""),44109.0)</f>
        <v>44109</v>
      </c>
      <c r="C31" s="19">
        <f>IFERROR(__xludf.DUMMYFUNCTION("""COMPUTED_VALUE"""),44115.0)</f>
        <v>44115</v>
      </c>
      <c r="D31" s="17">
        <f>IFERROR(__xludf.DUMMYFUNCTION("""COMPUTED_VALUE"""),41.0)</f>
        <v>41</v>
      </c>
      <c r="E31" s="17">
        <f>IFERROR(__xludf.DUMMYFUNCTION("""COMPUTED_VALUE"""),6173.0)</f>
        <v>6173</v>
      </c>
      <c r="F31" s="17">
        <f>IFERROR(__xludf.DUMMYFUNCTION("""COMPUTED_VALUE"""),1122.0)</f>
        <v>1122</v>
      </c>
      <c r="G31" s="62">
        <v>30.0</v>
      </c>
      <c r="H31" s="86">
        <f t="shared" si="2"/>
        <v>7702</v>
      </c>
      <c r="I31" s="63">
        <v>4322.2</v>
      </c>
      <c r="J31" s="21">
        <f t="shared" si="3"/>
        <v>1838</v>
      </c>
      <c r="K31" s="22">
        <f>(F31/(VLOOKUP("Colombia",Poblacion!$A$2:$B$5,2,0)))*100000</f>
        <v>2.188591815</v>
      </c>
      <c r="L31" s="22">
        <f>(J31/(VLOOKUP("Colombia",Poblacion!$A$2:$B$5,2,0)))*100000</f>
        <v>3.585233294</v>
      </c>
      <c r="M31" s="22">
        <f t="shared" ref="M31:N31" si="32">K31+M30</f>
        <v>54.29346219</v>
      </c>
      <c r="N31" s="22">
        <f t="shared" si="32"/>
        <v>82.78338787</v>
      </c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tr">
        <f>IFERROR(__xludf.DUMMYFUNCTION("""COMPUTED_VALUE"""),"Colombia")</f>
        <v>Colombia</v>
      </c>
      <c r="B32" s="18">
        <f>IFERROR(__xludf.DUMMYFUNCTION("""COMPUTED_VALUE"""),44116.0)</f>
        <v>44116</v>
      </c>
      <c r="C32" s="19">
        <f>IFERROR(__xludf.DUMMYFUNCTION("""COMPUTED_VALUE"""),44122.0)</f>
        <v>44122</v>
      </c>
      <c r="D32" s="17">
        <f>IFERROR(__xludf.DUMMYFUNCTION("""COMPUTED_VALUE"""),42.0)</f>
        <v>42</v>
      </c>
      <c r="E32" s="17">
        <f>IFERROR(__xludf.DUMMYFUNCTION("""COMPUTED_VALUE"""),6190.0)</f>
        <v>6190</v>
      </c>
      <c r="F32" s="17">
        <f>IFERROR(__xludf.DUMMYFUNCTION("""COMPUTED_VALUE"""),1136.0)</f>
        <v>1136</v>
      </c>
      <c r="G32" s="62">
        <v>31.0</v>
      </c>
      <c r="H32" s="86">
        <f t="shared" si="2"/>
        <v>8070</v>
      </c>
      <c r="I32" s="63">
        <v>4363.8</v>
      </c>
      <c r="J32" s="21">
        <f t="shared" si="3"/>
        <v>1868.6</v>
      </c>
      <c r="K32" s="22">
        <f>(F32/(VLOOKUP("Colombia",Poblacion!$A$2:$B$5,2,0)))*100000</f>
        <v>2.215900447</v>
      </c>
      <c r="L32" s="22">
        <f>(J32/(VLOOKUP("Colombia",Poblacion!$A$2:$B$5,2,0)))*100000</f>
        <v>3.644922162</v>
      </c>
      <c r="M32" s="22">
        <f t="shared" ref="M32:N32" si="33">K32+M31</f>
        <v>56.50936264</v>
      </c>
      <c r="N32" s="22">
        <f t="shared" si="33"/>
        <v>86.42831003</v>
      </c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tr">
        <f>IFERROR(__xludf.DUMMYFUNCTION("""COMPUTED_VALUE"""),"Colombia")</f>
        <v>Colombia</v>
      </c>
      <c r="B33" s="18">
        <f>IFERROR(__xludf.DUMMYFUNCTION("""COMPUTED_VALUE"""),44123.0)</f>
        <v>44123</v>
      </c>
      <c r="C33" s="19">
        <f>IFERROR(__xludf.DUMMYFUNCTION("""COMPUTED_VALUE"""),44129.0)</f>
        <v>44129</v>
      </c>
      <c r="D33" s="17">
        <f>IFERROR(__xludf.DUMMYFUNCTION("""COMPUTED_VALUE"""),43.0)</f>
        <v>43</v>
      </c>
      <c r="E33" s="17">
        <f>IFERROR(__xludf.DUMMYFUNCTION("""COMPUTED_VALUE"""),6303.0)</f>
        <v>6303</v>
      </c>
      <c r="F33" s="17">
        <f>IFERROR(__xludf.DUMMYFUNCTION("""COMPUTED_VALUE"""),1184.0)</f>
        <v>1184</v>
      </c>
      <c r="G33" s="62">
        <v>32.0</v>
      </c>
      <c r="H33" s="86">
        <f t="shared" si="2"/>
        <v>7888</v>
      </c>
      <c r="I33" s="63">
        <v>4442.8</v>
      </c>
      <c r="J33" s="21">
        <f t="shared" si="3"/>
        <v>2063.6</v>
      </c>
      <c r="K33" s="22">
        <f>(F33/(VLOOKUP("Colombia",Poblacion!$A$2:$B$5,2,0)))*100000</f>
        <v>2.309530044</v>
      </c>
      <c r="L33" s="22">
        <f>(J33/(VLOOKUP("Colombia",Poblacion!$A$2:$B$5,2,0)))*100000</f>
        <v>4.025292397</v>
      </c>
      <c r="M33" s="22">
        <f t="shared" ref="M33:N33" si="34">K33+M32</f>
        <v>58.81889268</v>
      </c>
      <c r="N33" s="22">
        <f t="shared" si="34"/>
        <v>90.45360243</v>
      </c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tr">
        <f>IFERROR(__xludf.DUMMYFUNCTION("""COMPUTED_VALUE"""),"Colombia")</f>
        <v>Colombia</v>
      </c>
      <c r="B34" s="18">
        <f>IFERROR(__xludf.DUMMYFUNCTION("""COMPUTED_VALUE"""),44130.0)</f>
        <v>44130</v>
      </c>
      <c r="C34" s="19">
        <f>IFERROR(__xludf.DUMMYFUNCTION("""COMPUTED_VALUE"""),44136.0)</f>
        <v>44136</v>
      </c>
      <c r="D34" s="17">
        <f>IFERROR(__xludf.DUMMYFUNCTION("""COMPUTED_VALUE"""),44.0)</f>
        <v>44</v>
      </c>
      <c r="E34" s="17">
        <f>IFERROR(__xludf.DUMMYFUNCTION("""COMPUTED_VALUE"""),6080.0)</f>
        <v>6080</v>
      </c>
      <c r="F34" s="17">
        <f>IFERROR(__xludf.DUMMYFUNCTION("""COMPUTED_VALUE"""),1361.0)</f>
        <v>1361</v>
      </c>
      <c r="G34" s="62">
        <v>33.0</v>
      </c>
      <c r="H34" s="86">
        <f t="shared" si="2"/>
        <v>7648</v>
      </c>
      <c r="I34" s="63">
        <v>4399.2</v>
      </c>
      <c r="J34" s="21">
        <f t="shared" si="3"/>
        <v>1722.8</v>
      </c>
      <c r="K34" s="22">
        <f>(F34/(VLOOKUP("Colombia",Poblacion!$A$2:$B$5,2,0)))*100000</f>
        <v>2.65478918</v>
      </c>
      <c r="L34" s="22">
        <f>(J34/(VLOOKUP("Colombia",Poblacion!$A$2:$B$5,2,0)))*100000</f>
        <v>3.360522263</v>
      </c>
      <c r="M34" s="22">
        <f t="shared" ref="M34:N34" si="35">K34+M33</f>
        <v>61.47368186</v>
      </c>
      <c r="N34" s="22">
        <f t="shared" si="35"/>
        <v>93.81412469</v>
      </c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tr">
        <f>IFERROR(__xludf.DUMMYFUNCTION("""COMPUTED_VALUE"""),"Colombia")</f>
        <v>Colombia</v>
      </c>
      <c r="B35" s="18">
        <f>IFERROR(__xludf.DUMMYFUNCTION("""COMPUTED_VALUE"""),44137.0)</f>
        <v>44137</v>
      </c>
      <c r="C35" s="19">
        <f>IFERROR(__xludf.DUMMYFUNCTION("""COMPUTED_VALUE"""),44143.0)</f>
        <v>44143</v>
      </c>
      <c r="D35" s="17">
        <f>IFERROR(__xludf.DUMMYFUNCTION("""COMPUTED_VALUE"""),45.0)</f>
        <v>45</v>
      </c>
      <c r="E35" s="17">
        <f>IFERROR(__xludf.DUMMYFUNCTION("""COMPUTED_VALUE"""),6252.0)</f>
        <v>6252</v>
      </c>
      <c r="F35" s="17">
        <f>IFERROR(__xludf.DUMMYFUNCTION("""COMPUTED_VALUE"""),1276.0)</f>
        <v>1276</v>
      </c>
      <c r="G35" s="62">
        <v>34.0</v>
      </c>
      <c r="H35" s="86">
        <f t="shared" si="2"/>
        <v>7152</v>
      </c>
      <c r="I35" s="63">
        <v>4336.0</v>
      </c>
      <c r="J35" s="21">
        <f t="shared" si="3"/>
        <v>1872.2</v>
      </c>
      <c r="K35" s="22">
        <f>(F35/(VLOOKUP("Colombia",Poblacion!$A$2:$B$5,2,0)))*100000</f>
        <v>2.48898677</v>
      </c>
      <c r="L35" s="22">
        <f>(J35/(VLOOKUP("Colombia",Poblacion!$A$2:$B$5,2,0)))*100000</f>
        <v>3.651944381</v>
      </c>
      <c r="M35" s="22">
        <f t="shared" ref="M35:N35" si="36">K35+M34</f>
        <v>63.96266863</v>
      </c>
      <c r="N35" s="22">
        <f t="shared" si="36"/>
        <v>97.46606907</v>
      </c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tr">
        <f>IFERROR(__xludf.DUMMYFUNCTION("""COMPUTED_VALUE"""),"Colombia")</f>
        <v>Colombia</v>
      </c>
      <c r="B36" s="18">
        <f>IFERROR(__xludf.DUMMYFUNCTION("""COMPUTED_VALUE"""),44144.0)</f>
        <v>44144</v>
      </c>
      <c r="C36" s="19">
        <f>IFERROR(__xludf.DUMMYFUNCTION("""COMPUTED_VALUE"""),44150.0)</f>
        <v>44150</v>
      </c>
      <c r="D36" s="17">
        <f>IFERROR(__xludf.DUMMYFUNCTION("""COMPUTED_VALUE"""),46.0)</f>
        <v>46</v>
      </c>
      <c r="E36" s="17">
        <f>IFERROR(__xludf.DUMMYFUNCTION("""COMPUTED_VALUE"""),6119.0)</f>
        <v>6119</v>
      </c>
      <c r="F36" s="17">
        <f>IFERROR(__xludf.DUMMYFUNCTION("""COMPUTED_VALUE"""),1240.0)</f>
        <v>1240</v>
      </c>
      <c r="G36" s="62">
        <v>35.0</v>
      </c>
      <c r="H36" s="86">
        <f t="shared" si="2"/>
        <v>6798</v>
      </c>
      <c r="I36" s="63">
        <v>4352.6</v>
      </c>
      <c r="J36" s="21">
        <f t="shared" si="3"/>
        <v>1727.6</v>
      </c>
      <c r="K36" s="22">
        <f>(F36/(VLOOKUP("Colombia",Poblacion!$A$2:$B$5,2,0)))*100000</f>
        <v>2.418764573</v>
      </c>
      <c r="L36" s="22">
        <f>(J36/(VLOOKUP("Colombia",Poblacion!$A$2:$B$5,2,0)))*100000</f>
        <v>3.369885222</v>
      </c>
      <c r="M36" s="22">
        <f t="shared" ref="M36:N36" si="37">K36+M35</f>
        <v>66.3814332</v>
      </c>
      <c r="N36" s="22">
        <f t="shared" si="37"/>
        <v>100.8359543</v>
      </c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tr">
        <f>IFERROR(__xludf.DUMMYFUNCTION("""COMPUTED_VALUE"""),"Colombia")</f>
        <v>Colombia</v>
      </c>
      <c r="B37" s="18">
        <f>IFERROR(__xludf.DUMMYFUNCTION("""COMPUTED_VALUE"""),44151.0)</f>
        <v>44151</v>
      </c>
      <c r="C37" s="19">
        <f>IFERROR(__xludf.DUMMYFUNCTION("""COMPUTED_VALUE"""),44157.0)</f>
        <v>44157</v>
      </c>
      <c r="D37" s="17">
        <f>IFERROR(__xludf.DUMMYFUNCTION("""COMPUTED_VALUE"""),47.0)</f>
        <v>47</v>
      </c>
      <c r="E37" s="17">
        <f>IFERROR(__xludf.DUMMYFUNCTION("""COMPUTED_VALUE"""),6242.0)</f>
        <v>6242</v>
      </c>
      <c r="F37" s="17">
        <f>IFERROR(__xludf.DUMMYFUNCTION("""COMPUTED_VALUE"""),1256.0)</f>
        <v>1256</v>
      </c>
      <c r="G37" s="62">
        <v>36.0</v>
      </c>
      <c r="H37" s="86">
        <f t="shared" si="2"/>
        <v>6570</v>
      </c>
      <c r="I37" s="63">
        <v>4348.4</v>
      </c>
      <c r="J37" s="21">
        <f t="shared" si="3"/>
        <v>1820</v>
      </c>
      <c r="K37" s="22">
        <f>(F37/(VLOOKUP("Colombia",Poblacion!$A$2:$B$5,2,0)))*100000</f>
        <v>2.449974438</v>
      </c>
      <c r="L37" s="22">
        <f>(J37/(VLOOKUP("Colombia",Poblacion!$A$2:$B$5,2,0)))*100000</f>
        <v>3.550122195</v>
      </c>
      <c r="M37" s="22">
        <f t="shared" ref="M37:N37" si="38">K37+M36</f>
        <v>68.83140764</v>
      </c>
      <c r="N37" s="22">
        <f t="shared" si="38"/>
        <v>104.3860765</v>
      </c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tr">
        <f>IFERROR(__xludf.DUMMYFUNCTION("""COMPUTED_VALUE"""),"Colombia")</f>
        <v>Colombia</v>
      </c>
      <c r="B38" s="18">
        <f>IFERROR(__xludf.DUMMYFUNCTION("""COMPUTED_VALUE"""),44158.0)</f>
        <v>44158</v>
      </c>
      <c r="C38" s="19">
        <f>IFERROR(__xludf.DUMMYFUNCTION("""COMPUTED_VALUE"""),44164.0)</f>
        <v>44164</v>
      </c>
      <c r="D38" s="17">
        <f>IFERROR(__xludf.DUMMYFUNCTION("""COMPUTED_VALUE"""),48.0)</f>
        <v>48</v>
      </c>
      <c r="E38" s="17">
        <f>IFERROR(__xludf.DUMMYFUNCTION("""COMPUTED_VALUE"""),6266.0)</f>
        <v>6266</v>
      </c>
      <c r="F38" s="17">
        <f>IFERROR(__xludf.DUMMYFUNCTION("""COMPUTED_VALUE"""),1297.0)</f>
        <v>1297</v>
      </c>
      <c r="G38" s="62">
        <v>37.0</v>
      </c>
      <c r="H38" s="86">
        <f t="shared" si="2"/>
        <v>6383</v>
      </c>
      <c r="I38" s="63">
        <v>4310.6</v>
      </c>
      <c r="J38" s="21">
        <f t="shared" si="3"/>
        <v>1794.4</v>
      </c>
      <c r="K38" s="22">
        <f>(F38/(VLOOKUP("Colombia",Poblacion!$A$2:$B$5,2,0)))*100000</f>
        <v>2.529949718</v>
      </c>
      <c r="L38" s="22">
        <f>(J38/(VLOOKUP("Colombia",Poblacion!$A$2:$B$5,2,0)))*100000</f>
        <v>3.500186411</v>
      </c>
      <c r="M38" s="22">
        <f t="shared" ref="M38:N38" si="39">K38+M37</f>
        <v>71.36135736</v>
      </c>
      <c r="N38" s="22">
        <f t="shared" si="39"/>
        <v>107.8862629</v>
      </c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tr">
        <f>IFERROR(__xludf.DUMMYFUNCTION("""COMPUTED_VALUE"""),"Colombia")</f>
        <v>Colombia</v>
      </c>
      <c r="B39" s="18">
        <f>IFERROR(__xludf.DUMMYFUNCTION("""COMPUTED_VALUE"""),44165.0)</f>
        <v>44165</v>
      </c>
      <c r="C39" s="19">
        <f>IFERROR(__xludf.DUMMYFUNCTION("""COMPUTED_VALUE"""),44171.0)</f>
        <v>44171</v>
      </c>
      <c r="D39" s="17">
        <f>IFERROR(__xludf.DUMMYFUNCTION("""COMPUTED_VALUE"""),49.0)</f>
        <v>49</v>
      </c>
      <c r="E39" s="17">
        <f>IFERROR(__xludf.DUMMYFUNCTION("""COMPUTED_VALUE"""),6206.0)</f>
        <v>6206</v>
      </c>
      <c r="F39" s="17">
        <f>IFERROR(__xludf.DUMMYFUNCTION("""COMPUTED_VALUE"""),1224.0)</f>
        <v>1224</v>
      </c>
      <c r="G39" s="62">
        <v>38.0</v>
      </c>
      <c r="H39" s="86">
        <f t="shared" si="2"/>
        <v>6240</v>
      </c>
      <c r="I39" s="63">
        <v>4372.2</v>
      </c>
      <c r="J39" s="21">
        <f t="shared" si="3"/>
        <v>1614.6</v>
      </c>
      <c r="K39" s="22">
        <f>(F39/(VLOOKUP("Colombia",Poblacion!$A$2:$B$5,2,0)))*100000</f>
        <v>2.387554707</v>
      </c>
      <c r="L39" s="22">
        <f>(J39/(VLOOKUP("Colombia",Poblacion!$A$2:$B$5,2,0)))*100000</f>
        <v>3.149465548</v>
      </c>
      <c r="M39" s="22">
        <f t="shared" ref="M39:N39" si="40">K39+M38</f>
        <v>73.74891207</v>
      </c>
      <c r="N39" s="22">
        <f t="shared" si="40"/>
        <v>111.0357284</v>
      </c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tr">
        <f>IFERROR(__xludf.DUMMYFUNCTION("""COMPUTED_VALUE"""),"Colombia")</f>
        <v>Colombia</v>
      </c>
      <c r="B40" s="18">
        <f>IFERROR(__xludf.DUMMYFUNCTION("""COMPUTED_VALUE"""),44172.0)</f>
        <v>44172</v>
      </c>
      <c r="C40" s="19">
        <f>IFERROR(__xludf.DUMMYFUNCTION("""COMPUTED_VALUE"""),44178.0)</f>
        <v>44178</v>
      </c>
      <c r="D40" s="17">
        <f>IFERROR(__xludf.DUMMYFUNCTION("""COMPUTED_VALUE"""),50.0)</f>
        <v>50</v>
      </c>
      <c r="E40" s="17">
        <f>IFERROR(__xludf.DUMMYFUNCTION("""COMPUTED_VALUE"""),6640.0)</f>
        <v>6640</v>
      </c>
      <c r="F40" s="17">
        <f>IFERROR(__xludf.DUMMYFUNCTION("""COMPUTED_VALUE"""),1245.0)</f>
        <v>1245</v>
      </c>
      <c r="G40" s="62">
        <v>39.0</v>
      </c>
      <c r="H40" s="86">
        <f t="shared" si="2"/>
        <v>6161</v>
      </c>
      <c r="I40" s="63">
        <v>4257.6</v>
      </c>
      <c r="J40" s="21">
        <f t="shared" si="3"/>
        <v>2042.8</v>
      </c>
      <c r="K40" s="22">
        <f>(F40/(VLOOKUP("Colombia",Poblacion!$A$2:$B$5,2,0)))*100000</f>
        <v>2.428517656</v>
      </c>
      <c r="L40" s="22">
        <f>(J40/(VLOOKUP("Colombia",Poblacion!$A$2:$B$5,2,0)))*100000</f>
        <v>3.984719572</v>
      </c>
      <c r="M40" s="22">
        <f t="shared" ref="M40:N40" si="41">K40+M39</f>
        <v>76.17742972</v>
      </c>
      <c r="N40" s="22">
        <f t="shared" si="41"/>
        <v>115.020448</v>
      </c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tr">
        <f>IFERROR(__xludf.DUMMYFUNCTION("""COMPUTED_VALUE"""),"Colombia")</f>
        <v>Colombia</v>
      </c>
      <c r="B41" s="18">
        <f>IFERROR(__xludf.DUMMYFUNCTION("""COMPUTED_VALUE"""),44179.0)</f>
        <v>44179</v>
      </c>
      <c r="C41" s="19">
        <f>IFERROR(__xludf.DUMMYFUNCTION("""COMPUTED_VALUE"""),44185.0)</f>
        <v>44185</v>
      </c>
      <c r="D41" s="17">
        <f>IFERROR(__xludf.DUMMYFUNCTION("""COMPUTED_VALUE"""),51.0)</f>
        <v>51</v>
      </c>
      <c r="E41" s="17">
        <f>IFERROR(__xludf.DUMMYFUNCTION("""COMPUTED_VALUE"""),6687.0)</f>
        <v>6687</v>
      </c>
      <c r="F41" s="17">
        <f>IFERROR(__xludf.DUMMYFUNCTION("""COMPUTED_VALUE"""),1422.0)</f>
        <v>1422</v>
      </c>
      <c r="G41" s="62">
        <v>40.0</v>
      </c>
      <c r="H41" s="86">
        <f t="shared" si="2"/>
        <v>6019</v>
      </c>
      <c r="I41" s="63">
        <v>4307.2</v>
      </c>
      <c r="J41" s="21">
        <f t="shared" si="3"/>
        <v>2067.4</v>
      </c>
      <c r="K41" s="22">
        <f>(F41/(VLOOKUP("Colombia",Poblacion!$A$2:$B$5,2,0)))*100000</f>
        <v>2.773776792</v>
      </c>
      <c r="L41" s="22">
        <f>(J41/(VLOOKUP("Colombia",Poblacion!$A$2:$B$5,2,0)))*100000</f>
        <v>4.03270474</v>
      </c>
      <c r="M41" s="22">
        <f t="shared" ref="M41:N41" si="42">K41+M40</f>
        <v>78.95120652</v>
      </c>
      <c r="N41" s="22">
        <f t="shared" si="42"/>
        <v>119.0531528</v>
      </c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tr">
        <f>IFERROR(__xludf.DUMMYFUNCTION("""COMPUTED_VALUE"""),"Colombia")</f>
        <v>Colombia</v>
      </c>
      <c r="B42" s="18">
        <f>IFERROR(__xludf.DUMMYFUNCTION("""COMPUTED_VALUE"""),44186.0)</f>
        <v>44186</v>
      </c>
      <c r="C42" s="19">
        <f>IFERROR(__xludf.DUMMYFUNCTION("""COMPUTED_VALUE"""),44192.0)</f>
        <v>44192</v>
      </c>
      <c r="D42" s="17">
        <f>IFERROR(__xludf.DUMMYFUNCTION("""COMPUTED_VALUE"""),52.0)</f>
        <v>52</v>
      </c>
      <c r="E42" s="17">
        <f>IFERROR(__xludf.DUMMYFUNCTION("""COMPUTED_VALUE"""),7203.0)</f>
        <v>7203</v>
      </c>
      <c r="F42" s="17">
        <f>IFERROR(__xludf.DUMMYFUNCTION("""COMPUTED_VALUE"""),1696.0)</f>
        <v>1696</v>
      </c>
      <c r="G42" s="62">
        <v>41.0</v>
      </c>
      <c r="H42" s="86">
        <f t="shared" si="2"/>
        <v>6173</v>
      </c>
      <c r="I42" s="63">
        <v>4335.0</v>
      </c>
      <c r="J42" s="21">
        <f t="shared" si="3"/>
        <v>2408.8</v>
      </c>
      <c r="K42" s="22">
        <f>(F42/(VLOOKUP("Colombia",Poblacion!$A$2:$B$5,2,0)))*100000</f>
        <v>3.308245738</v>
      </c>
      <c r="L42" s="22">
        <f>(J42/(VLOOKUP("Colombia",Poblacion!$A$2:$B$5,2,0)))*100000</f>
        <v>4.698645244</v>
      </c>
      <c r="M42" s="22">
        <f t="shared" ref="M42:N42" si="43">K42+M41</f>
        <v>82.25945225</v>
      </c>
      <c r="N42" s="22">
        <f t="shared" si="43"/>
        <v>123.751798</v>
      </c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tr">
        <f>IFERROR(__xludf.DUMMYFUNCTION("""COMPUTED_VALUE"""),"Colombia")</f>
        <v>Colombia</v>
      </c>
      <c r="B43" s="18">
        <f>IFERROR(__xludf.DUMMYFUNCTION("""COMPUTED_VALUE"""),44193.0)</f>
        <v>44193</v>
      </c>
      <c r="C43" s="19">
        <f>IFERROR(__xludf.DUMMYFUNCTION("""COMPUTED_VALUE"""),44199.0)</f>
        <v>44199</v>
      </c>
      <c r="D43" s="17">
        <f>IFERROR(__xludf.DUMMYFUNCTION("""COMPUTED_VALUE"""),53.0)</f>
        <v>53</v>
      </c>
      <c r="E43" s="17">
        <f>IFERROR(__xludf.DUMMYFUNCTION("""COMPUTED_VALUE"""),7814.0)</f>
        <v>7814</v>
      </c>
      <c r="F43" s="17">
        <f>IFERROR(__xludf.DUMMYFUNCTION("""COMPUTED_VALUE"""),1794.0)</f>
        <v>1794</v>
      </c>
      <c r="G43" s="62">
        <v>42.0</v>
      </c>
      <c r="H43" s="86">
        <f t="shared" si="2"/>
        <v>6190</v>
      </c>
      <c r="I43" s="63">
        <v>4321.4</v>
      </c>
      <c r="J43" s="21">
        <f t="shared" si="3"/>
        <v>3205</v>
      </c>
      <c r="K43" s="22">
        <f>(F43/(VLOOKUP("Colombia",Poblacion!$A$2:$B$5,2,0)))*100000</f>
        <v>3.499406164</v>
      </c>
      <c r="L43" s="22">
        <f>(J43/(VLOOKUP("Colombia",Poblacion!$A$2:$B$5,2,0)))*100000</f>
        <v>6.251726174</v>
      </c>
      <c r="M43" s="22">
        <f t="shared" ref="M43:N43" si="44">K43+M42</f>
        <v>85.75885842</v>
      </c>
      <c r="N43" s="22">
        <f t="shared" si="44"/>
        <v>130.0035242</v>
      </c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tr">
        <f>IFERROR(__xludf.DUMMYFUNCTION("""COMPUTED_VALUE"""),"Colombia")</f>
        <v>Colombia</v>
      </c>
      <c r="B44" s="18">
        <f>IFERROR(__xludf.DUMMYFUNCTION("""COMPUTED_VALUE"""),44200.0)</f>
        <v>44200</v>
      </c>
      <c r="C44" s="19">
        <f>IFERROR(__xludf.DUMMYFUNCTION("""COMPUTED_VALUE"""),44206.0)</f>
        <v>44206</v>
      </c>
      <c r="D44" s="17">
        <f>IFERROR(__xludf.DUMMYFUNCTION("""COMPUTED_VALUE"""),1.0)</f>
        <v>1</v>
      </c>
      <c r="E44" s="17">
        <f>IFERROR(__xludf.DUMMYFUNCTION("""COMPUTED_VALUE"""),7964.0)</f>
        <v>7964</v>
      </c>
      <c r="F44" s="17">
        <f>IFERROR(__xludf.DUMMYFUNCTION("""COMPUTED_VALUE"""),2149.0)</f>
        <v>2149</v>
      </c>
      <c r="G44" s="62">
        <v>43.0</v>
      </c>
      <c r="H44" s="86">
        <f t="shared" si="2"/>
        <v>6303</v>
      </c>
      <c r="I44" s="63">
        <v>4239.4</v>
      </c>
      <c r="J44" s="21">
        <f t="shared" si="3"/>
        <v>3110.666667</v>
      </c>
      <c r="K44" s="22">
        <f>(F44/(VLOOKUP("Colombia",Poblacion!$A$2:$B$5,2,0)))*100000</f>
        <v>4.191875054</v>
      </c>
      <c r="L44" s="22">
        <f>(J44/(VLOOKUP("Colombia",Poblacion!$A$2:$B$5,2,0)))*100000</f>
        <v>6.067718009</v>
      </c>
      <c r="M44" s="22">
        <f t="shared" ref="M44:N44" si="45">K44+M43</f>
        <v>89.95073347</v>
      </c>
      <c r="N44" s="22">
        <f t="shared" si="45"/>
        <v>136.0712422</v>
      </c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tr">
        <f>IFERROR(__xludf.DUMMYFUNCTION("""COMPUTED_VALUE"""),"Colombia")</f>
        <v>Colombia</v>
      </c>
      <c r="B45" s="18">
        <f>IFERROR(__xludf.DUMMYFUNCTION("""COMPUTED_VALUE"""),44207.0)</f>
        <v>44207</v>
      </c>
      <c r="C45" s="19">
        <f>IFERROR(__xludf.DUMMYFUNCTION("""COMPUTED_VALUE"""),44213.0)</f>
        <v>44213</v>
      </c>
      <c r="D45" s="17">
        <f>IFERROR(__xludf.DUMMYFUNCTION("""COMPUTED_VALUE"""),2.0)</f>
        <v>2</v>
      </c>
      <c r="E45" s="17">
        <f>IFERROR(__xludf.DUMMYFUNCTION("""COMPUTED_VALUE"""),8440.0)</f>
        <v>8440</v>
      </c>
      <c r="F45" s="17">
        <f>IFERROR(__xludf.DUMMYFUNCTION("""COMPUTED_VALUE"""),2517.0)</f>
        <v>2517</v>
      </c>
      <c r="G45" s="62">
        <v>44.0</v>
      </c>
      <c r="H45" s="86">
        <f t="shared" si="2"/>
        <v>6080</v>
      </c>
      <c r="I45" s="63">
        <v>4357.2</v>
      </c>
      <c r="J45" s="21">
        <f t="shared" si="3"/>
        <v>3779.333333</v>
      </c>
      <c r="K45" s="22">
        <f>(F45/(VLOOKUP("Colombia",Poblacion!$A$2:$B$5,2,0)))*100000</f>
        <v>4.909701959</v>
      </c>
      <c r="L45" s="22">
        <f>(J45/(VLOOKUP("Colombia",Poblacion!$A$2:$B$5,2,0)))*100000</f>
        <v>7.372030302</v>
      </c>
      <c r="M45" s="22">
        <f t="shared" ref="M45:N45" si="46">K45+M44</f>
        <v>94.86043543</v>
      </c>
      <c r="N45" s="22">
        <f t="shared" si="46"/>
        <v>143.4432725</v>
      </c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tr">
        <f>IFERROR(__xludf.DUMMYFUNCTION("""COMPUTED_VALUE"""),"Colombia")</f>
        <v>Colombia</v>
      </c>
      <c r="B46" s="18">
        <f>IFERROR(__xludf.DUMMYFUNCTION("""COMPUTED_VALUE"""),44214.0)</f>
        <v>44214</v>
      </c>
      <c r="C46" s="19">
        <f>IFERROR(__xludf.DUMMYFUNCTION("""COMPUTED_VALUE"""),44220.0)</f>
        <v>44220</v>
      </c>
      <c r="D46" s="17">
        <f>IFERROR(__xludf.DUMMYFUNCTION("""COMPUTED_VALUE"""),3.0)</f>
        <v>3</v>
      </c>
      <c r="E46" s="17">
        <f>IFERROR(__xludf.DUMMYFUNCTION("""COMPUTED_VALUE"""),8479.0)</f>
        <v>8479</v>
      </c>
      <c r="F46" s="17">
        <f>IFERROR(__xludf.DUMMYFUNCTION("""COMPUTED_VALUE"""),2743.0)</f>
        <v>2743</v>
      </c>
      <c r="G46" s="62">
        <v>45.0</v>
      </c>
      <c r="H46" s="86">
        <f t="shared" si="2"/>
        <v>6252</v>
      </c>
      <c r="I46" s="63">
        <v>4379.8</v>
      </c>
      <c r="J46" s="21">
        <f t="shared" si="3"/>
        <v>3825.833333</v>
      </c>
      <c r="K46" s="22">
        <f>(F46/(VLOOKUP("Colombia",Poblacion!$A$2:$B$5,2,0)))*100000</f>
        <v>5.350541309</v>
      </c>
      <c r="L46" s="22">
        <f>(J46/(VLOOKUP("Colombia",Poblacion!$A$2:$B$5,2,0)))*100000</f>
        <v>7.462733974</v>
      </c>
      <c r="M46" s="22">
        <f t="shared" ref="M46:N46" si="47">K46+M45</f>
        <v>100.2109767</v>
      </c>
      <c r="N46" s="22">
        <f t="shared" si="47"/>
        <v>150.9060065</v>
      </c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tr">
        <f>IFERROR(__xludf.DUMMYFUNCTION("""COMPUTED_VALUE"""),"Colombia")</f>
        <v>Colombia</v>
      </c>
      <c r="B47" s="18">
        <f>IFERROR(__xludf.DUMMYFUNCTION("""COMPUTED_VALUE"""),44221.0)</f>
        <v>44221</v>
      </c>
      <c r="C47" s="19">
        <f>IFERROR(__xludf.DUMMYFUNCTION("""COMPUTED_VALUE"""),44227.0)</f>
        <v>44227</v>
      </c>
      <c r="D47" s="17">
        <f>IFERROR(__xludf.DUMMYFUNCTION("""COMPUTED_VALUE"""),4.0)</f>
        <v>4</v>
      </c>
      <c r="E47" s="17">
        <f>IFERROR(__xludf.DUMMYFUNCTION("""COMPUTED_VALUE"""),7676.0)</f>
        <v>7676</v>
      </c>
      <c r="F47" s="17">
        <f>IFERROR(__xludf.DUMMYFUNCTION("""COMPUTED_VALUE"""),2609.0)</f>
        <v>2609</v>
      </c>
      <c r="G47" s="62">
        <v>46.0</v>
      </c>
      <c r="H47" s="86">
        <f t="shared" si="2"/>
        <v>6119</v>
      </c>
      <c r="I47" s="63">
        <v>4391.4</v>
      </c>
      <c r="J47" s="21">
        <f t="shared" si="3"/>
        <v>3156.5</v>
      </c>
      <c r="K47" s="22">
        <f>(F47/(VLOOKUP("Colombia",Poblacion!$A$2:$B$5,2,0)))*100000</f>
        <v>5.089158686</v>
      </c>
      <c r="L47" s="22">
        <f>(J47/(VLOOKUP("Colombia",Poblacion!$A$2:$B$5,2,0)))*100000</f>
        <v>6.157121269</v>
      </c>
      <c r="M47" s="22">
        <f t="shared" ref="M47:N47" si="48">K47+M46</f>
        <v>105.3001354</v>
      </c>
      <c r="N47" s="22">
        <f t="shared" si="48"/>
        <v>157.0631277</v>
      </c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tr">
        <f>IFERROR(__xludf.DUMMYFUNCTION("""COMPUTED_VALUE"""),"Colombia")</f>
        <v>Colombia</v>
      </c>
      <c r="B48" s="18">
        <f>IFERROR(__xludf.DUMMYFUNCTION("""COMPUTED_VALUE"""),44228.0)</f>
        <v>44228</v>
      </c>
      <c r="C48" s="19">
        <f>IFERROR(__xludf.DUMMYFUNCTION("""COMPUTED_VALUE"""),44234.0)</f>
        <v>44234</v>
      </c>
      <c r="D48" s="17">
        <f>IFERROR(__xludf.DUMMYFUNCTION("""COMPUTED_VALUE"""),5.0)</f>
        <v>5</v>
      </c>
      <c r="E48" s="17">
        <f>IFERROR(__xludf.DUMMYFUNCTION("""COMPUTED_VALUE"""),7029.0)</f>
        <v>7029</v>
      </c>
      <c r="F48" s="17">
        <f>IFERROR(__xludf.DUMMYFUNCTION("""COMPUTED_VALUE"""),2010.0)</f>
        <v>2010</v>
      </c>
      <c r="G48" s="62">
        <v>47.0</v>
      </c>
      <c r="H48" s="86">
        <f t="shared" si="2"/>
        <v>6242</v>
      </c>
      <c r="I48" s="63">
        <v>4422.0</v>
      </c>
      <c r="J48" s="21">
        <f t="shared" si="3"/>
        <v>2622.666667</v>
      </c>
      <c r="K48" s="22">
        <f>(F48/(VLOOKUP("Colombia",Poblacion!$A$2:$B$5,2,0)))*100000</f>
        <v>3.920739348</v>
      </c>
      <c r="L48" s="22">
        <f>(J48/(VLOOKUP("Colombia",Poblacion!$A$2:$B$5,2,0)))*100000</f>
        <v>5.115817112</v>
      </c>
      <c r="M48" s="22">
        <f t="shared" ref="M48:N48" si="49">K48+M47</f>
        <v>109.2208748</v>
      </c>
      <c r="N48" s="22">
        <f t="shared" si="49"/>
        <v>162.1789448</v>
      </c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tr">
        <f>IFERROR(__xludf.DUMMYFUNCTION("""COMPUTED_VALUE"""),"Colombia")</f>
        <v>Colombia</v>
      </c>
      <c r="B49" s="18">
        <f>IFERROR(__xludf.DUMMYFUNCTION("""COMPUTED_VALUE"""),44235.0)</f>
        <v>44235</v>
      </c>
      <c r="C49" s="19">
        <f>IFERROR(__xludf.DUMMYFUNCTION("""COMPUTED_VALUE"""),44241.0)</f>
        <v>44241</v>
      </c>
      <c r="D49" s="17">
        <f>IFERROR(__xludf.DUMMYFUNCTION("""COMPUTED_VALUE"""),6.0)</f>
        <v>6</v>
      </c>
      <c r="E49" s="17">
        <f>IFERROR(__xludf.DUMMYFUNCTION("""COMPUTED_VALUE"""),6341.0)</f>
        <v>6341</v>
      </c>
      <c r="F49" s="17">
        <f>IFERROR(__xludf.DUMMYFUNCTION("""COMPUTED_VALUE"""),1612.0)</f>
        <v>1612</v>
      </c>
      <c r="G49" s="62">
        <v>48.0</v>
      </c>
      <c r="H49" s="86">
        <f t="shared" si="2"/>
        <v>6266</v>
      </c>
      <c r="I49" s="63">
        <v>4471.6</v>
      </c>
      <c r="J49" s="21">
        <f t="shared" si="3"/>
        <v>1965.833333</v>
      </c>
      <c r="K49" s="22">
        <f>(F49/(VLOOKUP("Colombia",Poblacion!$A$2:$B$5,2,0)))*100000</f>
        <v>3.144393944</v>
      </c>
      <c r="L49" s="22">
        <f>(J49/(VLOOKUP("Colombia",Poblacion!$A$2:$B$5,2,0)))*100000</f>
        <v>3.834587115</v>
      </c>
      <c r="M49" s="22">
        <f t="shared" ref="M49:N49" si="50">K49+M48</f>
        <v>112.3652687</v>
      </c>
      <c r="N49" s="22">
        <f t="shared" si="50"/>
        <v>166.013532</v>
      </c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tr">
        <f>IFERROR(__xludf.DUMMYFUNCTION("""COMPUTED_VALUE"""),"Colombia")</f>
        <v>Colombia</v>
      </c>
      <c r="B50" s="18">
        <f>IFERROR(__xludf.DUMMYFUNCTION("""COMPUTED_VALUE"""),44242.0)</f>
        <v>44242</v>
      </c>
      <c r="C50" s="19">
        <f>IFERROR(__xludf.DUMMYFUNCTION("""COMPUTED_VALUE"""),44248.0)</f>
        <v>44248</v>
      </c>
      <c r="D50" s="17">
        <f>IFERROR(__xludf.DUMMYFUNCTION("""COMPUTED_VALUE"""),7.0)</f>
        <v>7</v>
      </c>
      <c r="E50" s="17">
        <f>IFERROR(__xludf.DUMMYFUNCTION("""COMPUTED_VALUE"""),5915.0)</f>
        <v>5915</v>
      </c>
      <c r="F50" s="17">
        <f>IFERROR(__xludf.DUMMYFUNCTION("""COMPUTED_VALUE"""),1229.0)</f>
        <v>1229</v>
      </c>
      <c r="G50" s="62">
        <v>49.0</v>
      </c>
      <c r="H50" s="86">
        <f t="shared" si="2"/>
        <v>6206</v>
      </c>
      <c r="I50" s="63">
        <v>4591.4</v>
      </c>
      <c r="J50" s="21">
        <f t="shared" si="3"/>
        <v>1590.5</v>
      </c>
      <c r="K50" s="22">
        <f>(F50/(VLOOKUP("Colombia",Poblacion!$A$2:$B$5,2,0)))*100000</f>
        <v>2.39730779</v>
      </c>
      <c r="L50" s="22">
        <f>(J50/(VLOOKUP("Colombia",Poblacion!$A$2:$B$5,2,0)))*100000</f>
        <v>3.102455688</v>
      </c>
      <c r="M50" s="22">
        <f t="shared" ref="M50:N50" si="51">K50+M49</f>
        <v>114.7625765</v>
      </c>
      <c r="N50" s="22">
        <f t="shared" si="51"/>
        <v>169.1159876</v>
      </c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tr">
        <f>IFERROR(__xludf.DUMMYFUNCTION("""COMPUTED_VALUE"""),"Colombia")</f>
        <v>Colombia</v>
      </c>
      <c r="B51" s="18">
        <f>IFERROR(__xludf.DUMMYFUNCTION("""COMPUTED_VALUE"""),44249.0)</f>
        <v>44249</v>
      </c>
      <c r="C51" s="19">
        <f>IFERROR(__xludf.DUMMYFUNCTION("""COMPUTED_VALUE"""),44255.0)</f>
        <v>44255</v>
      </c>
      <c r="D51" s="17">
        <f>IFERROR(__xludf.DUMMYFUNCTION("""COMPUTED_VALUE"""),8.0)</f>
        <v>8</v>
      </c>
      <c r="E51" s="17">
        <f>IFERROR(__xludf.DUMMYFUNCTION("""COMPUTED_VALUE"""),5564.0)</f>
        <v>5564</v>
      </c>
      <c r="F51" s="17">
        <f>IFERROR(__xludf.DUMMYFUNCTION("""COMPUTED_VALUE"""),932.0)</f>
        <v>932</v>
      </c>
      <c r="G51" s="62">
        <v>50.0</v>
      </c>
      <c r="H51" s="86">
        <f t="shared" si="2"/>
        <v>6640</v>
      </c>
      <c r="I51" s="63">
        <v>4597.2</v>
      </c>
      <c r="J51" s="21">
        <f t="shared" si="3"/>
        <v>1256.666667</v>
      </c>
      <c r="K51" s="22">
        <f>(F51/(VLOOKUP("Colombia",Poblacion!$A$2:$B$5,2,0)))*100000</f>
        <v>1.817974663</v>
      </c>
      <c r="L51" s="22">
        <f>(J51/(VLOOKUP("Colombia",Poblacion!$A$2:$B$5,2,0)))*100000</f>
        <v>2.451274849</v>
      </c>
      <c r="M51" s="22">
        <f t="shared" ref="M51:N51" si="52">K51+M50</f>
        <v>116.5805512</v>
      </c>
      <c r="N51" s="22">
        <f t="shared" si="52"/>
        <v>171.5672625</v>
      </c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tr">
        <f>IFERROR(__xludf.DUMMYFUNCTION("""COMPUTED_VALUE"""),"Colombia")</f>
        <v>Colombia</v>
      </c>
      <c r="B52" s="18">
        <f>IFERROR(__xludf.DUMMYFUNCTION("""COMPUTED_VALUE"""),44256.0)</f>
        <v>44256</v>
      </c>
      <c r="C52" s="19">
        <f>IFERROR(__xludf.DUMMYFUNCTION("""COMPUTED_VALUE"""),44262.0)</f>
        <v>44262</v>
      </c>
      <c r="D52" s="17">
        <f>IFERROR(__xludf.DUMMYFUNCTION("""COMPUTED_VALUE"""),9.0)</f>
        <v>9</v>
      </c>
      <c r="E52" s="17">
        <f>IFERROR(__xludf.DUMMYFUNCTION("""COMPUTED_VALUE"""),5562.0)</f>
        <v>5562</v>
      </c>
      <c r="F52" s="17">
        <f>IFERROR(__xludf.DUMMYFUNCTION("""COMPUTED_VALUE"""),737.0)</f>
        <v>737</v>
      </c>
      <c r="G52" s="62">
        <v>51.0</v>
      </c>
      <c r="H52" s="86">
        <f t="shared" si="2"/>
        <v>6687</v>
      </c>
      <c r="I52" s="63">
        <v>4619.6</v>
      </c>
      <c r="J52" s="21">
        <f t="shared" si="3"/>
        <v>1250</v>
      </c>
      <c r="K52" s="22">
        <f>(F52/(VLOOKUP("Colombia",Poblacion!$A$2:$B$5,2,0)))*100000</f>
        <v>1.437604427</v>
      </c>
      <c r="L52" s="22">
        <f>(J52/(VLOOKUP("Colombia",Poblacion!$A$2:$B$5,2,0)))*100000</f>
        <v>2.438270739</v>
      </c>
      <c r="M52" s="22">
        <f t="shared" ref="M52:N52" si="53">K52+M51</f>
        <v>118.0181556</v>
      </c>
      <c r="N52" s="22">
        <f t="shared" si="53"/>
        <v>174.0055332</v>
      </c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tr">
        <f>IFERROR(__xludf.DUMMYFUNCTION("""COMPUTED_VALUE"""),"Colombia")</f>
        <v>Colombia</v>
      </c>
      <c r="B53" s="18">
        <f>IFERROR(__xludf.DUMMYFUNCTION("""COMPUTED_VALUE"""),44263.0)</f>
        <v>44263</v>
      </c>
      <c r="C53" s="19">
        <f>IFERROR(__xludf.DUMMYFUNCTION("""COMPUTED_VALUE"""),44269.0)</f>
        <v>44269</v>
      </c>
      <c r="D53" s="17">
        <f>IFERROR(__xludf.DUMMYFUNCTION("""COMPUTED_VALUE"""),10.0)</f>
        <v>10</v>
      </c>
      <c r="E53" s="17">
        <f>IFERROR(__xludf.DUMMYFUNCTION("""COMPUTED_VALUE"""),5315.0)</f>
        <v>5315</v>
      </c>
      <c r="F53" s="17">
        <f>IFERROR(__xludf.DUMMYFUNCTION("""COMPUTED_VALUE"""),640.0)</f>
        <v>640</v>
      </c>
      <c r="G53" s="62">
        <v>52.0</v>
      </c>
      <c r="H53" s="86">
        <f t="shared" si="2"/>
        <v>7203</v>
      </c>
      <c r="I53" s="63">
        <v>4794.2</v>
      </c>
      <c r="J53" s="21">
        <f t="shared" si="3"/>
        <v>973.3333333</v>
      </c>
      <c r="K53" s="22">
        <f>(F53/(VLOOKUP("Colombia",Poblacion!$A$2:$B$5,2,0)))*100000</f>
        <v>1.248394618</v>
      </c>
      <c r="L53" s="22">
        <f>(J53/(VLOOKUP("Colombia",Poblacion!$A$2:$B$5,2,0)))*100000</f>
        <v>1.898600148</v>
      </c>
      <c r="M53" s="22">
        <f t="shared" ref="M53:N53" si="54">K53+M52</f>
        <v>119.2665502</v>
      </c>
      <c r="N53" s="22">
        <f t="shared" si="54"/>
        <v>175.9041334</v>
      </c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tr">
        <f>IFERROR(__xludf.DUMMYFUNCTION("""COMPUTED_VALUE"""),"Colombia")</f>
        <v>Colombia</v>
      </c>
      <c r="B54" s="18">
        <f>IFERROR(__xludf.DUMMYFUNCTION("""COMPUTED_VALUE"""),44270.0)</f>
        <v>44270</v>
      </c>
      <c r="C54" s="19">
        <f>IFERROR(__xludf.DUMMYFUNCTION("""COMPUTED_VALUE"""),44276.0)</f>
        <v>44276</v>
      </c>
      <c r="D54" s="17">
        <f>IFERROR(__xludf.DUMMYFUNCTION("""COMPUTED_VALUE"""),11.0)</f>
        <v>11</v>
      </c>
      <c r="E54" s="17">
        <f>IFERROR(__xludf.DUMMYFUNCTION("""COMPUTED_VALUE"""),5569.0)</f>
        <v>5569</v>
      </c>
      <c r="F54" s="17">
        <f>IFERROR(__xludf.DUMMYFUNCTION("""COMPUTED_VALUE"""),885.0)</f>
        <v>885</v>
      </c>
      <c r="G54" s="62">
        <v>53.0</v>
      </c>
      <c r="H54" s="86">
        <f t="shared" si="2"/>
        <v>7814</v>
      </c>
      <c r="I54" s="63">
        <v>4609.0</v>
      </c>
      <c r="J54" s="21">
        <f t="shared" si="3"/>
        <v>1203</v>
      </c>
      <c r="K54" s="22">
        <f>(F54/(VLOOKUP("Colombia",Poblacion!$A$2:$B$5,2,0)))*100000</f>
        <v>1.726295683</v>
      </c>
      <c r="L54" s="22">
        <f>(J54/(VLOOKUP("Colombia",Poblacion!$A$2:$B$5,2,0)))*100000</f>
        <v>2.346591759</v>
      </c>
      <c r="M54" s="22">
        <f t="shared" ref="M54:N54" si="55">K54+M53</f>
        <v>120.9928459</v>
      </c>
      <c r="N54" s="22">
        <f t="shared" si="55"/>
        <v>178.2507251</v>
      </c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tr">
        <f>IFERROR(__xludf.DUMMYFUNCTION("""COMPUTED_VALUE"""),"Colombia")</f>
        <v>Colombia</v>
      </c>
      <c r="B55" s="18">
        <f>IFERROR(__xludf.DUMMYFUNCTION("""COMPUTED_VALUE"""),44277.0)</f>
        <v>44277</v>
      </c>
      <c r="C55" s="19">
        <f>IFERROR(__xludf.DUMMYFUNCTION("""COMPUTED_VALUE"""),44283.0)</f>
        <v>44283</v>
      </c>
      <c r="D55" s="17">
        <f>IFERROR(__xludf.DUMMYFUNCTION("""COMPUTED_VALUE"""),12.0)</f>
        <v>12</v>
      </c>
      <c r="E55" s="17">
        <f>IFERROR(__xludf.DUMMYFUNCTION("""COMPUTED_VALUE"""),5958.0)</f>
        <v>5958</v>
      </c>
      <c r="F55" s="17">
        <f>IFERROR(__xludf.DUMMYFUNCTION("""COMPUTED_VALUE"""),927.0)</f>
        <v>927</v>
      </c>
      <c r="G55" s="75"/>
      <c r="H55" s="87"/>
      <c r="I55" s="75"/>
      <c r="J55" s="21">
        <f t="shared" si="3"/>
        <v>1661.2</v>
      </c>
      <c r="K55" s="22">
        <f>(F55/(VLOOKUP("Colombia",Poblacion!$A$2:$B$5,2,0)))*100000</f>
        <v>1.80822158</v>
      </c>
      <c r="L55" s="22">
        <f>(J55/(VLOOKUP("Colombia",Poblacion!$A$2:$B$5,2,0)))*100000</f>
        <v>3.240364281</v>
      </c>
      <c r="M55" s="22">
        <f t="shared" ref="M55:N55" si="56">K55+M54</f>
        <v>122.8010675</v>
      </c>
      <c r="N55" s="22">
        <f t="shared" si="56"/>
        <v>181.4910894</v>
      </c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tr">
        <f>IFERROR(__xludf.DUMMYFUNCTION("""COMPUTED_VALUE"""),"Colombia")</f>
        <v>Colombia</v>
      </c>
      <c r="B56" s="18">
        <f>IFERROR(__xludf.DUMMYFUNCTION("""COMPUTED_VALUE"""),44284.0)</f>
        <v>44284</v>
      </c>
      <c r="C56" s="19">
        <f>IFERROR(__xludf.DUMMYFUNCTION("""COMPUTED_VALUE"""),44290.0)</f>
        <v>44290</v>
      </c>
      <c r="D56" s="17">
        <f>IFERROR(__xludf.DUMMYFUNCTION("""COMPUTED_VALUE"""),13.0)</f>
        <v>13</v>
      </c>
      <c r="E56" s="17">
        <f>IFERROR(__xludf.DUMMYFUNCTION("""COMPUTED_VALUE"""),6473.0)</f>
        <v>6473</v>
      </c>
      <c r="F56" s="17">
        <f>IFERROR(__xludf.DUMMYFUNCTION("""COMPUTED_VALUE"""),1139.0)</f>
        <v>1139</v>
      </c>
      <c r="G56" s="75"/>
      <c r="H56" s="87"/>
      <c r="I56" s="75"/>
      <c r="J56" s="21">
        <f t="shared" si="3"/>
        <v>2156.6</v>
      </c>
      <c r="K56" s="22">
        <f>(F56/(VLOOKUP("Colombia",Poblacion!$A$2:$B$5,2,0)))*100000</f>
        <v>2.221752297</v>
      </c>
      <c r="L56" s="22">
        <f>(J56/(VLOOKUP("Colombia",Poblacion!$A$2:$B$5,2,0)))*100000</f>
        <v>4.20669974</v>
      </c>
      <c r="M56" s="22">
        <f t="shared" ref="M56:N56" si="57">K56+M55</f>
        <v>125.0228198</v>
      </c>
      <c r="N56" s="22">
        <f t="shared" si="57"/>
        <v>185.6977892</v>
      </c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tr">
        <f>IFERROR(__xludf.DUMMYFUNCTION("""COMPUTED_VALUE"""),"Colombia")</f>
        <v>Colombia</v>
      </c>
      <c r="B57" s="18">
        <f>IFERROR(__xludf.DUMMYFUNCTION("""COMPUTED_VALUE"""),44291.0)</f>
        <v>44291</v>
      </c>
      <c r="C57" s="19">
        <f>IFERROR(__xludf.DUMMYFUNCTION("""COMPUTED_VALUE"""),44297.0)</f>
        <v>44297</v>
      </c>
      <c r="D57" s="17">
        <f>IFERROR(__xludf.DUMMYFUNCTION("""COMPUTED_VALUE"""),14.0)</f>
        <v>14</v>
      </c>
      <c r="E57" s="17">
        <f>IFERROR(__xludf.DUMMYFUNCTION("""COMPUTED_VALUE"""),7210.0)</f>
        <v>7210</v>
      </c>
      <c r="F57" s="17">
        <f>IFERROR(__xludf.DUMMYFUNCTION("""COMPUTED_VALUE"""),1795.0)</f>
        <v>1795</v>
      </c>
      <c r="G57" s="75"/>
      <c r="H57" s="87"/>
      <c r="I57" s="75"/>
      <c r="J57" s="21">
        <f t="shared" si="3"/>
        <v>2932</v>
      </c>
      <c r="K57" s="22">
        <f>(F57/(VLOOKUP("Colombia",Poblacion!$A$2:$B$5,2,0)))*100000</f>
        <v>3.501356781</v>
      </c>
      <c r="L57" s="22">
        <f>(J57/(VLOOKUP("Colombia",Poblacion!$A$2:$B$5,2,0)))*100000</f>
        <v>5.719207844</v>
      </c>
      <c r="M57" s="22">
        <f t="shared" ref="M57:N57" si="58">K57+M56</f>
        <v>128.5241766</v>
      </c>
      <c r="N57" s="22">
        <f t="shared" si="58"/>
        <v>191.416997</v>
      </c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tr">
        <f>IFERROR(__xludf.DUMMYFUNCTION("""COMPUTED_VALUE"""),"Colombia")</f>
        <v>Colombia</v>
      </c>
      <c r="B58" s="18">
        <f>IFERROR(__xludf.DUMMYFUNCTION("""COMPUTED_VALUE"""),44298.0)</f>
        <v>44298</v>
      </c>
      <c r="C58" s="19">
        <f>IFERROR(__xludf.DUMMYFUNCTION("""COMPUTED_VALUE"""),44304.0)</f>
        <v>44304</v>
      </c>
      <c r="D58" s="17">
        <f>IFERROR(__xludf.DUMMYFUNCTION("""COMPUTED_VALUE"""),15.0)</f>
        <v>15</v>
      </c>
      <c r="E58" s="17">
        <f>IFERROR(__xludf.DUMMYFUNCTION("""COMPUTED_VALUE"""),8440.0)</f>
        <v>8440</v>
      </c>
      <c r="F58" s="17">
        <f>IFERROR(__xludf.DUMMYFUNCTION("""COMPUTED_VALUE"""),2439.0)</f>
        <v>2439</v>
      </c>
      <c r="G58" s="75"/>
      <c r="H58" s="87"/>
      <c r="I58" s="75"/>
      <c r="J58" s="21">
        <f t="shared" si="3"/>
        <v>4185</v>
      </c>
      <c r="K58" s="22">
        <f>(F58/(VLOOKUP("Colombia",Poblacion!$A$2:$B$5,2,0)))*100000</f>
        <v>4.757553865</v>
      </c>
      <c r="L58" s="22">
        <f>(J58/(VLOOKUP("Colombia",Poblacion!$A$2:$B$5,2,0)))*100000</f>
        <v>8.163330433</v>
      </c>
      <c r="M58" s="22">
        <f t="shared" ref="M58:N58" si="59">K58+M57</f>
        <v>133.2817304</v>
      </c>
      <c r="N58" s="22">
        <f t="shared" si="59"/>
        <v>199.5803274</v>
      </c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tr">
        <f>IFERROR(__xludf.DUMMYFUNCTION("""COMPUTED_VALUE"""),"Colombia")</f>
        <v>Colombia</v>
      </c>
      <c r="B59" s="18">
        <f>IFERROR(__xludf.DUMMYFUNCTION("""COMPUTED_VALUE"""),44305.0)</f>
        <v>44305</v>
      </c>
      <c r="C59" s="19">
        <f>IFERROR(__xludf.DUMMYFUNCTION("""COMPUTED_VALUE"""),44311.0)</f>
        <v>44311</v>
      </c>
      <c r="D59" s="17">
        <f>IFERROR(__xludf.DUMMYFUNCTION("""COMPUTED_VALUE"""),16.0)</f>
        <v>16</v>
      </c>
      <c r="E59" s="17">
        <f>IFERROR(__xludf.DUMMYFUNCTION("""COMPUTED_VALUE"""),8775.0)</f>
        <v>8775</v>
      </c>
      <c r="F59" s="17">
        <f>IFERROR(__xludf.DUMMYFUNCTION("""COMPUTED_VALUE"""),3023.0)</f>
        <v>3023</v>
      </c>
      <c r="G59" s="75"/>
      <c r="H59" s="87"/>
      <c r="I59" s="75"/>
      <c r="J59" s="21">
        <f t="shared" si="3"/>
        <v>4512.2</v>
      </c>
      <c r="K59" s="22">
        <f>(F59/(VLOOKUP("Colombia",Poblacion!$A$2:$B$5,2,0)))*100000</f>
        <v>5.896713954</v>
      </c>
      <c r="L59" s="22">
        <f>(J59/(VLOOKUP("Colombia",Poblacion!$A$2:$B$5,2,0)))*100000</f>
        <v>8.801572181</v>
      </c>
      <c r="M59" s="22">
        <f t="shared" ref="M59:N59" si="60">K59+M58</f>
        <v>139.1784444</v>
      </c>
      <c r="N59" s="22">
        <f t="shared" si="60"/>
        <v>208.3818996</v>
      </c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tr">
        <f>IFERROR(__xludf.DUMMYFUNCTION("""COMPUTED_VALUE"""),"Colombia")</f>
        <v>Colombia</v>
      </c>
      <c r="B60" s="18">
        <f>IFERROR(__xludf.DUMMYFUNCTION("""COMPUTED_VALUE"""),44312.0)</f>
        <v>44312</v>
      </c>
      <c r="C60" s="19">
        <f>IFERROR(__xludf.DUMMYFUNCTION("""COMPUTED_VALUE"""),44318.0)</f>
        <v>44318</v>
      </c>
      <c r="D60" s="17">
        <f>IFERROR(__xludf.DUMMYFUNCTION("""COMPUTED_VALUE"""),17.0)</f>
        <v>17</v>
      </c>
      <c r="E60" s="17">
        <f>IFERROR(__xludf.DUMMYFUNCTION("""COMPUTED_VALUE"""),8789.0)</f>
        <v>8789</v>
      </c>
      <c r="F60" s="17">
        <f>IFERROR(__xludf.DUMMYFUNCTION("""COMPUTED_VALUE"""),3126.0)</f>
        <v>3126</v>
      </c>
      <c r="G60" s="75"/>
      <c r="H60" s="87"/>
      <c r="I60" s="75"/>
      <c r="J60" s="21">
        <f t="shared" si="3"/>
        <v>4526</v>
      </c>
      <c r="K60" s="22">
        <f>(F60/(VLOOKUP("Colombia",Poblacion!$A$2:$B$5,2,0)))*100000</f>
        <v>6.097627463</v>
      </c>
      <c r="L60" s="22">
        <f>(J60/(VLOOKUP("Colombia",Poblacion!$A$2:$B$5,2,0)))*100000</f>
        <v>8.82849069</v>
      </c>
      <c r="M60" s="22">
        <f t="shared" ref="M60:N60" si="61">K60+M59</f>
        <v>145.2760718</v>
      </c>
      <c r="N60" s="22">
        <f t="shared" si="61"/>
        <v>217.2103903</v>
      </c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tr">
        <f>IFERROR(__xludf.DUMMYFUNCTION("""COMPUTED_VALUE"""),"Colombia")</f>
        <v>Colombia</v>
      </c>
      <c r="B61" s="18">
        <f>IFERROR(__xludf.DUMMYFUNCTION("""COMPUTED_VALUE"""),44319.0)</f>
        <v>44319</v>
      </c>
      <c r="C61" s="19">
        <f>IFERROR(__xludf.DUMMYFUNCTION("""COMPUTED_VALUE"""),44325.0)</f>
        <v>44325</v>
      </c>
      <c r="D61" s="17">
        <f>IFERROR(__xludf.DUMMYFUNCTION("""COMPUTED_VALUE"""),18.0)</f>
        <v>18</v>
      </c>
      <c r="E61" s="17">
        <f>IFERROR(__xludf.DUMMYFUNCTION("""COMPUTED_VALUE"""),8882.0)</f>
        <v>8882</v>
      </c>
      <c r="F61" s="17">
        <f>IFERROR(__xludf.DUMMYFUNCTION("""COMPUTED_VALUE"""),3377.0)</f>
        <v>3377</v>
      </c>
      <c r="G61" s="75"/>
      <c r="H61" s="87"/>
      <c r="I61" s="75"/>
      <c r="J61" s="21">
        <f t="shared" si="3"/>
        <v>4550.8</v>
      </c>
      <c r="K61" s="22">
        <f>(F61/(VLOOKUP("Colombia",Poblacion!$A$2:$B$5,2,0)))*100000</f>
        <v>6.587232227</v>
      </c>
      <c r="L61" s="22">
        <f>(J61/(VLOOKUP("Colombia",Poblacion!$A$2:$B$5,2,0)))*100000</f>
        <v>8.876865982</v>
      </c>
      <c r="M61" s="22">
        <f t="shared" ref="M61:N61" si="62">K61+M60</f>
        <v>151.8633041</v>
      </c>
      <c r="N61" s="22">
        <f t="shared" si="62"/>
        <v>226.0872563</v>
      </c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tr">
        <f>IFERROR(__xludf.DUMMYFUNCTION("""COMPUTED_VALUE"""),"Colombia")</f>
        <v>Colombia</v>
      </c>
      <c r="B62" s="18">
        <f>IFERROR(__xludf.DUMMYFUNCTION("""COMPUTED_VALUE"""),44326.0)</f>
        <v>44326</v>
      </c>
      <c r="C62" s="19">
        <f>IFERROR(__xludf.DUMMYFUNCTION("""COMPUTED_VALUE"""),44332.0)</f>
        <v>44332</v>
      </c>
      <c r="D62" s="17">
        <f>IFERROR(__xludf.DUMMYFUNCTION("""COMPUTED_VALUE"""),19.0)</f>
        <v>19</v>
      </c>
      <c r="E62" s="17">
        <f>IFERROR(__xludf.DUMMYFUNCTION("""COMPUTED_VALUE"""),8988.0)</f>
        <v>8988</v>
      </c>
      <c r="F62" s="17">
        <f>IFERROR(__xludf.DUMMYFUNCTION("""COMPUTED_VALUE"""),3446.0)</f>
        <v>3446</v>
      </c>
      <c r="G62" s="75"/>
      <c r="H62" s="87"/>
      <c r="I62" s="75"/>
      <c r="J62" s="21">
        <f t="shared" si="3"/>
        <v>4619.8</v>
      </c>
      <c r="K62" s="22">
        <f>(F62/(VLOOKUP("Colombia",Poblacion!$A$2:$B$5,2,0)))*100000</f>
        <v>6.721824772</v>
      </c>
      <c r="L62" s="22">
        <f>(J62/(VLOOKUP("Colombia",Poblacion!$A$2:$B$5,2,0)))*100000</f>
        <v>9.011458527</v>
      </c>
      <c r="M62" s="22">
        <f t="shared" ref="M62:N62" si="63">K62+M61</f>
        <v>158.5851288</v>
      </c>
      <c r="N62" s="22">
        <f t="shared" si="63"/>
        <v>235.0987148</v>
      </c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tr">
        <f>IFERROR(__xludf.DUMMYFUNCTION("""COMPUTED_VALUE"""),"Colombia")</f>
        <v>Colombia</v>
      </c>
      <c r="B63" s="18">
        <f>IFERROR(__xludf.DUMMYFUNCTION("""COMPUTED_VALUE"""),44333.0)</f>
        <v>44333</v>
      </c>
      <c r="C63" s="19">
        <f>IFERROR(__xludf.DUMMYFUNCTION("""COMPUTED_VALUE"""),44339.0)</f>
        <v>44339</v>
      </c>
      <c r="D63" s="17">
        <f>IFERROR(__xludf.DUMMYFUNCTION("""COMPUTED_VALUE"""),20.0)</f>
        <v>20</v>
      </c>
      <c r="E63" s="17">
        <f>IFERROR(__xludf.DUMMYFUNCTION("""COMPUTED_VALUE"""),9058.0)</f>
        <v>9058</v>
      </c>
      <c r="F63" s="17">
        <f>IFERROR(__xludf.DUMMYFUNCTION("""COMPUTED_VALUE"""),3424.0)</f>
        <v>3424</v>
      </c>
      <c r="G63" s="75"/>
      <c r="H63" s="87"/>
      <c r="I63" s="75"/>
      <c r="J63" s="21">
        <f t="shared" si="3"/>
        <v>4539.2</v>
      </c>
      <c r="K63" s="22">
        <f>(F63/(VLOOKUP("Colombia",Poblacion!$A$2:$B$5,2,0)))*100000</f>
        <v>6.678911207</v>
      </c>
      <c r="L63" s="22">
        <f>(J63/(VLOOKUP("Colombia",Poblacion!$A$2:$B$5,2,0)))*100000</f>
        <v>8.854238829</v>
      </c>
      <c r="M63" s="22">
        <f t="shared" ref="M63:N63" si="64">K63+M62</f>
        <v>165.26404</v>
      </c>
      <c r="N63" s="22">
        <f t="shared" si="64"/>
        <v>243.9529537</v>
      </c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tr">
        <f>IFERROR(__xludf.DUMMYFUNCTION("""COMPUTED_VALUE"""),"Colombia")</f>
        <v>Colombia</v>
      </c>
      <c r="B64" s="18">
        <f>IFERROR(__xludf.DUMMYFUNCTION("""COMPUTED_VALUE"""),44340.0)</f>
        <v>44340</v>
      </c>
      <c r="C64" s="19">
        <f>IFERROR(__xludf.DUMMYFUNCTION("""COMPUTED_VALUE"""),44346.0)</f>
        <v>44346</v>
      </c>
      <c r="D64" s="17">
        <f>IFERROR(__xludf.DUMMYFUNCTION("""COMPUTED_VALUE"""),21.0)</f>
        <v>21</v>
      </c>
      <c r="E64" s="17">
        <f>IFERROR(__xludf.DUMMYFUNCTION("""COMPUTED_VALUE"""),9296.0)</f>
        <v>9296</v>
      </c>
      <c r="F64" s="17">
        <f>IFERROR(__xludf.DUMMYFUNCTION("""COMPUTED_VALUE"""),3558.0)</f>
        <v>3558</v>
      </c>
      <c r="G64" s="75"/>
      <c r="H64" s="87"/>
      <c r="I64" s="75"/>
      <c r="J64" s="21">
        <f t="shared" si="3"/>
        <v>4817.8</v>
      </c>
      <c r="K64" s="22">
        <f>(F64/(VLOOKUP("Colombia",Poblacion!$A$2:$B$5,2,0)))*100000</f>
        <v>6.94029383</v>
      </c>
      <c r="L64" s="22">
        <f>(J64/(VLOOKUP("Colombia",Poblacion!$A$2:$B$5,2,0)))*100000</f>
        <v>9.397680612</v>
      </c>
      <c r="M64" s="22">
        <f t="shared" ref="M64:N64" si="65">K64+M63</f>
        <v>172.2043339</v>
      </c>
      <c r="N64" s="22">
        <f t="shared" si="65"/>
        <v>253.3506343</v>
      </c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tr">
        <f>IFERROR(__xludf.DUMMYFUNCTION("""COMPUTED_VALUE"""),"Colombia")</f>
        <v>Colombia</v>
      </c>
      <c r="B65" s="18">
        <f>IFERROR(__xludf.DUMMYFUNCTION("""COMPUTED_VALUE"""),44347.0)</f>
        <v>44347</v>
      </c>
      <c r="C65" s="19">
        <f>IFERROR(__xludf.DUMMYFUNCTION("""COMPUTED_VALUE"""),44353.0)</f>
        <v>44353</v>
      </c>
      <c r="D65" s="17">
        <f>IFERROR(__xludf.DUMMYFUNCTION("""COMPUTED_VALUE"""),22.0)</f>
        <v>22</v>
      </c>
      <c r="E65" s="17">
        <f>IFERROR(__xludf.DUMMYFUNCTION("""COMPUTED_VALUE"""),9767.0)</f>
        <v>9767</v>
      </c>
      <c r="F65" s="17">
        <f>IFERROR(__xludf.DUMMYFUNCTION("""COMPUTED_VALUE"""),3679.0)</f>
        <v>3679</v>
      </c>
      <c r="G65" s="75"/>
      <c r="H65" s="87"/>
      <c r="I65" s="75"/>
      <c r="J65" s="21">
        <f t="shared" si="3"/>
        <v>5282</v>
      </c>
      <c r="K65" s="22">
        <f>(F65/(VLOOKUP("Colombia",Poblacion!$A$2:$B$5,2,0)))*100000</f>
        <v>7.176318438</v>
      </c>
      <c r="L65" s="22">
        <f>(J65/(VLOOKUP("Colombia",Poblacion!$A$2:$B$5,2,0)))*100000</f>
        <v>10.30315683</v>
      </c>
      <c r="M65" s="22">
        <f t="shared" ref="M65:N65" si="66">K65+M64</f>
        <v>179.3806523</v>
      </c>
      <c r="N65" s="22">
        <f t="shared" si="66"/>
        <v>263.6537911</v>
      </c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tr">
        <f>IFERROR(__xludf.DUMMYFUNCTION("""COMPUTED_VALUE"""),"Colombia")</f>
        <v>Colombia</v>
      </c>
      <c r="B66" s="18">
        <f>IFERROR(__xludf.DUMMYFUNCTION("""COMPUTED_VALUE"""),44354.0)</f>
        <v>44354</v>
      </c>
      <c r="C66" s="19">
        <f>IFERROR(__xludf.DUMMYFUNCTION("""COMPUTED_VALUE"""),44360.0)</f>
        <v>44360</v>
      </c>
      <c r="D66" s="17">
        <f>IFERROR(__xludf.DUMMYFUNCTION("""COMPUTED_VALUE"""),23.0)</f>
        <v>23</v>
      </c>
      <c r="E66" s="17">
        <f>IFERROR(__xludf.DUMMYFUNCTION("""COMPUTED_VALUE"""),10081.0)</f>
        <v>10081</v>
      </c>
      <c r="F66" s="17">
        <f>IFERROR(__xludf.DUMMYFUNCTION("""COMPUTED_VALUE"""),3817.0)</f>
        <v>3817</v>
      </c>
      <c r="G66" s="75"/>
      <c r="H66" s="87"/>
      <c r="I66" s="75"/>
      <c r="J66" s="21">
        <f t="shared" si="3"/>
        <v>5538.4</v>
      </c>
      <c r="K66" s="22">
        <f>(F66/(VLOOKUP("Colombia",Poblacion!$A$2:$B$5,2,0)))*100000</f>
        <v>7.445503527</v>
      </c>
      <c r="L66" s="22">
        <f>(J66/(VLOOKUP("Colombia",Poblacion!$A$2:$B$5,2,0)))*100000</f>
        <v>10.80329493</v>
      </c>
      <c r="M66" s="22">
        <f t="shared" ref="M66:N66" si="67">K66+M65</f>
        <v>186.8261558</v>
      </c>
      <c r="N66" s="22">
        <f t="shared" si="67"/>
        <v>274.457086</v>
      </c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tr">
        <f>IFERROR(__xludf.DUMMYFUNCTION("""COMPUTED_VALUE"""),"Colombia")</f>
        <v>Colombia</v>
      </c>
      <c r="B67" s="18">
        <f>IFERROR(__xludf.DUMMYFUNCTION("""COMPUTED_VALUE"""),44361.0)</f>
        <v>44361</v>
      </c>
      <c r="C67" s="19">
        <f>IFERROR(__xludf.DUMMYFUNCTION("""COMPUTED_VALUE"""),44367.0)</f>
        <v>44367</v>
      </c>
      <c r="D67" s="17">
        <f>IFERROR(__xludf.DUMMYFUNCTION("""COMPUTED_VALUE"""),24.0)</f>
        <v>24</v>
      </c>
      <c r="E67" s="17">
        <f>IFERROR(__xludf.DUMMYFUNCTION("""COMPUTED_VALUE"""),10451.0)</f>
        <v>10451</v>
      </c>
      <c r="F67" s="17">
        <f>IFERROR(__xludf.DUMMYFUNCTION("""COMPUTED_VALUE"""),4156.0)</f>
        <v>4156</v>
      </c>
      <c r="G67" s="75"/>
      <c r="H67" s="87"/>
      <c r="I67" s="75"/>
      <c r="J67" s="21">
        <f t="shared" si="3"/>
        <v>5936.2</v>
      </c>
      <c r="K67" s="22">
        <f>(F67/(VLOOKUP("Colombia",Poblacion!$A$2:$B$5,2,0)))*100000</f>
        <v>8.106762552</v>
      </c>
      <c r="L67" s="22">
        <f>(J67/(VLOOKUP("Colombia",Poblacion!$A$2:$B$5,2,0)))*100000</f>
        <v>11.57925021</v>
      </c>
      <c r="M67" s="22">
        <f t="shared" ref="M67:N67" si="68">K67+M66</f>
        <v>194.9329184</v>
      </c>
      <c r="N67" s="22">
        <f t="shared" si="68"/>
        <v>286.0363362</v>
      </c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tr">
        <f>IFERROR(__xludf.DUMMYFUNCTION("""COMPUTED_VALUE"""),"Colombia")</f>
        <v>Colombia</v>
      </c>
      <c r="B68" s="18">
        <f>IFERROR(__xludf.DUMMYFUNCTION("""COMPUTED_VALUE"""),44368.0)</f>
        <v>44368</v>
      </c>
      <c r="C68" s="19">
        <f>IFERROR(__xludf.DUMMYFUNCTION("""COMPUTED_VALUE"""),44374.0)</f>
        <v>44374</v>
      </c>
      <c r="D68" s="17">
        <f>IFERROR(__xludf.DUMMYFUNCTION("""COMPUTED_VALUE"""),25.0)</f>
        <v>25</v>
      </c>
      <c r="E68" s="17">
        <f>IFERROR(__xludf.DUMMYFUNCTION("""COMPUTED_VALUE"""),10456.0)</f>
        <v>10456</v>
      </c>
      <c r="F68" s="17">
        <f>IFERROR(__xludf.DUMMYFUNCTION("""COMPUTED_VALUE"""),4744.0)</f>
        <v>4744</v>
      </c>
      <c r="G68" s="75"/>
      <c r="H68" s="87"/>
      <c r="I68" s="75"/>
      <c r="J68" s="21">
        <f t="shared" si="3"/>
        <v>5901.4</v>
      </c>
      <c r="K68" s="22">
        <f>(F68/(VLOOKUP("Colombia",Poblacion!$A$2:$B$5,2,0)))*100000</f>
        <v>9.253725107</v>
      </c>
      <c r="L68" s="22">
        <f>(J68/(VLOOKUP("Colombia",Poblacion!$A$2:$B$5,2,0)))*100000</f>
        <v>11.51136875</v>
      </c>
      <c r="M68" s="22">
        <f t="shared" ref="M68:N68" si="69">K68+M67</f>
        <v>204.1866435</v>
      </c>
      <c r="N68" s="22">
        <f t="shared" si="69"/>
        <v>297.547705</v>
      </c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tr">
        <f>IFERROR(__xludf.DUMMYFUNCTION("""COMPUTED_VALUE"""),"Colombia")</f>
        <v>Colombia</v>
      </c>
      <c r="B69" s="18">
        <f>IFERROR(__xludf.DUMMYFUNCTION("""COMPUTED_VALUE"""),44375.0)</f>
        <v>44375</v>
      </c>
      <c r="C69" s="19">
        <f>IFERROR(__xludf.DUMMYFUNCTION("""COMPUTED_VALUE"""),44381.0)</f>
        <v>44381</v>
      </c>
      <c r="D69" s="17">
        <f>IFERROR(__xludf.DUMMYFUNCTION("""COMPUTED_VALUE"""),26.0)</f>
        <v>26</v>
      </c>
      <c r="E69" s="17">
        <f>IFERROR(__xludf.DUMMYFUNCTION("""COMPUTED_VALUE"""),10240.0)</f>
        <v>10240</v>
      </c>
      <c r="F69" s="17">
        <f>IFERROR(__xludf.DUMMYFUNCTION("""COMPUTED_VALUE"""),4218.0)</f>
        <v>4218</v>
      </c>
      <c r="G69" s="75"/>
      <c r="H69" s="87"/>
      <c r="I69" s="75"/>
      <c r="J69" s="21">
        <f t="shared" si="3"/>
        <v>5648</v>
      </c>
      <c r="K69" s="22">
        <f>(F69/(VLOOKUP("Colombia",Poblacion!$A$2:$B$5,2,0)))*100000</f>
        <v>8.22770078</v>
      </c>
      <c r="L69" s="22">
        <f>(J69/(VLOOKUP("Colombia",Poblacion!$A$2:$B$5,2,0)))*100000</f>
        <v>11.01708251</v>
      </c>
      <c r="M69" s="22">
        <f t="shared" ref="M69:N69" si="70">K69+M68</f>
        <v>212.4143443</v>
      </c>
      <c r="N69" s="22">
        <f t="shared" si="70"/>
        <v>308.5647875</v>
      </c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tr">
        <f>IFERROR(__xludf.DUMMYFUNCTION("""COMPUTED_VALUE"""),"Colombia")</f>
        <v>Colombia</v>
      </c>
      <c r="B70" s="18">
        <f>IFERROR(__xludf.DUMMYFUNCTION("""COMPUTED_VALUE"""),44382.0)</f>
        <v>44382</v>
      </c>
      <c r="C70" s="19">
        <f>IFERROR(__xludf.DUMMYFUNCTION("""COMPUTED_VALUE"""),44388.0)</f>
        <v>44388</v>
      </c>
      <c r="D70" s="17">
        <f>IFERROR(__xludf.DUMMYFUNCTION("""COMPUTED_VALUE"""),27.0)</f>
        <v>27</v>
      </c>
      <c r="E70" s="17">
        <f>IFERROR(__xludf.DUMMYFUNCTION("""COMPUTED_VALUE"""),9485.0)</f>
        <v>9485</v>
      </c>
      <c r="F70" s="17">
        <f>IFERROR(__xludf.DUMMYFUNCTION("""COMPUTED_VALUE"""),3930.0)</f>
        <v>3930</v>
      </c>
      <c r="G70" s="75"/>
      <c r="H70" s="87"/>
      <c r="I70" s="75"/>
      <c r="J70" s="21">
        <f t="shared" si="3"/>
        <v>4918</v>
      </c>
      <c r="K70" s="22">
        <f>(F70/(VLOOKUP("Colombia",Poblacion!$A$2:$B$5,2,0)))*100000</f>
        <v>7.665923202</v>
      </c>
      <c r="L70" s="22">
        <f>(J70/(VLOOKUP("Colombia",Poblacion!$A$2:$B$5,2,0)))*100000</f>
        <v>9.593132394</v>
      </c>
      <c r="M70" s="22">
        <f t="shared" ref="M70:N70" si="71">K70+M69</f>
        <v>220.0802675</v>
      </c>
      <c r="N70" s="22">
        <f t="shared" si="71"/>
        <v>318.1579199</v>
      </c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/>
      <c r="B71" s="17"/>
      <c r="C71" s="17"/>
      <c r="D71" s="17"/>
      <c r="E71" s="17"/>
      <c r="F71" s="17"/>
      <c r="G71" s="17"/>
      <c r="H71" s="88"/>
      <c r="I71" s="17"/>
      <c r="J71" s="21"/>
      <c r="K71" s="22"/>
      <c r="L71" s="2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/>
      <c r="B72" s="17"/>
      <c r="C72" s="17"/>
      <c r="D72" s="17"/>
      <c r="E72" s="17"/>
      <c r="F72" s="17"/>
      <c r="G72" s="17"/>
      <c r="H72" s="88"/>
      <c r="I72" s="17"/>
      <c r="J72" s="21"/>
      <c r="K72" s="22"/>
      <c r="L72" s="2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/>
      <c r="B73" s="17"/>
      <c r="C73" s="17"/>
      <c r="D73" s="17"/>
      <c r="E73" s="17"/>
      <c r="F73" s="17"/>
      <c r="G73" s="17"/>
      <c r="H73" s="88"/>
      <c r="I73" s="17"/>
      <c r="J73" s="21"/>
      <c r="K73" s="22"/>
      <c r="L73" s="2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/>
      <c r="B74" s="17"/>
      <c r="C74" s="17"/>
      <c r="D74" s="17"/>
      <c r="E74" s="17"/>
      <c r="F74" s="17"/>
      <c r="G74" s="17"/>
      <c r="H74" s="88"/>
      <c r="I74" s="17"/>
      <c r="J74" s="21"/>
      <c r="K74" s="22"/>
      <c r="L74" s="2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/>
      <c r="B75" s="17"/>
      <c r="C75" s="17"/>
      <c r="D75" s="17"/>
      <c r="E75" s="17"/>
      <c r="F75" s="17"/>
      <c r="G75" s="17"/>
      <c r="H75" s="88"/>
      <c r="I75" s="17"/>
      <c r="J75" s="21"/>
      <c r="K75" s="22"/>
      <c r="L75" s="2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/>
      <c r="B76" s="17"/>
      <c r="C76" s="17"/>
      <c r="D76" s="17"/>
      <c r="E76" s="17"/>
      <c r="F76" s="17"/>
      <c r="G76" s="17"/>
      <c r="H76" s="88"/>
      <c r="I76" s="17"/>
      <c r="J76" s="21"/>
      <c r="K76" s="22"/>
      <c r="L76" s="2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/>
      <c r="B77" s="17"/>
      <c r="C77" s="17"/>
      <c r="D77" s="17"/>
      <c r="E77" s="17"/>
      <c r="F77" s="17"/>
      <c r="G77" s="17"/>
      <c r="H77" s="88"/>
      <c r="I77" s="17"/>
      <c r="J77" s="21"/>
      <c r="K77" s="22"/>
      <c r="L77" s="2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/>
      <c r="B78" s="17"/>
      <c r="C78" s="17"/>
      <c r="D78" s="17"/>
      <c r="E78" s="17"/>
      <c r="F78" s="17"/>
      <c r="G78" s="17"/>
      <c r="H78" s="88"/>
      <c r="I78" s="17"/>
      <c r="J78" s="21"/>
      <c r="K78" s="22"/>
      <c r="L78" s="2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/>
      <c r="B79" s="17"/>
      <c r="C79" s="17"/>
      <c r="D79" s="17"/>
      <c r="E79" s="17"/>
      <c r="F79" s="17"/>
      <c r="G79" s="17"/>
      <c r="H79" s="88"/>
      <c r="I79" s="17"/>
      <c r="J79" s="21"/>
      <c r="K79" s="22"/>
      <c r="L79" s="22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/>
      <c r="B80" s="17"/>
      <c r="C80" s="17"/>
      <c r="D80" s="17"/>
      <c r="E80" s="17"/>
      <c r="F80" s="17"/>
      <c r="G80" s="17"/>
      <c r="H80" s="88"/>
      <c r="I80" s="17"/>
      <c r="J80" s="21"/>
      <c r="K80" s="22"/>
      <c r="L80" s="22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/>
      <c r="B81" s="17"/>
      <c r="C81" s="17"/>
      <c r="D81" s="17"/>
      <c r="E81" s="17"/>
      <c r="F81" s="17"/>
      <c r="G81" s="17"/>
      <c r="H81" s="88"/>
      <c r="I81" s="17"/>
      <c r="J81" s="21"/>
      <c r="K81" s="22"/>
      <c r="L81" s="22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/>
      <c r="B82" s="17"/>
      <c r="C82" s="17"/>
      <c r="D82" s="17"/>
      <c r="E82" s="17"/>
      <c r="F82" s="17"/>
      <c r="G82" s="17"/>
      <c r="H82" s="88"/>
      <c r="I82" s="17"/>
      <c r="J82" s="21"/>
      <c r="K82" s="22"/>
      <c r="L82" s="22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/>
      <c r="B83" s="17"/>
      <c r="C83" s="17"/>
      <c r="D83" s="17"/>
      <c r="E83" s="17"/>
      <c r="F83" s="17"/>
      <c r="G83" s="17"/>
      <c r="H83" s="88"/>
      <c r="I83" s="17"/>
      <c r="J83" s="21"/>
      <c r="K83" s="22"/>
      <c r="L83" s="22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/>
      <c r="B84" s="17"/>
      <c r="C84" s="17"/>
      <c r="D84" s="17"/>
      <c r="E84" s="17"/>
      <c r="F84" s="17"/>
      <c r="G84" s="17"/>
      <c r="H84" s="88"/>
      <c r="I84" s="17"/>
      <c r="J84" s="21"/>
      <c r="K84" s="22"/>
      <c r="L84" s="22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/>
      <c r="B85" s="17"/>
      <c r="C85" s="17"/>
      <c r="D85" s="17"/>
      <c r="E85" s="17"/>
      <c r="F85" s="17"/>
      <c r="G85" s="17"/>
      <c r="H85" s="88"/>
      <c r="I85" s="17"/>
      <c r="J85" s="21"/>
      <c r="K85" s="22"/>
      <c r="L85" s="22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/>
      <c r="B86" s="17"/>
      <c r="C86" s="17"/>
      <c r="D86" s="17"/>
      <c r="E86" s="17"/>
      <c r="F86" s="17"/>
      <c r="G86" s="17"/>
      <c r="H86" s="88"/>
      <c r="I86" s="17"/>
      <c r="J86" s="21"/>
      <c r="K86" s="22"/>
      <c r="L86" s="22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/>
      <c r="B87" s="17"/>
      <c r="C87" s="17"/>
      <c r="D87" s="17"/>
      <c r="E87" s="17"/>
      <c r="F87" s="17"/>
      <c r="G87" s="17"/>
      <c r="H87" s="88"/>
      <c r="I87" s="17"/>
      <c r="J87" s="21"/>
      <c r="K87" s="22"/>
      <c r="L87" s="22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/>
      <c r="B88" s="17"/>
      <c r="C88" s="17"/>
      <c r="D88" s="17"/>
      <c r="E88" s="17"/>
      <c r="F88" s="17"/>
      <c r="G88" s="17"/>
      <c r="H88" s="88"/>
      <c r="I88" s="17"/>
      <c r="J88" s="21"/>
      <c r="K88" s="22"/>
      <c r="L88" s="22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/>
      <c r="B89" s="17"/>
      <c r="C89" s="17"/>
      <c r="D89" s="17"/>
      <c r="E89" s="17"/>
      <c r="F89" s="17"/>
      <c r="G89" s="17"/>
      <c r="H89" s="88"/>
      <c r="I89" s="17"/>
      <c r="J89" s="21"/>
      <c r="K89" s="22"/>
      <c r="L89" s="22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/>
      <c r="B90" s="17"/>
      <c r="C90" s="17"/>
      <c r="D90" s="17"/>
      <c r="E90" s="17"/>
      <c r="F90" s="17"/>
      <c r="G90" s="17"/>
      <c r="H90" s="88"/>
      <c r="I90" s="17"/>
      <c r="J90" s="21"/>
      <c r="K90" s="22"/>
      <c r="L90" s="22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/>
      <c r="B91" s="17"/>
      <c r="C91" s="17"/>
      <c r="D91" s="17"/>
      <c r="E91" s="17"/>
      <c r="F91" s="17"/>
      <c r="G91" s="17"/>
      <c r="H91" s="88"/>
      <c r="I91" s="17"/>
      <c r="J91" s="21"/>
      <c r="K91" s="22"/>
      <c r="L91" s="22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/>
      <c r="B92" s="17"/>
      <c r="C92" s="17"/>
      <c r="D92" s="17"/>
      <c r="E92" s="17"/>
      <c r="F92" s="17"/>
      <c r="G92" s="17"/>
      <c r="H92" s="88"/>
      <c r="I92" s="17"/>
      <c r="J92" s="21"/>
      <c r="K92" s="22"/>
      <c r="L92" s="22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/>
      <c r="B93" s="17"/>
      <c r="C93" s="17"/>
      <c r="D93" s="17"/>
      <c r="E93" s="17"/>
      <c r="F93" s="17"/>
      <c r="G93" s="17"/>
      <c r="H93" s="88"/>
      <c r="I93" s="17"/>
      <c r="J93" s="21"/>
      <c r="K93" s="22"/>
      <c r="L93" s="22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/>
      <c r="B94" s="17"/>
      <c r="C94" s="17"/>
      <c r="D94" s="17"/>
      <c r="E94" s="17"/>
      <c r="F94" s="17"/>
      <c r="G94" s="17"/>
      <c r="H94" s="88"/>
      <c r="I94" s="17"/>
      <c r="J94" s="21"/>
      <c r="K94" s="22"/>
      <c r="L94" s="22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/>
      <c r="B95" s="17"/>
      <c r="C95" s="17"/>
      <c r="D95" s="17"/>
      <c r="E95" s="17"/>
      <c r="F95" s="17"/>
      <c r="G95" s="17"/>
      <c r="H95" s="88"/>
      <c r="I95" s="17"/>
      <c r="J95" s="21"/>
      <c r="K95" s="22"/>
      <c r="L95" s="22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/>
      <c r="B96" s="17"/>
      <c r="C96" s="17"/>
      <c r="D96" s="17"/>
      <c r="E96" s="17"/>
      <c r="F96" s="17"/>
      <c r="G96" s="17"/>
      <c r="H96" s="88"/>
      <c r="I96" s="17"/>
      <c r="J96" s="21"/>
      <c r="K96" s="22"/>
      <c r="L96" s="22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/>
      <c r="B97" s="17"/>
      <c r="C97" s="17"/>
      <c r="D97" s="17"/>
      <c r="E97" s="17"/>
      <c r="F97" s="17"/>
      <c r="G97" s="17"/>
      <c r="H97" s="88"/>
      <c r="I97" s="17"/>
      <c r="J97" s="21"/>
      <c r="K97" s="22"/>
      <c r="L97" s="22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/>
      <c r="B98" s="17"/>
      <c r="C98" s="17"/>
      <c r="D98" s="17"/>
      <c r="E98" s="17"/>
      <c r="F98" s="17"/>
      <c r="G98" s="17"/>
      <c r="H98" s="88"/>
      <c r="I98" s="17"/>
      <c r="J98" s="21"/>
      <c r="K98" s="22"/>
      <c r="L98" s="22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/>
      <c r="B99" s="17"/>
      <c r="C99" s="17"/>
      <c r="D99" s="17"/>
      <c r="E99" s="17"/>
      <c r="F99" s="17"/>
      <c r="G99" s="17"/>
      <c r="H99" s="88"/>
      <c r="I99" s="17"/>
      <c r="J99" s="21"/>
      <c r="K99" s="22"/>
      <c r="L99" s="22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/>
      <c r="B100" s="17"/>
      <c r="C100" s="17"/>
      <c r="D100" s="17"/>
      <c r="E100" s="17"/>
      <c r="F100" s="17"/>
      <c r="G100" s="17"/>
      <c r="H100" s="88"/>
      <c r="I100" s="17"/>
      <c r="J100" s="21"/>
      <c r="K100" s="22"/>
      <c r="L100" s="22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/>
      <c r="B101" s="17"/>
      <c r="C101" s="17"/>
      <c r="D101" s="17"/>
      <c r="E101" s="17"/>
      <c r="F101" s="17"/>
      <c r="G101" s="17"/>
      <c r="H101" s="88"/>
      <c r="I101" s="17"/>
      <c r="J101" s="21"/>
      <c r="K101" s="22"/>
      <c r="L101" s="22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/>
      <c r="B102" s="17"/>
      <c r="C102" s="17"/>
      <c r="D102" s="17"/>
      <c r="E102" s="17"/>
      <c r="F102" s="17"/>
      <c r="G102" s="17"/>
      <c r="H102" s="88"/>
      <c r="I102" s="17"/>
      <c r="J102" s="21"/>
      <c r="K102" s="22"/>
      <c r="L102" s="22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/>
      <c r="B103" s="17"/>
      <c r="C103" s="17"/>
      <c r="D103" s="17"/>
      <c r="E103" s="17"/>
      <c r="F103" s="17"/>
      <c r="G103" s="17"/>
      <c r="H103" s="88"/>
      <c r="I103" s="17"/>
      <c r="J103" s="21"/>
      <c r="K103" s="22"/>
      <c r="L103" s="22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/>
      <c r="B104" s="17"/>
      <c r="C104" s="17"/>
      <c r="D104" s="17"/>
      <c r="E104" s="17"/>
      <c r="F104" s="17"/>
      <c r="G104" s="17"/>
      <c r="H104" s="88"/>
      <c r="I104" s="17"/>
      <c r="J104" s="21"/>
      <c r="K104" s="22"/>
      <c r="L104" s="22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/>
      <c r="B105" s="17"/>
      <c r="C105" s="17"/>
      <c r="D105" s="17"/>
      <c r="E105" s="17"/>
      <c r="F105" s="17"/>
      <c r="G105" s="17"/>
      <c r="H105" s="88"/>
      <c r="I105" s="17"/>
      <c r="J105" s="21"/>
      <c r="K105" s="22"/>
      <c r="L105" s="22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/>
      <c r="B106" s="17"/>
      <c r="C106" s="17"/>
      <c r="D106" s="17"/>
      <c r="E106" s="17"/>
      <c r="F106" s="17"/>
      <c r="G106" s="17"/>
      <c r="H106" s="88"/>
      <c r="I106" s="17"/>
      <c r="J106" s="21"/>
      <c r="K106" s="22"/>
      <c r="L106" s="22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/>
      <c r="B107" s="17"/>
      <c r="C107" s="17"/>
      <c r="D107" s="17"/>
      <c r="E107" s="17"/>
      <c r="F107" s="17"/>
      <c r="G107" s="17"/>
      <c r="H107" s="88"/>
      <c r="I107" s="17"/>
      <c r="J107" s="21"/>
      <c r="K107" s="22"/>
      <c r="L107" s="22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/>
      <c r="B108" s="17"/>
      <c r="C108" s="17"/>
      <c r="D108" s="17"/>
      <c r="E108" s="17"/>
      <c r="F108" s="17"/>
      <c r="G108" s="17"/>
      <c r="H108" s="88"/>
      <c r="I108" s="17"/>
      <c r="J108" s="21"/>
      <c r="K108" s="22"/>
      <c r="L108" s="22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/>
      <c r="B109" s="17"/>
      <c r="C109" s="17"/>
      <c r="D109" s="17"/>
      <c r="E109" s="17"/>
      <c r="F109" s="17"/>
      <c r="G109" s="17"/>
      <c r="H109" s="88"/>
      <c r="I109" s="17"/>
      <c r="J109" s="21"/>
      <c r="K109" s="22"/>
      <c r="L109" s="22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/>
      <c r="B110" s="17"/>
      <c r="C110" s="17"/>
      <c r="D110" s="17"/>
      <c r="E110" s="17"/>
      <c r="F110" s="17"/>
      <c r="G110" s="17"/>
      <c r="H110" s="88"/>
      <c r="I110" s="17"/>
      <c r="J110" s="21"/>
      <c r="K110" s="22"/>
      <c r="L110" s="22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/>
      <c r="B111" s="17"/>
      <c r="C111" s="17"/>
      <c r="D111" s="17"/>
      <c r="E111" s="17"/>
      <c r="F111" s="17"/>
      <c r="G111" s="17"/>
      <c r="H111" s="88"/>
      <c r="I111" s="17"/>
      <c r="J111" s="21"/>
      <c r="K111" s="22"/>
      <c r="L111" s="22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/>
      <c r="B112" s="17"/>
      <c r="C112" s="17"/>
      <c r="D112" s="17"/>
      <c r="E112" s="17"/>
      <c r="F112" s="17"/>
      <c r="G112" s="17"/>
      <c r="H112" s="88"/>
      <c r="I112" s="17"/>
      <c r="J112" s="21"/>
      <c r="K112" s="22"/>
      <c r="L112" s="22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/>
      <c r="B113" s="17"/>
      <c r="C113" s="17"/>
      <c r="D113" s="17"/>
      <c r="E113" s="17"/>
      <c r="F113" s="17"/>
      <c r="G113" s="17"/>
      <c r="H113" s="88"/>
      <c r="I113" s="17"/>
      <c r="J113" s="21"/>
      <c r="K113" s="22"/>
      <c r="L113" s="22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/>
      <c r="B114" s="17"/>
      <c r="C114" s="17"/>
      <c r="D114" s="17"/>
      <c r="E114" s="17"/>
      <c r="F114" s="17"/>
      <c r="G114" s="17"/>
      <c r="H114" s="88"/>
      <c r="I114" s="17"/>
      <c r="J114" s="21"/>
      <c r="K114" s="22"/>
      <c r="L114" s="22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/>
      <c r="B115" s="17"/>
      <c r="C115" s="17"/>
      <c r="D115" s="17"/>
      <c r="E115" s="17"/>
      <c r="F115" s="17"/>
      <c r="G115" s="17"/>
      <c r="H115" s="88"/>
      <c r="I115" s="17"/>
      <c r="J115" s="21"/>
      <c r="K115" s="22"/>
      <c r="L115" s="22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/>
      <c r="B116" s="17"/>
      <c r="C116" s="17"/>
      <c r="D116" s="17"/>
      <c r="E116" s="17"/>
      <c r="F116" s="17"/>
      <c r="G116" s="17"/>
      <c r="H116" s="88"/>
      <c r="I116" s="17"/>
      <c r="J116" s="21"/>
      <c r="K116" s="22"/>
      <c r="L116" s="22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/>
      <c r="B117" s="17"/>
      <c r="C117" s="17"/>
      <c r="D117" s="17"/>
      <c r="E117" s="17"/>
      <c r="F117" s="17"/>
      <c r="G117" s="17"/>
      <c r="H117" s="88"/>
      <c r="I117" s="17"/>
      <c r="J117" s="21"/>
      <c r="K117" s="22"/>
      <c r="L117" s="22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/>
      <c r="B118" s="17"/>
      <c r="C118" s="17"/>
      <c r="D118" s="17"/>
      <c r="E118" s="17"/>
      <c r="F118" s="17"/>
      <c r="G118" s="17"/>
      <c r="H118" s="88"/>
      <c r="I118" s="17"/>
      <c r="J118" s="21"/>
      <c r="K118" s="22"/>
      <c r="L118" s="22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/>
      <c r="B119" s="17"/>
      <c r="C119" s="17"/>
      <c r="D119" s="17"/>
      <c r="E119" s="17"/>
      <c r="F119" s="17"/>
      <c r="G119" s="17"/>
      <c r="H119" s="88"/>
      <c r="I119" s="17"/>
      <c r="J119" s="21"/>
      <c r="K119" s="22"/>
      <c r="L119" s="22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/>
      <c r="B120" s="17"/>
      <c r="C120" s="17"/>
      <c r="D120" s="17"/>
      <c r="E120" s="17"/>
      <c r="F120" s="17"/>
      <c r="G120" s="17"/>
      <c r="H120" s="88"/>
      <c r="I120" s="17"/>
      <c r="J120" s="21"/>
      <c r="K120" s="22"/>
      <c r="L120" s="22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/>
      <c r="B121" s="17"/>
      <c r="C121" s="17"/>
      <c r="D121" s="17"/>
      <c r="E121" s="17"/>
      <c r="F121" s="17"/>
      <c r="G121" s="17"/>
      <c r="H121" s="88"/>
      <c r="I121" s="17"/>
      <c r="J121" s="21"/>
      <c r="K121" s="22"/>
      <c r="L121" s="22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/>
      <c r="B122" s="17"/>
      <c r="C122" s="17"/>
      <c r="D122" s="17"/>
      <c r="E122" s="17"/>
      <c r="F122" s="17"/>
      <c r="G122" s="17"/>
      <c r="H122" s="88"/>
      <c r="I122" s="17"/>
      <c r="J122" s="21"/>
      <c r="K122" s="22"/>
      <c r="L122" s="22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/>
      <c r="B123" s="17"/>
      <c r="C123" s="17"/>
      <c r="D123" s="17"/>
      <c r="E123" s="17"/>
      <c r="F123" s="17"/>
      <c r="G123" s="17"/>
      <c r="H123" s="88"/>
      <c r="I123" s="17"/>
      <c r="J123" s="21"/>
      <c r="K123" s="22"/>
      <c r="L123" s="22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/>
      <c r="B124" s="17"/>
      <c r="C124" s="17"/>
      <c r="D124" s="17"/>
      <c r="E124" s="17"/>
      <c r="F124" s="17"/>
      <c r="G124" s="17"/>
      <c r="H124" s="88"/>
      <c r="I124" s="17"/>
      <c r="J124" s="21"/>
      <c r="K124" s="22"/>
      <c r="L124" s="22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/>
      <c r="B125" s="17"/>
      <c r="C125" s="17"/>
      <c r="D125" s="17"/>
      <c r="E125" s="17"/>
      <c r="F125" s="17"/>
      <c r="G125" s="17"/>
      <c r="H125" s="88"/>
      <c r="I125" s="17"/>
      <c r="J125" s="21"/>
      <c r="K125" s="22"/>
      <c r="L125" s="22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/>
      <c r="B126" s="17"/>
      <c r="C126" s="17"/>
      <c r="D126" s="17"/>
      <c r="E126" s="17"/>
      <c r="F126" s="17"/>
      <c r="G126" s="17"/>
      <c r="H126" s="88"/>
      <c r="I126" s="17"/>
      <c r="J126" s="21"/>
      <c r="K126" s="22"/>
      <c r="L126" s="22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/>
      <c r="B127" s="17"/>
      <c r="C127" s="17"/>
      <c r="D127" s="17"/>
      <c r="E127" s="17"/>
      <c r="F127" s="17"/>
      <c r="G127" s="17"/>
      <c r="H127" s="88"/>
      <c r="I127" s="17"/>
      <c r="J127" s="21"/>
      <c r="K127" s="22"/>
      <c r="L127" s="22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/>
      <c r="B128" s="17"/>
      <c r="C128" s="17"/>
      <c r="D128" s="17"/>
      <c r="E128" s="17"/>
      <c r="F128" s="17"/>
      <c r="G128" s="17"/>
      <c r="H128" s="88"/>
      <c r="I128" s="17"/>
      <c r="J128" s="21"/>
      <c r="K128" s="22"/>
      <c r="L128" s="22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/>
      <c r="B129" s="17"/>
      <c r="C129" s="17"/>
      <c r="D129" s="17"/>
      <c r="E129" s="17"/>
      <c r="F129" s="17"/>
      <c r="G129" s="17"/>
      <c r="H129" s="88"/>
      <c r="I129" s="17"/>
      <c r="J129" s="21"/>
      <c r="K129" s="22"/>
      <c r="L129" s="22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/>
      <c r="B130" s="17"/>
      <c r="C130" s="17"/>
      <c r="D130" s="17"/>
      <c r="E130" s="17"/>
      <c r="F130" s="17"/>
      <c r="G130" s="17"/>
      <c r="H130" s="88"/>
      <c r="I130" s="17"/>
      <c r="J130" s="21"/>
      <c r="K130" s="22"/>
      <c r="L130" s="22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/>
      <c r="B131" s="17"/>
      <c r="C131" s="17"/>
      <c r="D131" s="17"/>
      <c r="E131" s="17"/>
      <c r="F131" s="17"/>
      <c r="G131" s="17"/>
      <c r="H131" s="88"/>
      <c r="I131" s="17"/>
      <c r="J131" s="21"/>
      <c r="K131" s="22"/>
      <c r="L131" s="22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/>
      <c r="B132" s="17"/>
      <c r="C132" s="17"/>
      <c r="D132" s="17"/>
      <c r="E132" s="17"/>
      <c r="F132" s="17"/>
      <c r="G132" s="17"/>
      <c r="H132" s="88"/>
      <c r="I132" s="17"/>
      <c r="J132" s="21"/>
      <c r="K132" s="22"/>
      <c r="L132" s="22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/>
      <c r="B133" s="17"/>
      <c r="C133" s="17"/>
      <c r="D133" s="17"/>
      <c r="E133" s="17"/>
      <c r="F133" s="17"/>
      <c r="G133" s="17"/>
      <c r="H133" s="88"/>
      <c r="I133" s="17"/>
      <c r="J133" s="21"/>
      <c r="K133" s="22"/>
      <c r="L133" s="22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/>
      <c r="B134" s="17"/>
      <c r="C134" s="17"/>
      <c r="D134" s="17"/>
      <c r="E134" s="17"/>
      <c r="F134" s="17"/>
      <c r="G134" s="17"/>
      <c r="H134" s="88"/>
      <c r="I134" s="17"/>
      <c r="J134" s="21"/>
      <c r="K134" s="22"/>
      <c r="L134" s="22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/>
      <c r="B135" s="17"/>
      <c r="C135" s="17"/>
      <c r="D135" s="17"/>
      <c r="E135" s="17"/>
      <c r="F135" s="17"/>
      <c r="G135" s="17"/>
      <c r="H135" s="88"/>
      <c r="I135" s="17"/>
      <c r="J135" s="21"/>
      <c r="K135" s="22"/>
      <c r="L135" s="22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/>
      <c r="B136" s="17"/>
      <c r="C136" s="17"/>
      <c r="D136" s="17"/>
      <c r="E136" s="17"/>
      <c r="F136" s="17"/>
      <c r="G136" s="17"/>
      <c r="H136" s="88"/>
      <c r="I136" s="17"/>
      <c r="J136" s="21"/>
      <c r="K136" s="22"/>
      <c r="L136" s="22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/>
      <c r="B137" s="17"/>
      <c r="C137" s="17"/>
      <c r="D137" s="17"/>
      <c r="E137" s="17"/>
      <c r="F137" s="17"/>
      <c r="G137" s="17"/>
      <c r="H137" s="88"/>
      <c r="I137" s="17"/>
      <c r="J137" s="21"/>
      <c r="K137" s="22"/>
      <c r="L137" s="22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/>
      <c r="B138" s="17"/>
      <c r="C138" s="17"/>
      <c r="D138" s="17"/>
      <c r="E138" s="17"/>
      <c r="F138" s="17"/>
      <c r="G138" s="17"/>
      <c r="H138" s="88"/>
      <c r="I138" s="17"/>
      <c r="J138" s="21"/>
      <c r="K138" s="22"/>
      <c r="L138" s="22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/>
      <c r="B139" s="17"/>
      <c r="C139" s="17"/>
      <c r="D139" s="17"/>
      <c r="E139" s="17"/>
      <c r="F139" s="17"/>
      <c r="G139" s="17"/>
      <c r="H139" s="88"/>
      <c r="I139" s="17"/>
      <c r="J139" s="21"/>
      <c r="K139" s="22"/>
      <c r="L139" s="22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/>
      <c r="B140" s="17"/>
      <c r="C140" s="17"/>
      <c r="D140" s="17"/>
      <c r="E140" s="17"/>
      <c r="F140" s="17"/>
      <c r="G140" s="17"/>
      <c r="H140" s="88"/>
      <c r="I140" s="17"/>
      <c r="J140" s="21"/>
      <c r="K140" s="22"/>
      <c r="L140" s="22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/>
      <c r="B141" s="17"/>
      <c r="C141" s="17"/>
      <c r="D141" s="17"/>
      <c r="E141" s="17"/>
      <c r="F141" s="17"/>
      <c r="G141" s="17"/>
      <c r="H141" s="88"/>
      <c r="I141" s="17"/>
      <c r="J141" s="21"/>
      <c r="K141" s="22"/>
      <c r="L141" s="22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/>
      <c r="B142" s="17"/>
      <c r="C142" s="17"/>
      <c r="D142" s="17"/>
      <c r="E142" s="17"/>
      <c r="F142" s="17"/>
      <c r="G142" s="17"/>
      <c r="H142" s="88"/>
      <c r="I142" s="17"/>
      <c r="J142" s="21"/>
      <c r="K142" s="22"/>
      <c r="L142" s="22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/>
      <c r="B143" s="17"/>
      <c r="C143" s="17"/>
      <c r="D143" s="17"/>
      <c r="E143" s="17"/>
      <c r="F143" s="17"/>
      <c r="G143" s="17"/>
      <c r="H143" s="88"/>
      <c r="I143" s="17"/>
      <c r="J143" s="21"/>
      <c r="K143" s="22"/>
      <c r="L143" s="22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/>
      <c r="B144" s="17"/>
      <c r="C144" s="17"/>
      <c r="D144" s="17"/>
      <c r="E144" s="17"/>
      <c r="F144" s="17"/>
      <c r="G144" s="17"/>
      <c r="H144" s="88"/>
      <c r="I144" s="17"/>
      <c r="J144" s="21"/>
      <c r="K144" s="22"/>
      <c r="L144" s="22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/>
      <c r="B145" s="17"/>
      <c r="C145" s="17"/>
      <c r="D145" s="17"/>
      <c r="E145" s="17"/>
      <c r="F145" s="17"/>
      <c r="G145" s="17"/>
      <c r="H145" s="88"/>
      <c r="I145" s="17"/>
      <c r="J145" s="21"/>
      <c r="K145" s="22"/>
      <c r="L145" s="22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/>
      <c r="B146" s="17"/>
      <c r="C146" s="17"/>
      <c r="D146" s="17"/>
      <c r="E146" s="17"/>
      <c r="F146" s="17"/>
      <c r="G146" s="17"/>
      <c r="H146" s="88"/>
      <c r="I146" s="17"/>
      <c r="J146" s="21"/>
      <c r="K146" s="22"/>
      <c r="L146" s="22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/>
      <c r="B147" s="17"/>
      <c r="C147" s="17"/>
      <c r="D147" s="17"/>
      <c r="E147" s="17"/>
      <c r="F147" s="17"/>
      <c r="G147" s="17"/>
      <c r="H147" s="88"/>
      <c r="I147" s="17"/>
      <c r="J147" s="21"/>
      <c r="K147" s="22"/>
      <c r="L147" s="22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/>
      <c r="B148" s="17"/>
      <c r="C148" s="17"/>
      <c r="D148" s="17"/>
      <c r="E148" s="17"/>
      <c r="F148" s="17"/>
      <c r="G148" s="17"/>
      <c r="H148" s="88"/>
      <c r="I148" s="17"/>
      <c r="J148" s="21"/>
      <c r="K148" s="22"/>
      <c r="L148" s="22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/>
      <c r="B149" s="17"/>
      <c r="C149" s="17"/>
      <c r="D149" s="17"/>
      <c r="E149" s="17"/>
      <c r="F149" s="17"/>
      <c r="G149" s="17"/>
      <c r="H149" s="88"/>
      <c r="I149" s="17"/>
      <c r="J149" s="21"/>
      <c r="K149" s="22"/>
      <c r="L149" s="22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/>
      <c r="B150" s="17"/>
      <c r="C150" s="17"/>
      <c r="D150" s="17"/>
      <c r="E150" s="17"/>
      <c r="F150" s="17"/>
      <c r="G150" s="17"/>
      <c r="H150" s="88"/>
      <c r="I150" s="17"/>
      <c r="J150" s="21"/>
      <c r="K150" s="22"/>
      <c r="L150" s="22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/>
      <c r="B151" s="17"/>
      <c r="C151" s="17"/>
      <c r="D151" s="17"/>
      <c r="E151" s="17"/>
      <c r="F151" s="17"/>
      <c r="G151" s="17"/>
      <c r="H151" s="88"/>
      <c r="I151" s="17"/>
      <c r="J151" s="21"/>
      <c r="K151" s="22"/>
      <c r="L151" s="22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/>
      <c r="B152" s="17"/>
      <c r="C152" s="17"/>
      <c r="D152" s="17"/>
      <c r="E152" s="17"/>
      <c r="F152" s="17"/>
      <c r="G152" s="17"/>
      <c r="H152" s="88"/>
      <c r="I152" s="17"/>
      <c r="J152" s="21"/>
      <c r="K152" s="22"/>
      <c r="L152" s="22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/>
      <c r="B153" s="17"/>
      <c r="C153" s="17"/>
      <c r="D153" s="17"/>
      <c r="E153" s="17"/>
      <c r="F153" s="17"/>
      <c r="G153" s="17"/>
      <c r="H153" s="88"/>
      <c r="I153" s="17"/>
      <c r="J153" s="21"/>
      <c r="K153" s="22"/>
      <c r="L153" s="22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/>
      <c r="B154" s="17"/>
      <c r="C154" s="17"/>
      <c r="D154" s="17"/>
      <c r="E154" s="17"/>
      <c r="F154" s="17"/>
      <c r="G154" s="17"/>
      <c r="H154" s="88"/>
      <c r="I154" s="17"/>
      <c r="J154" s="21"/>
      <c r="K154" s="22"/>
      <c r="L154" s="22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/>
      <c r="B155" s="17"/>
      <c r="C155" s="17"/>
      <c r="D155" s="17"/>
      <c r="E155" s="17"/>
      <c r="F155" s="17"/>
      <c r="G155" s="17"/>
      <c r="H155" s="88"/>
      <c r="I155" s="17"/>
      <c r="J155" s="21"/>
      <c r="K155" s="22"/>
      <c r="L155" s="22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/>
      <c r="B156" s="17"/>
      <c r="C156" s="17"/>
      <c r="D156" s="17"/>
      <c r="E156" s="17"/>
      <c r="F156" s="17"/>
      <c r="G156" s="17"/>
      <c r="H156" s="88"/>
      <c r="I156" s="17"/>
      <c r="J156" s="21"/>
      <c r="K156" s="22"/>
      <c r="L156" s="22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/>
      <c r="B157" s="17"/>
      <c r="C157" s="17"/>
      <c r="D157" s="17"/>
      <c r="E157" s="17"/>
      <c r="F157" s="17"/>
      <c r="G157" s="17"/>
      <c r="H157" s="88"/>
      <c r="I157" s="17"/>
      <c r="J157" s="21"/>
      <c r="K157" s="22"/>
      <c r="L157" s="22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/>
      <c r="B158" s="17"/>
      <c r="C158" s="17"/>
      <c r="D158" s="17"/>
      <c r="E158" s="17"/>
      <c r="F158" s="17"/>
      <c r="G158" s="17"/>
      <c r="H158" s="88"/>
      <c r="I158" s="17"/>
      <c r="J158" s="21"/>
      <c r="K158" s="22"/>
      <c r="L158" s="22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/>
      <c r="B159" s="17"/>
      <c r="C159" s="17"/>
      <c r="D159" s="17"/>
      <c r="E159" s="17"/>
      <c r="F159" s="17"/>
      <c r="G159" s="17"/>
      <c r="H159" s="88"/>
      <c r="I159" s="17"/>
      <c r="J159" s="21"/>
      <c r="K159" s="22"/>
      <c r="L159" s="22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/>
      <c r="B160" s="17"/>
      <c r="C160" s="17"/>
      <c r="D160" s="17"/>
      <c r="E160" s="17"/>
      <c r="F160" s="17"/>
      <c r="G160" s="17"/>
      <c r="H160" s="88"/>
      <c r="I160" s="17"/>
      <c r="J160" s="21"/>
      <c r="K160" s="22"/>
      <c r="L160" s="22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/>
      <c r="B161" s="17"/>
      <c r="C161" s="17"/>
      <c r="D161" s="17"/>
      <c r="E161" s="17"/>
      <c r="F161" s="17"/>
      <c r="G161" s="17"/>
      <c r="H161" s="88"/>
      <c r="I161" s="17"/>
      <c r="J161" s="21"/>
      <c r="K161" s="22"/>
      <c r="L161" s="22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/>
      <c r="B162" s="17"/>
      <c r="C162" s="17"/>
      <c r="D162" s="17"/>
      <c r="E162" s="17"/>
      <c r="F162" s="17"/>
      <c r="G162" s="17"/>
      <c r="H162" s="88"/>
      <c r="I162" s="17"/>
      <c r="J162" s="21"/>
      <c r="K162" s="22"/>
      <c r="L162" s="22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/>
      <c r="B163" s="17"/>
      <c r="C163" s="17"/>
      <c r="D163" s="17"/>
      <c r="E163" s="17"/>
      <c r="F163" s="17"/>
      <c r="G163" s="17"/>
      <c r="H163" s="88"/>
      <c r="I163" s="17"/>
      <c r="J163" s="21"/>
      <c r="K163" s="22"/>
      <c r="L163" s="22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/>
      <c r="B164" s="17"/>
      <c r="C164" s="17"/>
      <c r="D164" s="17"/>
      <c r="E164" s="17"/>
      <c r="F164" s="17"/>
      <c r="G164" s="17"/>
      <c r="H164" s="88"/>
      <c r="I164" s="17"/>
      <c r="J164" s="21"/>
      <c r="K164" s="22"/>
      <c r="L164" s="22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/>
      <c r="B165" s="17"/>
      <c r="C165" s="17"/>
      <c r="D165" s="17"/>
      <c r="E165" s="17"/>
      <c r="F165" s="17"/>
      <c r="G165" s="17"/>
      <c r="H165" s="88"/>
      <c r="I165" s="17"/>
      <c r="J165" s="21"/>
      <c r="K165" s="22"/>
      <c r="L165" s="22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/>
      <c r="B166" s="17"/>
      <c r="C166" s="17"/>
      <c r="D166" s="17"/>
      <c r="E166" s="17"/>
      <c r="F166" s="17"/>
      <c r="G166" s="17"/>
      <c r="H166" s="88"/>
      <c r="I166" s="17"/>
      <c r="J166" s="21"/>
      <c r="K166" s="22"/>
      <c r="L166" s="22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/>
      <c r="B167" s="17"/>
      <c r="C167" s="17"/>
      <c r="D167" s="17"/>
      <c r="E167" s="17"/>
      <c r="F167" s="17"/>
      <c r="G167" s="17"/>
      <c r="H167" s="88"/>
      <c r="I167" s="17"/>
      <c r="J167" s="21"/>
      <c r="K167" s="22"/>
      <c r="L167" s="22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/>
      <c r="B168" s="17"/>
      <c r="C168" s="17"/>
      <c r="D168" s="17"/>
      <c r="E168" s="17"/>
      <c r="F168" s="17"/>
      <c r="G168" s="17"/>
      <c r="H168" s="88"/>
      <c r="I168" s="17"/>
      <c r="J168" s="21"/>
      <c r="K168" s="22"/>
      <c r="L168" s="22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/>
      <c r="B169" s="17"/>
      <c r="C169" s="17"/>
      <c r="D169" s="17"/>
      <c r="E169" s="17"/>
      <c r="F169" s="17"/>
      <c r="G169" s="17"/>
      <c r="H169" s="88"/>
      <c r="I169" s="17"/>
      <c r="J169" s="21"/>
      <c r="K169" s="22"/>
      <c r="L169" s="22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/>
      <c r="B170" s="17"/>
      <c r="C170" s="17"/>
      <c r="D170" s="17"/>
      <c r="E170" s="17"/>
      <c r="F170" s="17"/>
      <c r="G170" s="17"/>
      <c r="H170" s="88"/>
      <c r="I170" s="17"/>
      <c r="J170" s="21"/>
      <c r="K170" s="22"/>
      <c r="L170" s="22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/>
      <c r="B171" s="17"/>
      <c r="C171" s="17"/>
      <c r="D171" s="17"/>
      <c r="E171" s="17"/>
      <c r="F171" s="17"/>
      <c r="G171" s="17"/>
      <c r="H171" s="88"/>
      <c r="I171" s="17"/>
      <c r="J171" s="21"/>
      <c r="K171" s="22"/>
      <c r="L171" s="22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88"/>
      <c r="I172" s="17"/>
      <c r="J172" s="21"/>
      <c r="K172" s="22"/>
      <c r="L172" s="22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88"/>
      <c r="I173" s="17"/>
      <c r="J173" s="21"/>
      <c r="K173" s="22"/>
      <c r="L173" s="22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88"/>
      <c r="I174" s="17"/>
      <c r="J174" s="21"/>
      <c r="K174" s="22"/>
      <c r="L174" s="22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88"/>
      <c r="I175" s="17"/>
      <c r="J175" s="21"/>
      <c r="K175" s="22"/>
      <c r="L175" s="22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88"/>
      <c r="I176" s="17"/>
      <c r="J176" s="21"/>
      <c r="K176" s="22"/>
      <c r="L176" s="22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88"/>
      <c r="I177" s="17"/>
      <c r="J177" s="21"/>
      <c r="K177" s="22"/>
      <c r="L177" s="22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88"/>
      <c r="I178" s="17"/>
      <c r="J178" s="21"/>
      <c r="K178" s="22"/>
      <c r="L178" s="22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88"/>
      <c r="I179" s="17"/>
      <c r="J179" s="21"/>
      <c r="K179" s="22"/>
      <c r="L179" s="22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88"/>
      <c r="I180" s="17"/>
      <c r="J180" s="21"/>
      <c r="K180" s="22"/>
      <c r="L180" s="22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88"/>
      <c r="I181" s="17"/>
      <c r="J181" s="21"/>
      <c r="K181" s="22"/>
      <c r="L181" s="22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88"/>
      <c r="I182" s="17"/>
      <c r="J182" s="21"/>
      <c r="K182" s="22"/>
      <c r="L182" s="22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88"/>
      <c r="I183" s="17"/>
      <c r="J183" s="21"/>
      <c r="K183" s="22"/>
      <c r="L183" s="22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88"/>
      <c r="I184" s="17"/>
      <c r="J184" s="21"/>
      <c r="K184" s="22"/>
      <c r="L184" s="22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88"/>
      <c r="I185" s="17"/>
      <c r="J185" s="21"/>
      <c r="K185" s="22"/>
      <c r="L185" s="22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88"/>
      <c r="I186" s="17"/>
      <c r="J186" s="21"/>
      <c r="K186" s="22"/>
      <c r="L186" s="22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88"/>
      <c r="I187" s="17"/>
      <c r="J187" s="21"/>
      <c r="K187" s="22"/>
      <c r="L187" s="22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88"/>
      <c r="I188" s="17"/>
      <c r="J188" s="21"/>
      <c r="K188" s="22"/>
      <c r="L188" s="22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88"/>
      <c r="I189" s="17"/>
      <c r="J189" s="21"/>
      <c r="K189" s="22"/>
      <c r="L189" s="22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88"/>
      <c r="I190" s="17"/>
      <c r="J190" s="21"/>
      <c r="K190" s="22"/>
      <c r="L190" s="22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88"/>
      <c r="I191" s="17"/>
      <c r="J191" s="21"/>
      <c r="K191" s="22"/>
      <c r="L191" s="22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88"/>
      <c r="I192" s="17"/>
      <c r="J192" s="21"/>
      <c r="K192" s="22"/>
      <c r="L192" s="22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88"/>
      <c r="I193" s="17"/>
      <c r="J193" s="21"/>
      <c r="K193" s="22"/>
      <c r="L193" s="22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88"/>
      <c r="I194" s="17"/>
      <c r="J194" s="21"/>
      <c r="K194" s="22"/>
      <c r="L194" s="22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88"/>
      <c r="I195" s="17"/>
      <c r="J195" s="21"/>
      <c r="K195" s="22"/>
      <c r="L195" s="22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88"/>
      <c r="I196" s="17"/>
      <c r="J196" s="21"/>
      <c r="K196" s="22"/>
      <c r="L196" s="22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88"/>
      <c r="I197" s="17"/>
      <c r="J197" s="21"/>
      <c r="K197" s="22"/>
      <c r="L197" s="22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88"/>
      <c r="I198" s="17"/>
      <c r="J198" s="21"/>
      <c r="K198" s="22"/>
      <c r="L198" s="22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88"/>
      <c r="I199" s="17"/>
      <c r="J199" s="21"/>
      <c r="K199" s="22"/>
      <c r="L199" s="22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88"/>
      <c r="I200" s="17"/>
      <c r="J200" s="21"/>
      <c r="K200" s="22"/>
      <c r="L200" s="22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88"/>
      <c r="I201" s="17"/>
      <c r="J201" s="21"/>
      <c r="K201" s="22"/>
      <c r="L201" s="22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88"/>
      <c r="I202" s="17"/>
      <c r="J202" s="21"/>
      <c r="K202" s="22"/>
      <c r="L202" s="22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88"/>
      <c r="I203" s="17"/>
      <c r="J203" s="21"/>
      <c r="K203" s="22"/>
      <c r="L203" s="22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88"/>
      <c r="I204" s="17"/>
      <c r="J204" s="21"/>
      <c r="K204" s="22"/>
      <c r="L204" s="22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88"/>
      <c r="I205" s="17"/>
      <c r="J205" s="21"/>
      <c r="K205" s="22"/>
      <c r="L205" s="22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88"/>
      <c r="I206" s="17"/>
      <c r="J206" s="21"/>
      <c r="K206" s="22"/>
      <c r="L206" s="22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88"/>
      <c r="I207" s="17"/>
      <c r="J207" s="21"/>
      <c r="K207" s="22"/>
      <c r="L207" s="22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88"/>
      <c r="I208" s="17"/>
      <c r="J208" s="21"/>
      <c r="K208" s="22"/>
      <c r="L208" s="22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88"/>
      <c r="I209" s="17"/>
      <c r="J209" s="21"/>
      <c r="K209" s="22"/>
      <c r="L209" s="22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88"/>
      <c r="I210" s="17"/>
      <c r="J210" s="21"/>
      <c r="K210" s="22"/>
      <c r="L210" s="22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88"/>
      <c r="I211" s="17"/>
      <c r="J211" s="21"/>
      <c r="K211" s="22"/>
      <c r="L211" s="22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88"/>
      <c r="I212" s="17"/>
      <c r="J212" s="21"/>
      <c r="K212" s="22"/>
      <c r="L212" s="22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88"/>
      <c r="I213" s="17"/>
      <c r="J213" s="21"/>
      <c r="K213" s="22"/>
      <c r="L213" s="22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88"/>
      <c r="I214" s="17"/>
      <c r="J214" s="21"/>
      <c r="K214" s="22"/>
      <c r="L214" s="22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88"/>
      <c r="I215" s="17"/>
      <c r="J215" s="21"/>
      <c r="K215" s="22"/>
      <c r="L215" s="22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88"/>
      <c r="I216" s="17"/>
      <c r="J216" s="21"/>
      <c r="K216" s="22"/>
      <c r="L216" s="22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88"/>
      <c r="I217" s="17"/>
      <c r="J217" s="21"/>
      <c r="K217" s="22"/>
      <c r="L217" s="22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88"/>
      <c r="I218" s="17"/>
      <c r="J218" s="21"/>
      <c r="K218" s="22"/>
      <c r="L218" s="22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88"/>
      <c r="I219" s="17"/>
      <c r="J219" s="21"/>
      <c r="K219" s="22"/>
      <c r="L219" s="22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88"/>
      <c r="I220" s="17"/>
      <c r="J220" s="21"/>
      <c r="K220" s="22"/>
      <c r="L220" s="22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88"/>
      <c r="I221" s="17"/>
      <c r="J221" s="21"/>
      <c r="K221" s="22"/>
      <c r="L221" s="22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88"/>
      <c r="I222" s="17"/>
      <c r="J222" s="21"/>
      <c r="K222" s="22"/>
      <c r="L222" s="22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88"/>
      <c r="I223" s="17"/>
      <c r="J223" s="21"/>
      <c r="K223" s="22"/>
      <c r="L223" s="22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88"/>
      <c r="I224" s="17"/>
      <c r="J224" s="21"/>
      <c r="K224" s="22"/>
      <c r="L224" s="22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88"/>
      <c r="I225" s="17"/>
      <c r="J225" s="21"/>
      <c r="K225" s="22"/>
      <c r="L225" s="22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88"/>
      <c r="I226" s="17"/>
      <c r="J226" s="21"/>
      <c r="K226" s="22"/>
      <c r="L226" s="22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88"/>
      <c r="I227" s="17"/>
      <c r="J227" s="21"/>
      <c r="K227" s="22"/>
      <c r="L227" s="22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88"/>
      <c r="I228" s="17"/>
      <c r="J228" s="21"/>
      <c r="K228" s="22"/>
      <c r="L228" s="22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88"/>
      <c r="I229" s="17"/>
      <c r="J229" s="21"/>
      <c r="K229" s="22"/>
      <c r="L229" s="22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88"/>
      <c r="I230" s="17"/>
      <c r="J230" s="21"/>
      <c r="K230" s="22"/>
      <c r="L230" s="22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88"/>
      <c r="I231" s="17"/>
      <c r="J231" s="21"/>
      <c r="K231" s="22"/>
      <c r="L231" s="22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88"/>
      <c r="I232" s="17"/>
      <c r="J232" s="21"/>
      <c r="K232" s="22"/>
      <c r="L232" s="22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88"/>
      <c r="I233" s="17"/>
      <c r="J233" s="21"/>
      <c r="K233" s="22"/>
      <c r="L233" s="22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88"/>
      <c r="I234" s="17"/>
      <c r="J234" s="21"/>
      <c r="K234" s="22"/>
      <c r="L234" s="22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88"/>
      <c r="I235" s="17"/>
      <c r="J235" s="21"/>
      <c r="K235" s="22"/>
      <c r="L235" s="22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88"/>
      <c r="I236" s="17"/>
      <c r="J236" s="21"/>
      <c r="K236" s="22"/>
      <c r="L236" s="22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88"/>
      <c r="I237" s="17"/>
      <c r="J237" s="21"/>
      <c r="K237" s="22"/>
      <c r="L237" s="22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88"/>
      <c r="I238" s="17"/>
      <c r="J238" s="21"/>
      <c r="K238" s="22"/>
      <c r="L238" s="22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88"/>
      <c r="I239" s="17"/>
      <c r="J239" s="21"/>
      <c r="K239" s="22"/>
      <c r="L239" s="22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88"/>
      <c r="I240" s="17"/>
      <c r="J240" s="21"/>
      <c r="K240" s="22"/>
      <c r="L240" s="22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88"/>
      <c r="I241" s="17"/>
      <c r="J241" s="21"/>
      <c r="K241" s="22"/>
      <c r="L241" s="22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88"/>
      <c r="I242" s="17"/>
      <c r="J242" s="21"/>
      <c r="K242" s="22"/>
      <c r="L242" s="22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88"/>
      <c r="I243" s="17"/>
      <c r="J243" s="21"/>
      <c r="K243" s="22"/>
      <c r="L243" s="22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88"/>
      <c r="I244" s="17"/>
      <c r="J244" s="21"/>
      <c r="K244" s="22"/>
      <c r="L244" s="22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88"/>
      <c r="I245" s="17"/>
      <c r="J245" s="21"/>
      <c r="K245" s="22"/>
      <c r="L245" s="22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88"/>
      <c r="I246" s="17"/>
      <c r="J246" s="21"/>
      <c r="K246" s="22"/>
      <c r="L246" s="22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88"/>
      <c r="I247" s="17"/>
      <c r="J247" s="21"/>
      <c r="K247" s="22"/>
      <c r="L247" s="22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88"/>
      <c r="I248" s="17"/>
      <c r="J248" s="21"/>
      <c r="K248" s="22"/>
      <c r="L248" s="22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88"/>
      <c r="I249" s="17"/>
      <c r="J249" s="21"/>
      <c r="K249" s="22"/>
      <c r="L249" s="22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88"/>
      <c r="I250" s="17"/>
      <c r="J250" s="21"/>
      <c r="K250" s="22"/>
      <c r="L250" s="22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88"/>
      <c r="I251" s="17"/>
      <c r="J251" s="21"/>
      <c r="K251" s="22"/>
      <c r="L251" s="22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88"/>
      <c r="I252" s="17"/>
      <c r="J252" s="21"/>
      <c r="K252" s="22"/>
      <c r="L252" s="22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88"/>
      <c r="I253" s="17"/>
      <c r="J253" s="21"/>
      <c r="K253" s="22"/>
      <c r="L253" s="22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88"/>
      <c r="I254" s="17"/>
      <c r="J254" s="21"/>
      <c r="K254" s="22"/>
      <c r="L254" s="22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88"/>
      <c r="I255" s="17"/>
      <c r="J255" s="21"/>
      <c r="K255" s="22"/>
      <c r="L255" s="22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88"/>
      <c r="I256" s="17"/>
      <c r="J256" s="21"/>
      <c r="K256" s="22"/>
      <c r="L256" s="22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88"/>
      <c r="I257" s="17"/>
      <c r="J257" s="21"/>
      <c r="K257" s="22"/>
      <c r="L257" s="22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88"/>
      <c r="I258" s="17"/>
      <c r="J258" s="21"/>
      <c r="K258" s="22"/>
      <c r="L258" s="22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88"/>
      <c r="I259" s="17"/>
      <c r="J259" s="21"/>
      <c r="K259" s="22"/>
      <c r="L259" s="22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88"/>
      <c r="I260" s="17"/>
      <c r="J260" s="21"/>
      <c r="K260" s="22"/>
      <c r="L260" s="22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88"/>
      <c r="I261" s="17"/>
      <c r="J261" s="21"/>
      <c r="K261" s="22"/>
      <c r="L261" s="22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88"/>
      <c r="I262" s="17"/>
      <c r="J262" s="21"/>
      <c r="K262" s="22"/>
      <c r="L262" s="22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88"/>
      <c r="I263" s="17"/>
      <c r="J263" s="21"/>
      <c r="K263" s="22"/>
      <c r="L263" s="22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88"/>
      <c r="I264" s="17"/>
      <c r="J264" s="21"/>
      <c r="K264" s="22"/>
      <c r="L264" s="22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88"/>
      <c r="I265" s="17"/>
      <c r="J265" s="21"/>
      <c r="K265" s="22"/>
      <c r="L265" s="22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88"/>
      <c r="I266" s="17"/>
      <c r="J266" s="21"/>
      <c r="K266" s="22"/>
      <c r="L266" s="22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88"/>
      <c r="I267" s="17"/>
      <c r="J267" s="21"/>
      <c r="K267" s="22"/>
      <c r="L267" s="22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88"/>
      <c r="I268" s="17"/>
      <c r="J268" s="21"/>
      <c r="K268" s="22"/>
      <c r="L268" s="22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88"/>
      <c r="I269" s="17"/>
      <c r="J269" s="21"/>
      <c r="K269" s="22"/>
      <c r="L269" s="22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88"/>
      <c r="I270" s="17"/>
      <c r="J270" s="21"/>
      <c r="K270" s="22"/>
      <c r="L270" s="22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88"/>
      <c r="I271" s="17"/>
      <c r="J271" s="21"/>
      <c r="K271" s="22"/>
      <c r="L271" s="22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88"/>
      <c r="I272" s="17"/>
      <c r="J272" s="21"/>
      <c r="K272" s="22"/>
      <c r="L272" s="22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88"/>
      <c r="I273" s="17"/>
      <c r="J273" s="21"/>
      <c r="K273" s="22"/>
      <c r="L273" s="22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88"/>
      <c r="I274" s="17"/>
      <c r="J274" s="21"/>
      <c r="K274" s="22"/>
      <c r="L274" s="22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88"/>
      <c r="I275" s="17"/>
      <c r="J275" s="21"/>
      <c r="K275" s="22"/>
      <c r="L275" s="22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88"/>
      <c r="I276" s="17"/>
      <c r="J276" s="21"/>
      <c r="K276" s="22"/>
      <c r="L276" s="22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88"/>
      <c r="I277" s="17"/>
      <c r="J277" s="21"/>
      <c r="K277" s="22"/>
      <c r="L277" s="22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88"/>
      <c r="I278" s="17"/>
      <c r="J278" s="21"/>
      <c r="K278" s="22"/>
      <c r="L278" s="22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88"/>
      <c r="I279" s="17"/>
      <c r="J279" s="21"/>
      <c r="K279" s="22"/>
      <c r="L279" s="22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88"/>
      <c r="I280" s="17"/>
      <c r="J280" s="21"/>
      <c r="K280" s="22"/>
      <c r="L280" s="22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88"/>
      <c r="I281" s="17"/>
      <c r="J281" s="21"/>
      <c r="K281" s="22"/>
      <c r="L281" s="22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88"/>
      <c r="I282" s="17"/>
      <c r="J282" s="21"/>
      <c r="K282" s="22"/>
      <c r="L282" s="22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88"/>
      <c r="I283" s="17"/>
      <c r="J283" s="21"/>
      <c r="K283" s="22"/>
      <c r="L283" s="22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88"/>
      <c r="I284" s="17"/>
      <c r="J284" s="21"/>
      <c r="K284" s="22"/>
      <c r="L284" s="22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88"/>
      <c r="I285" s="17"/>
      <c r="J285" s="21"/>
      <c r="K285" s="22"/>
      <c r="L285" s="22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88"/>
      <c r="I286" s="17"/>
      <c r="J286" s="21"/>
      <c r="K286" s="22"/>
      <c r="L286" s="22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88"/>
      <c r="I287" s="17"/>
      <c r="J287" s="21"/>
      <c r="K287" s="22"/>
      <c r="L287" s="22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88"/>
      <c r="I288" s="17"/>
      <c r="J288" s="21"/>
      <c r="K288" s="22"/>
      <c r="L288" s="22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88"/>
      <c r="I289" s="17"/>
      <c r="J289" s="21"/>
      <c r="K289" s="22"/>
      <c r="L289" s="22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88"/>
      <c r="I290" s="17"/>
      <c r="J290" s="21"/>
      <c r="K290" s="22"/>
      <c r="L290" s="22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88"/>
      <c r="I291" s="17"/>
      <c r="J291" s="21"/>
      <c r="K291" s="22"/>
      <c r="L291" s="22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88"/>
      <c r="I292" s="17"/>
      <c r="J292" s="21"/>
      <c r="K292" s="22"/>
      <c r="L292" s="22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88"/>
      <c r="I293" s="17"/>
      <c r="J293" s="21"/>
      <c r="K293" s="22"/>
      <c r="L293" s="22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88"/>
      <c r="I294" s="17"/>
      <c r="J294" s="21"/>
      <c r="K294" s="22"/>
      <c r="L294" s="22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88"/>
      <c r="I295" s="17"/>
      <c r="J295" s="21"/>
      <c r="K295" s="22"/>
      <c r="L295" s="22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88"/>
      <c r="I296" s="17"/>
      <c r="J296" s="21"/>
      <c r="K296" s="22"/>
      <c r="L296" s="22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88"/>
      <c r="I297" s="17"/>
      <c r="J297" s="21"/>
      <c r="K297" s="22"/>
      <c r="L297" s="22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88"/>
      <c r="I298" s="17"/>
      <c r="J298" s="21"/>
      <c r="K298" s="22"/>
      <c r="L298" s="22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88"/>
      <c r="I299" s="17"/>
      <c r="J299" s="21"/>
      <c r="K299" s="22"/>
      <c r="L299" s="22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88"/>
      <c r="I300" s="17"/>
      <c r="J300" s="21"/>
      <c r="K300" s="22"/>
      <c r="L300" s="22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88"/>
      <c r="I301" s="17"/>
      <c r="J301" s="21"/>
      <c r="K301" s="22"/>
      <c r="L301" s="22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88"/>
      <c r="I302" s="17"/>
      <c r="J302" s="21"/>
      <c r="K302" s="22"/>
      <c r="L302" s="22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88"/>
      <c r="I303" s="17"/>
      <c r="J303" s="21"/>
      <c r="K303" s="22"/>
      <c r="L303" s="22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88"/>
      <c r="I304" s="17"/>
      <c r="J304" s="21"/>
      <c r="K304" s="22"/>
      <c r="L304" s="22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88"/>
      <c r="I305" s="17"/>
      <c r="J305" s="21"/>
      <c r="K305" s="22"/>
      <c r="L305" s="22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88"/>
      <c r="I306" s="17"/>
      <c r="J306" s="21"/>
      <c r="K306" s="22"/>
      <c r="L306" s="22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88"/>
      <c r="I307" s="17"/>
      <c r="J307" s="21"/>
      <c r="K307" s="22"/>
      <c r="L307" s="22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88"/>
      <c r="I308" s="17"/>
      <c r="J308" s="21"/>
      <c r="K308" s="22"/>
      <c r="L308" s="22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88"/>
      <c r="I309" s="17"/>
      <c r="J309" s="21"/>
      <c r="K309" s="22"/>
      <c r="L309" s="22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88"/>
      <c r="I310" s="17"/>
      <c r="J310" s="21"/>
      <c r="K310" s="22"/>
      <c r="L310" s="22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88"/>
      <c r="I311" s="17"/>
      <c r="J311" s="21"/>
      <c r="K311" s="22"/>
      <c r="L311" s="22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88"/>
      <c r="I312" s="17"/>
      <c r="J312" s="21"/>
      <c r="K312" s="22"/>
      <c r="L312" s="22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88"/>
      <c r="I313" s="17"/>
      <c r="J313" s="21"/>
      <c r="K313" s="22"/>
      <c r="L313" s="22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88"/>
      <c r="I314" s="17"/>
      <c r="J314" s="21"/>
      <c r="K314" s="22"/>
      <c r="L314" s="22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88"/>
      <c r="I315" s="17"/>
      <c r="J315" s="21"/>
      <c r="K315" s="22"/>
      <c r="L315" s="22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88"/>
      <c r="I316" s="17"/>
      <c r="J316" s="21"/>
      <c r="K316" s="22"/>
      <c r="L316" s="22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88"/>
      <c r="I317" s="17"/>
      <c r="J317" s="21"/>
      <c r="K317" s="22"/>
      <c r="L317" s="22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88"/>
      <c r="I318" s="17"/>
      <c r="J318" s="21"/>
      <c r="K318" s="22"/>
      <c r="L318" s="22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88"/>
      <c r="I319" s="17"/>
      <c r="J319" s="21"/>
      <c r="K319" s="22"/>
      <c r="L319" s="22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88"/>
      <c r="I320" s="17"/>
      <c r="J320" s="21"/>
      <c r="K320" s="22"/>
      <c r="L320" s="22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88"/>
      <c r="I321" s="17"/>
      <c r="J321" s="21"/>
      <c r="K321" s="22"/>
      <c r="L321" s="22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88"/>
      <c r="I322" s="17"/>
      <c r="J322" s="21"/>
      <c r="K322" s="22"/>
      <c r="L322" s="22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88"/>
      <c r="I323" s="17"/>
      <c r="J323" s="21"/>
      <c r="K323" s="22"/>
      <c r="L323" s="22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88"/>
      <c r="I324" s="17"/>
      <c r="J324" s="21"/>
      <c r="K324" s="22"/>
      <c r="L324" s="22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88"/>
      <c r="I325" s="17"/>
      <c r="J325" s="21"/>
      <c r="K325" s="22"/>
      <c r="L325" s="22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88"/>
      <c r="I326" s="17"/>
      <c r="J326" s="21"/>
      <c r="K326" s="22"/>
      <c r="L326" s="22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88"/>
      <c r="I327" s="17"/>
      <c r="J327" s="21"/>
      <c r="K327" s="22"/>
      <c r="L327" s="22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88"/>
      <c r="I328" s="17"/>
      <c r="J328" s="21"/>
      <c r="K328" s="22"/>
      <c r="L328" s="22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88"/>
      <c r="I329" s="17"/>
      <c r="J329" s="21"/>
      <c r="K329" s="22"/>
      <c r="L329" s="22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88"/>
      <c r="I330" s="17"/>
      <c r="J330" s="21"/>
      <c r="K330" s="22"/>
      <c r="L330" s="22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88"/>
      <c r="I331" s="17"/>
      <c r="J331" s="21"/>
      <c r="K331" s="22"/>
      <c r="L331" s="22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88"/>
      <c r="I332" s="17"/>
      <c r="J332" s="21"/>
      <c r="K332" s="22"/>
      <c r="L332" s="22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88"/>
      <c r="I333" s="17"/>
      <c r="J333" s="21"/>
      <c r="K333" s="22"/>
      <c r="L333" s="22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88"/>
      <c r="I334" s="17"/>
      <c r="J334" s="21"/>
      <c r="K334" s="22"/>
      <c r="L334" s="22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88"/>
      <c r="I335" s="17"/>
      <c r="J335" s="21"/>
      <c r="K335" s="22"/>
      <c r="L335" s="22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88"/>
      <c r="I336" s="17"/>
      <c r="J336" s="21"/>
      <c r="K336" s="22"/>
      <c r="L336" s="22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88"/>
      <c r="I337" s="17"/>
      <c r="J337" s="21"/>
      <c r="K337" s="22"/>
      <c r="L337" s="22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88"/>
      <c r="I338" s="17"/>
      <c r="J338" s="21"/>
      <c r="K338" s="22"/>
      <c r="L338" s="22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88"/>
      <c r="I339" s="17"/>
      <c r="J339" s="21"/>
      <c r="K339" s="22"/>
      <c r="L339" s="22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88"/>
      <c r="I340" s="17"/>
      <c r="J340" s="21"/>
      <c r="K340" s="22"/>
      <c r="L340" s="22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88"/>
      <c r="I341" s="17"/>
      <c r="J341" s="21"/>
      <c r="K341" s="22"/>
      <c r="L341" s="22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88"/>
      <c r="I342" s="17"/>
      <c r="J342" s="21"/>
      <c r="K342" s="22"/>
      <c r="L342" s="22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88"/>
      <c r="I343" s="17"/>
      <c r="J343" s="21"/>
      <c r="K343" s="22"/>
      <c r="L343" s="22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88"/>
      <c r="I344" s="17"/>
      <c r="J344" s="21"/>
      <c r="K344" s="22"/>
      <c r="L344" s="22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88"/>
      <c r="I345" s="17"/>
      <c r="J345" s="21"/>
      <c r="K345" s="22"/>
      <c r="L345" s="22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88"/>
      <c r="I346" s="17"/>
      <c r="J346" s="21"/>
      <c r="K346" s="22"/>
      <c r="L346" s="22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88"/>
      <c r="I347" s="17"/>
      <c r="J347" s="21"/>
      <c r="K347" s="22"/>
      <c r="L347" s="22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88"/>
      <c r="I348" s="17"/>
      <c r="J348" s="21"/>
      <c r="K348" s="22"/>
      <c r="L348" s="22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88"/>
      <c r="I349" s="17"/>
      <c r="J349" s="21"/>
      <c r="K349" s="22"/>
      <c r="L349" s="22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88"/>
      <c r="I350" s="17"/>
      <c r="J350" s="21"/>
      <c r="K350" s="22"/>
      <c r="L350" s="22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88"/>
      <c r="I351" s="17"/>
      <c r="J351" s="21"/>
      <c r="K351" s="22"/>
      <c r="L351" s="22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88"/>
      <c r="I352" s="17"/>
      <c r="J352" s="21"/>
      <c r="K352" s="22"/>
      <c r="L352" s="22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88"/>
      <c r="I353" s="17"/>
      <c r="J353" s="21"/>
      <c r="K353" s="22"/>
      <c r="L353" s="22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88"/>
      <c r="I354" s="17"/>
      <c r="J354" s="21"/>
      <c r="K354" s="22"/>
      <c r="L354" s="22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88"/>
      <c r="I355" s="17"/>
      <c r="J355" s="21"/>
      <c r="K355" s="22"/>
      <c r="L355" s="22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88"/>
      <c r="I356" s="17"/>
      <c r="J356" s="21"/>
      <c r="K356" s="22"/>
      <c r="L356" s="22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88"/>
      <c r="I357" s="17"/>
      <c r="J357" s="21"/>
      <c r="K357" s="22"/>
      <c r="L357" s="22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88"/>
      <c r="I358" s="17"/>
      <c r="J358" s="21"/>
      <c r="K358" s="22"/>
      <c r="L358" s="22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88"/>
      <c r="I359" s="17"/>
      <c r="J359" s="21"/>
      <c r="K359" s="22"/>
      <c r="L359" s="22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88"/>
      <c r="I360" s="17"/>
      <c r="J360" s="21"/>
      <c r="K360" s="22"/>
      <c r="L360" s="22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88"/>
      <c r="I361" s="17"/>
      <c r="J361" s="21"/>
      <c r="K361" s="22"/>
      <c r="L361" s="22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88"/>
      <c r="I362" s="17"/>
      <c r="J362" s="21"/>
      <c r="K362" s="22"/>
      <c r="L362" s="22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88"/>
      <c r="I363" s="17"/>
      <c r="J363" s="21"/>
      <c r="K363" s="22"/>
      <c r="L363" s="22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88"/>
      <c r="I364" s="17"/>
      <c r="J364" s="21"/>
      <c r="K364" s="22"/>
      <c r="L364" s="22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88"/>
      <c r="I365" s="17"/>
      <c r="J365" s="21"/>
      <c r="K365" s="22"/>
      <c r="L365" s="22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88"/>
      <c r="I366" s="17"/>
      <c r="J366" s="21"/>
      <c r="K366" s="22"/>
      <c r="L366" s="22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88"/>
      <c r="I367" s="17"/>
      <c r="J367" s="21"/>
      <c r="K367" s="22"/>
      <c r="L367" s="22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88"/>
      <c r="I368" s="17"/>
      <c r="J368" s="21"/>
      <c r="K368" s="22"/>
      <c r="L368" s="22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88"/>
      <c r="I369" s="17"/>
      <c r="J369" s="21"/>
      <c r="K369" s="22"/>
      <c r="L369" s="22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88"/>
      <c r="I370" s="17"/>
      <c r="J370" s="21"/>
      <c r="K370" s="22"/>
      <c r="L370" s="22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88"/>
      <c r="I371" s="17"/>
      <c r="J371" s="21"/>
      <c r="K371" s="22"/>
      <c r="L371" s="22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88"/>
      <c r="I372" s="17"/>
      <c r="J372" s="21"/>
      <c r="K372" s="22"/>
      <c r="L372" s="22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88"/>
      <c r="I373" s="17"/>
      <c r="J373" s="21"/>
      <c r="K373" s="22"/>
      <c r="L373" s="22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88"/>
      <c r="I374" s="17"/>
      <c r="J374" s="21"/>
      <c r="K374" s="22"/>
      <c r="L374" s="22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88"/>
      <c r="I375" s="17"/>
      <c r="J375" s="21"/>
      <c r="K375" s="22"/>
      <c r="L375" s="22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88"/>
      <c r="I376" s="17"/>
      <c r="J376" s="21"/>
      <c r="K376" s="22"/>
      <c r="L376" s="22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88"/>
      <c r="I377" s="17"/>
      <c r="J377" s="21"/>
      <c r="K377" s="22"/>
      <c r="L377" s="22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88"/>
      <c r="I378" s="17"/>
      <c r="J378" s="21"/>
      <c r="K378" s="22"/>
      <c r="L378" s="22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88"/>
      <c r="I379" s="17"/>
      <c r="J379" s="21"/>
      <c r="K379" s="22"/>
      <c r="L379" s="22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88"/>
      <c r="I380" s="17"/>
      <c r="J380" s="21"/>
      <c r="K380" s="22"/>
      <c r="L380" s="22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88"/>
      <c r="I381" s="17"/>
      <c r="J381" s="21"/>
      <c r="K381" s="22"/>
      <c r="L381" s="22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88"/>
      <c r="I382" s="17"/>
      <c r="J382" s="21"/>
      <c r="K382" s="22"/>
      <c r="L382" s="22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88"/>
      <c r="I383" s="17"/>
      <c r="J383" s="21"/>
      <c r="K383" s="22"/>
      <c r="L383" s="22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88"/>
      <c r="I384" s="17"/>
      <c r="J384" s="21"/>
      <c r="K384" s="22"/>
      <c r="L384" s="22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88"/>
      <c r="I385" s="17"/>
      <c r="J385" s="21"/>
      <c r="K385" s="22"/>
      <c r="L385" s="22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88"/>
      <c r="I386" s="17"/>
      <c r="J386" s="21"/>
      <c r="K386" s="22"/>
      <c r="L386" s="22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88"/>
      <c r="I387" s="17"/>
      <c r="J387" s="21"/>
      <c r="K387" s="22"/>
      <c r="L387" s="22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88"/>
      <c r="I388" s="17"/>
      <c r="J388" s="21"/>
      <c r="K388" s="22"/>
      <c r="L388" s="22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88"/>
      <c r="I389" s="17"/>
      <c r="J389" s="21"/>
      <c r="K389" s="22"/>
      <c r="L389" s="22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88"/>
      <c r="I390" s="17"/>
      <c r="J390" s="21"/>
      <c r="K390" s="22"/>
      <c r="L390" s="22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88"/>
      <c r="I391" s="17"/>
      <c r="J391" s="21"/>
      <c r="K391" s="22"/>
      <c r="L391" s="22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88"/>
      <c r="I392" s="17"/>
      <c r="J392" s="21"/>
      <c r="K392" s="22"/>
      <c r="L392" s="22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88"/>
      <c r="I393" s="17"/>
      <c r="J393" s="21"/>
      <c r="K393" s="22"/>
      <c r="L393" s="22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88"/>
      <c r="I394" s="17"/>
      <c r="J394" s="21"/>
      <c r="K394" s="22"/>
      <c r="L394" s="22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88"/>
      <c r="I395" s="17"/>
      <c r="J395" s="21"/>
      <c r="K395" s="22"/>
      <c r="L395" s="22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88"/>
      <c r="I396" s="17"/>
      <c r="J396" s="21"/>
      <c r="K396" s="22"/>
      <c r="L396" s="22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88"/>
      <c r="I397" s="17"/>
      <c r="J397" s="21"/>
      <c r="K397" s="22"/>
      <c r="L397" s="22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88"/>
      <c r="I398" s="17"/>
      <c r="J398" s="21"/>
      <c r="K398" s="22"/>
      <c r="L398" s="22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88"/>
      <c r="I399" s="17"/>
      <c r="J399" s="21"/>
      <c r="K399" s="22"/>
      <c r="L399" s="22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88"/>
      <c r="I400" s="17"/>
      <c r="J400" s="21"/>
      <c r="K400" s="22"/>
      <c r="L400" s="22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88"/>
      <c r="I401" s="17"/>
      <c r="J401" s="21"/>
      <c r="K401" s="22"/>
      <c r="L401" s="22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88"/>
      <c r="I402" s="17"/>
      <c r="J402" s="21"/>
      <c r="K402" s="22"/>
      <c r="L402" s="22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88"/>
      <c r="I403" s="17"/>
      <c r="J403" s="21"/>
      <c r="K403" s="22"/>
      <c r="L403" s="22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88"/>
      <c r="I404" s="17"/>
      <c r="J404" s="21"/>
      <c r="K404" s="22"/>
      <c r="L404" s="22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88"/>
      <c r="I405" s="17"/>
      <c r="J405" s="21"/>
      <c r="K405" s="22"/>
      <c r="L405" s="22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88"/>
      <c r="I406" s="17"/>
      <c r="J406" s="21"/>
      <c r="K406" s="22"/>
      <c r="L406" s="22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88"/>
      <c r="I407" s="17"/>
      <c r="J407" s="21"/>
      <c r="K407" s="22"/>
      <c r="L407" s="22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88"/>
      <c r="I408" s="17"/>
      <c r="J408" s="21"/>
      <c r="K408" s="22"/>
      <c r="L408" s="22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88"/>
      <c r="I409" s="17"/>
      <c r="J409" s="21"/>
      <c r="K409" s="22"/>
      <c r="L409" s="22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88"/>
      <c r="I410" s="17"/>
      <c r="J410" s="21"/>
      <c r="K410" s="22"/>
      <c r="L410" s="22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88"/>
      <c r="I411" s="17"/>
      <c r="J411" s="21"/>
      <c r="K411" s="22"/>
      <c r="L411" s="22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88"/>
      <c r="I412" s="17"/>
      <c r="J412" s="21"/>
      <c r="K412" s="22"/>
      <c r="L412" s="22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88"/>
      <c r="I413" s="17"/>
      <c r="J413" s="21"/>
      <c r="K413" s="22"/>
      <c r="L413" s="22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88"/>
      <c r="I414" s="17"/>
      <c r="J414" s="21"/>
      <c r="K414" s="22"/>
      <c r="L414" s="22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88"/>
      <c r="I415" s="17"/>
      <c r="J415" s="21"/>
      <c r="K415" s="22"/>
      <c r="L415" s="22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88"/>
      <c r="I416" s="17"/>
      <c r="J416" s="21"/>
      <c r="K416" s="22"/>
      <c r="L416" s="22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88"/>
      <c r="I417" s="17"/>
      <c r="J417" s="21"/>
      <c r="K417" s="22"/>
      <c r="L417" s="22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88"/>
      <c r="I418" s="17"/>
      <c r="J418" s="21"/>
      <c r="K418" s="22"/>
      <c r="L418" s="22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88"/>
      <c r="I419" s="17"/>
      <c r="J419" s="21"/>
      <c r="K419" s="22"/>
      <c r="L419" s="22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88"/>
      <c r="I420" s="17"/>
      <c r="J420" s="21"/>
      <c r="K420" s="22"/>
      <c r="L420" s="22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88"/>
      <c r="I421" s="17"/>
      <c r="J421" s="21"/>
      <c r="K421" s="22"/>
      <c r="L421" s="22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88"/>
      <c r="I422" s="17"/>
      <c r="J422" s="21"/>
      <c r="K422" s="22"/>
      <c r="L422" s="22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88"/>
      <c r="I423" s="17"/>
      <c r="J423" s="21"/>
      <c r="K423" s="22"/>
      <c r="L423" s="22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88"/>
      <c r="I424" s="17"/>
      <c r="J424" s="21"/>
      <c r="K424" s="22"/>
      <c r="L424" s="22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88"/>
      <c r="I425" s="17"/>
      <c r="J425" s="21"/>
      <c r="K425" s="22"/>
      <c r="L425" s="22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88"/>
      <c r="I426" s="17"/>
      <c r="J426" s="21"/>
      <c r="K426" s="22"/>
      <c r="L426" s="22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88"/>
      <c r="I427" s="17"/>
      <c r="J427" s="21"/>
      <c r="K427" s="22"/>
      <c r="L427" s="22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88"/>
      <c r="I428" s="17"/>
      <c r="J428" s="21"/>
      <c r="K428" s="22"/>
      <c r="L428" s="22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88"/>
      <c r="I429" s="17"/>
      <c r="J429" s="21"/>
      <c r="K429" s="22"/>
      <c r="L429" s="22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88"/>
      <c r="I430" s="17"/>
      <c r="J430" s="21"/>
      <c r="K430" s="22"/>
      <c r="L430" s="22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88"/>
      <c r="I431" s="17"/>
      <c r="J431" s="21"/>
      <c r="K431" s="22"/>
      <c r="L431" s="22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88"/>
      <c r="I432" s="17"/>
      <c r="J432" s="21"/>
      <c r="K432" s="22"/>
      <c r="L432" s="22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88"/>
      <c r="I433" s="17"/>
      <c r="J433" s="21"/>
      <c r="K433" s="22"/>
      <c r="L433" s="22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88"/>
      <c r="I434" s="17"/>
      <c r="J434" s="21"/>
      <c r="K434" s="22"/>
      <c r="L434" s="22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88"/>
      <c r="I435" s="17"/>
      <c r="J435" s="21"/>
      <c r="K435" s="22"/>
      <c r="L435" s="22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88"/>
      <c r="I436" s="17"/>
      <c r="J436" s="21"/>
      <c r="K436" s="22"/>
      <c r="L436" s="22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88"/>
      <c r="I437" s="17"/>
      <c r="J437" s="21"/>
      <c r="K437" s="22"/>
      <c r="L437" s="22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88"/>
      <c r="I438" s="17"/>
      <c r="J438" s="21"/>
      <c r="K438" s="22"/>
      <c r="L438" s="22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88"/>
      <c r="I439" s="17"/>
      <c r="J439" s="21"/>
      <c r="K439" s="22"/>
      <c r="L439" s="22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88"/>
      <c r="I440" s="17"/>
      <c r="J440" s="21"/>
      <c r="K440" s="22"/>
      <c r="L440" s="22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88"/>
      <c r="I441" s="17"/>
      <c r="J441" s="21"/>
      <c r="K441" s="22"/>
      <c r="L441" s="22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88"/>
      <c r="I442" s="17"/>
      <c r="J442" s="21"/>
      <c r="K442" s="22"/>
      <c r="L442" s="22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88"/>
      <c r="I443" s="17"/>
      <c r="J443" s="21"/>
      <c r="K443" s="22"/>
      <c r="L443" s="22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88"/>
      <c r="I444" s="17"/>
      <c r="J444" s="21"/>
      <c r="K444" s="22"/>
      <c r="L444" s="22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88"/>
      <c r="I445" s="17"/>
      <c r="J445" s="21"/>
      <c r="K445" s="22"/>
      <c r="L445" s="22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88"/>
      <c r="I446" s="17"/>
      <c r="J446" s="21"/>
      <c r="K446" s="22"/>
      <c r="L446" s="22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88"/>
      <c r="I447" s="17"/>
      <c r="J447" s="21"/>
      <c r="K447" s="22"/>
      <c r="L447" s="22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88"/>
      <c r="I448" s="17"/>
      <c r="J448" s="21"/>
      <c r="K448" s="22"/>
      <c r="L448" s="22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88"/>
      <c r="I449" s="17"/>
      <c r="J449" s="21"/>
      <c r="K449" s="22"/>
      <c r="L449" s="22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88"/>
      <c r="I450" s="17"/>
      <c r="J450" s="21"/>
      <c r="K450" s="22"/>
      <c r="L450" s="22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88"/>
      <c r="I451" s="17"/>
      <c r="J451" s="21"/>
      <c r="K451" s="22"/>
      <c r="L451" s="22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88"/>
      <c r="I452" s="17"/>
      <c r="J452" s="21"/>
      <c r="K452" s="22"/>
      <c r="L452" s="22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88"/>
      <c r="I453" s="17"/>
      <c r="J453" s="21"/>
      <c r="K453" s="22"/>
      <c r="L453" s="22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88"/>
      <c r="I454" s="17"/>
      <c r="J454" s="21"/>
      <c r="K454" s="22"/>
      <c r="L454" s="22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88"/>
      <c r="I455" s="17"/>
      <c r="J455" s="21"/>
      <c r="K455" s="22"/>
      <c r="L455" s="22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88"/>
      <c r="I456" s="17"/>
      <c r="J456" s="21"/>
      <c r="K456" s="22"/>
      <c r="L456" s="22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88"/>
      <c r="I457" s="17"/>
      <c r="J457" s="21"/>
      <c r="K457" s="22"/>
      <c r="L457" s="22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88"/>
      <c r="I458" s="17"/>
      <c r="J458" s="21"/>
      <c r="K458" s="22"/>
      <c r="L458" s="22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88"/>
      <c r="I459" s="17"/>
      <c r="J459" s="21"/>
      <c r="K459" s="22"/>
      <c r="L459" s="22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88"/>
      <c r="I460" s="17"/>
      <c r="J460" s="21"/>
      <c r="K460" s="22"/>
      <c r="L460" s="22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88"/>
      <c r="I461" s="17"/>
      <c r="J461" s="21"/>
      <c r="K461" s="22"/>
      <c r="L461" s="22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88"/>
      <c r="I462" s="17"/>
      <c r="J462" s="21"/>
      <c r="K462" s="22"/>
      <c r="L462" s="22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88"/>
      <c r="I463" s="17"/>
      <c r="J463" s="21"/>
      <c r="K463" s="22"/>
      <c r="L463" s="22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88"/>
      <c r="I464" s="17"/>
      <c r="J464" s="21"/>
      <c r="K464" s="22"/>
      <c r="L464" s="22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88"/>
      <c r="I465" s="17"/>
      <c r="J465" s="21"/>
      <c r="K465" s="22"/>
      <c r="L465" s="22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88"/>
      <c r="I466" s="17"/>
      <c r="J466" s="21"/>
      <c r="K466" s="22"/>
      <c r="L466" s="22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88"/>
      <c r="I467" s="17"/>
      <c r="J467" s="21"/>
      <c r="K467" s="22"/>
      <c r="L467" s="22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88"/>
      <c r="I468" s="17"/>
      <c r="J468" s="21"/>
      <c r="K468" s="22"/>
      <c r="L468" s="22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88"/>
      <c r="I469" s="17"/>
      <c r="J469" s="21"/>
      <c r="K469" s="22"/>
      <c r="L469" s="22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88"/>
      <c r="I470" s="17"/>
      <c r="J470" s="21"/>
      <c r="K470" s="22"/>
      <c r="L470" s="22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88"/>
      <c r="I471" s="17"/>
      <c r="J471" s="21"/>
      <c r="K471" s="22"/>
      <c r="L471" s="22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88"/>
      <c r="I472" s="17"/>
      <c r="J472" s="21"/>
      <c r="K472" s="22"/>
      <c r="L472" s="22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88"/>
      <c r="I473" s="17"/>
      <c r="J473" s="21"/>
      <c r="K473" s="22"/>
      <c r="L473" s="22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88"/>
      <c r="I474" s="17"/>
      <c r="J474" s="21"/>
      <c r="K474" s="22"/>
      <c r="L474" s="22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88"/>
      <c r="I475" s="17"/>
      <c r="J475" s="21"/>
      <c r="K475" s="22"/>
      <c r="L475" s="22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88"/>
      <c r="I476" s="17"/>
      <c r="J476" s="21"/>
      <c r="K476" s="22"/>
      <c r="L476" s="22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88"/>
      <c r="I477" s="17"/>
      <c r="J477" s="21"/>
      <c r="K477" s="22"/>
      <c r="L477" s="22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88"/>
      <c r="I478" s="17"/>
      <c r="J478" s="21"/>
      <c r="K478" s="22"/>
      <c r="L478" s="22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88"/>
      <c r="I479" s="17"/>
      <c r="J479" s="21"/>
      <c r="K479" s="22"/>
      <c r="L479" s="22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88"/>
      <c r="I480" s="17"/>
      <c r="J480" s="21"/>
      <c r="K480" s="22"/>
      <c r="L480" s="22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88"/>
      <c r="I481" s="17"/>
      <c r="J481" s="21"/>
      <c r="K481" s="22"/>
      <c r="L481" s="22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88"/>
      <c r="I482" s="17"/>
      <c r="J482" s="21"/>
      <c r="K482" s="22"/>
      <c r="L482" s="22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88"/>
      <c r="I483" s="17"/>
      <c r="J483" s="21"/>
      <c r="K483" s="22"/>
      <c r="L483" s="22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88"/>
      <c r="I484" s="17"/>
      <c r="J484" s="21"/>
      <c r="K484" s="22"/>
      <c r="L484" s="22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88"/>
      <c r="I485" s="17"/>
      <c r="J485" s="21"/>
      <c r="K485" s="22"/>
      <c r="L485" s="22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88"/>
      <c r="I486" s="17"/>
      <c r="J486" s="21"/>
      <c r="K486" s="22"/>
      <c r="L486" s="22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88"/>
      <c r="I487" s="17"/>
      <c r="J487" s="21"/>
      <c r="K487" s="22"/>
      <c r="L487" s="22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88"/>
      <c r="I488" s="17"/>
      <c r="J488" s="21"/>
      <c r="K488" s="22"/>
      <c r="L488" s="22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88"/>
      <c r="I489" s="17"/>
      <c r="J489" s="21"/>
      <c r="K489" s="22"/>
      <c r="L489" s="22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88"/>
      <c r="I490" s="17"/>
      <c r="J490" s="21"/>
      <c r="K490" s="22"/>
      <c r="L490" s="22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88"/>
      <c r="I491" s="17"/>
      <c r="J491" s="21"/>
      <c r="K491" s="22"/>
      <c r="L491" s="22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88"/>
      <c r="I492" s="17"/>
      <c r="J492" s="21"/>
      <c r="K492" s="22"/>
      <c r="L492" s="22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88"/>
      <c r="I493" s="17"/>
      <c r="J493" s="21"/>
      <c r="K493" s="22"/>
      <c r="L493" s="22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88"/>
      <c r="I494" s="17"/>
      <c r="J494" s="21"/>
      <c r="K494" s="22"/>
      <c r="L494" s="22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88"/>
      <c r="I495" s="17"/>
      <c r="J495" s="21"/>
      <c r="K495" s="22"/>
      <c r="L495" s="22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88"/>
      <c r="I496" s="17"/>
      <c r="J496" s="21"/>
      <c r="K496" s="22"/>
      <c r="L496" s="22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88"/>
      <c r="I497" s="17"/>
      <c r="J497" s="21"/>
      <c r="K497" s="22"/>
      <c r="L497" s="22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88"/>
      <c r="I498" s="17"/>
      <c r="J498" s="21"/>
      <c r="K498" s="22"/>
      <c r="L498" s="22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88"/>
      <c r="I499" s="17"/>
      <c r="J499" s="21"/>
      <c r="K499" s="22"/>
      <c r="L499" s="22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88"/>
      <c r="I500" s="17"/>
      <c r="J500" s="21"/>
      <c r="K500" s="22"/>
      <c r="L500" s="22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88"/>
      <c r="I501" s="17"/>
      <c r="J501" s="21"/>
      <c r="K501" s="22"/>
      <c r="L501" s="22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88"/>
      <c r="I502" s="17"/>
      <c r="J502" s="21"/>
      <c r="K502" s="22"/>
      <c r="L502" s="22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88"/>
      <c r="I503" s="17"/>
      <c r="J503" s="21"/>
      <c r="K503" s="22"/>
      <c r="L503" s="22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88"/>
      <c r="I504" s="17"/>
      <c r="J504" s="21"/>
      <c r="K504" s="22"/>
      <c r="L504" s="22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88"/>
      <c r="I505" s="17"/>
      <c r="J505" s="21"/>
      <c r="K505" s="22"/>
      <c r="L505" s="22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88"/>
      <c r="I506" s="17"/>
      <c r="J506" s="21"/>
      <c r="K506" s="22"/>
      <c r="L506" s="22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88"/>
      <c r="I507" s="17"/>
      <c r="J507" s="21"/>
      <c r="K507" s="22"/>
      <c r="L507" s="22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88"/>
      <c r="I508" s="17"/>
      <c r="J508" s="21"/>
      <c r="K508" s="22"/>
      <c r="L508" s="22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88"/>
      <c r="I509" s="17"/>
      <c r="J509" s="21"/>
      <c r="K509" s="22"/>
      <c r="L509" s="22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88"/>
      <c r="I510" s="17"/>
      <c r="J510" s="21"/>
      <c r="K510" s="22"/>
      <c r="L510" s="22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88"/>
      <c r="I511" s="17"/>
      <c r="J511" s="21"/>
      <c r="K511" s="22"/>
      <c r="L511" s="22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88"/>
      <c r="I512" s="17"/>
      <c r="J512" s="21"/>
      <c r="K512" s="22"/>
      <c r="L512" s="22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88"/>
      <c r="I513" s="17"/>
      <c r="J513" s="21"/>
      <c r="K513" s="22"/>
      <c r="L513" s="22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88"/>
      <c r="I514" s="17"/>
      <c r="J514" s="21"/>
      <c r="K514" s="22"/>
      <c r="L514" s="22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88"/>
      <c r="I515" s="17"/>
      <c r="J515" s="21"/>
      <c r="K515" s="22"/>
      <c r="L515" s="22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88"/>
      <c r="I516" s="17"/>
      <c r="J516" s="21"/>
      <c r="K516" s="22"/>
      <c r="L516" s="22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88"/>
      <c r="I517" s="17"/>
      <c r="J517" s="21"/>
      <c r="K517" s="22"/>
      <c r="L517" s="22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88"/>
      <c r="I518" s="17"/>
      <c r="J518" s="21"/>
      <c r="K518" s="22"/>
      <c r="L518" s="22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88"/>
      <c r="I519" s="17"/>
      <c r="J519" s="21"/>
      <c r="K519" s="22"/>
      <c r="L519" s="22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88"/>
      <c r="I520" s="17"/>
      <c r="J520" s="21"/>
      <c r="K520" s="22"/>
      <c r="L520" s="22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88"/>
      <c r="I521" s="17"/>
      <c r="J521" s="21"/>
      <c r="K521" s="22"/>
      <c r="L521" s="22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88"/>
      <c r="I522" s="17"/>
      <c r="J522" s="21"/>
      <c r="K522" s="22"/>
      <c r="L522" s="22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88"/>
      <c r="I523" s="17"/>
      <c r="J523" s="21"/>
      <c r="K523" s="22"/>
      <c r="L523" s="22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88"/>
      <c r="I524" s="17"/>
      <c r="J524" s="21"/>
      <c r="K524" s="22"/>
      <c r="L524" s="22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88"/>
      <c r="I525" s="17"/>
      <c r="J525" s="21"/>
      <c r="K525" s="22"/>
      <c r="L525" s="22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88"/>
      <c r="I526" s="17"/>
      <c r="J526" s="21"/>
      <c r="K526" s="22"/>
      <c r="L526" s="22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88"/>
      <c r="I527" s="17"/>
      <c r="J527" s="21"/>
      <c r="K527" s="22"/>
      <c r="L527" s="22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88"/>
      <c r="I528" s="17"/>
      <c r="J528" s="21"/>
      <c r="K528" s="22"/>
      <c r="L528" s="22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88"/>
      <c r="I529" s="17"/>
      <c r="J529" s="21"/>
      <c r="K529" s="22"/>
      <c r="L529" s="22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88"/>
      <c r="I530" s="17"/>
      <c r="J530" s="21"/>
      <c r="K530" s="22"/>
      <c r="L530" s="22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88"/>
      <c r="I531" s="17"/>
      <c r="J531" s="21"/>
      <c r="K531" s="22"/>
      <c r="L531" s="22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88"/>
      <c r="I532" s="17"/>
      <c r="J532" s="21"/>
      <c r="K532" s="22"/>
      <c r="L532" s="22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88"/>
      <c r="I533" s="17"/>
      <c r="J533" s="21"/>
      <c r="K533" s="22"/>
      <c r="L533" s="22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88"/>
      <c r="I534" s="17"/>
      <c r="J534" s="21"/>
      <c r="K534" s="22"/>
      <c r="L534" s="22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88"/>
      <c r="I535" s="17"/>
      <c r="J535" s="21"/>
      <c r="K535" s="22"/>
      <c r="L535" s="22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88"/>
      <c r="I536" s="17"/>
      <c r="J536" s="21"/>
      <c r="K536" s="22"/>
      <c r="L536" s="22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88"/>
      <c r="I537" s="17"/>
      <c r="J537" s="21"/>
      <c r="K537" s="22"/>
      <c r="L537" s="22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88"/>
      <c r="I538" s="17"/>
      <c r="J538" s="21"/>
      <c r="K538" s="22"/>
      <c r="L538" s="22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88"/>
      <c r="I539" s="17"/>
      <c r="J539" s="21"/>
      <c r="K539" s="22"/>
      <c r="L539" s="22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88"/>
      <c r="I540" s="17"/>
      <c r="J540" s="21"/>
      <c r="K540" s="22"/>
      <c r="L540" s="22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88"/>
      <c r="I541" s="17"/>
      <c r="J541" s="21"/>
      <c r="K541" s="22"/>
      <c r="L541" s="22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88"/>
      <c r="I542" s="17"/>
      <c r="J542" s="21"/>
      <c r="K542" s="22"/>
      <c r="L542" s="22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88"/>
      <c r="I543" s="17"/>
      <c r="J543" s="21"/>
      <c r="K543" s="22"/>
      <c r="L543" s="22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88"/>
      <c r="I544" s="17"/>
      <c r="J544" s="21"/>
      <c r="K544" s="22"/>
      <c r="L544" s="22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88"/>
      <c r="I545" s="17"/>
      <c r="J545" s="21"/>
      <c r="K545" s="22"/>
      <c r="L545" s="22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88"/>
      <c r="I546" s="17"/>
      <c r="J546" s="21"/>
      <c r="K546" s="22"/>
      <c r="L546" s="22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88"/>
      <c r="I547" s="17"/>
      <c r="J547" s="21"/>
      <c r="K547" s="22"/>
      <c r="L547" s="22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88"/>
      <c r="I548" s="17"/>
      <c r="J548" s="21"/>
      <c r="K548" s="22"/>
      <c r="L548" s="22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88"/>
      <c r="I549" s="17"/>
      <c r="J549" s="21"/>
      <c r="K549" s="22"/>
      <c r="L549" s="22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88"/>
      <c r="I550" s="17"/>
      <c r="J550" s="21"/>
      <c r="K550" s="22"/>
      <c r="L550" s="22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88"/>
      <c r="I551" s="17"/>
      <c r="J551" s="21"/>
      <c r="K551" s="22"/>
      <c r="L551" s="22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88"/>
      <c r="I552" s="17"/>
      <c r="J552" s="21"/>
      <c r="K552" s="22"/>
      <c r="L552" s="22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88"/>
      <c r="I553" s="17"/>
      <c r="J553" s="21"/>
      <c r="K553" s="22"/>
      <c r="L553" s="22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88"/>
      <c r="I554" s="17"/>
      <c r="J554" s="21"/>
      <c r="K554" s="22"/>
      <c r="L554" s="22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88"/>
      <c r="I555" s="17"/>
      <c r="J555" s="21"/>
      <c r="K555" s="22"/>
      <c r="L555" s="22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88"/>
      <c r="I556" s="17"/>
      <c r="J556" s="21"/>
      <c r="K556" s="22"/>
      <c r="L556" s="22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88"/>
      <c r="I557" s="17"/>
      <c r="J557" s="21"/>
      <c r="K557" s="22"/>
      <c r="L557" s="22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88"/>
      <c r="I558" s="17"/>
      <c r="J558" s="21"/>
      <c r="K558" s="22"/>
      <c r="L558" s="22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88"/>
      <c r="I559" s="17"/>
      <c r="J559" s="21"/>
      <c r="K559" s="22"/>
      <c r="L559" s="22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88"/>
      <c r="I560" s="17"/>
      <c r="J560" s="21"/>
      <c r="K560" s="22"/>
      <c r="L560" s="22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88"/>
      <c r="I561" s="17"/>
      <c r="J561" s="21"/>
      <c r="K561" s="22"/>
      <c r="L561" s="22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88"/>
      <c r="I562" s="17"/>
      <c r="J562" s="21"/>
      <c r="K562" s="22"/>
      <c r="L562" s="22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88"/>
      <c r="I563" s="17"/>
      <c r="J563" s="21"/>
      <c r="K563" s="22"/>
      <c r="L563" s="22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88"/>
      <c r="I564" s="17"/>
      <c r="J564" s="21"/>
      <c r="K564" s="22"/>
      <c r="L564" s="22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88"/>
      <c r="I565" s="17"/>
      <c r="J565" s="21"/>
      <c r="K565" s="22"/>
      <c r="L565" s="22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88"/>
      <c r="I566" s="17"/>
      <c r="J566" s="21"/>
      <c r="K566" s="22"/>
      <c r="L566" s="22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88"/>
      <c r="I567" s="17"/>
      <c r="J567" s="21"/>
      <c r="K567" s="22"/>
      <c r="L567" s="22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88"/>
      <c r="I568" s="17"/>
      <c r="J568" s="21"/>
      <c r="K568" s="22"/>
      <c r="L568" s="22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88"/>
      <c r="I569" s="17"/>
      <c r="J569" s="21"/>
      <c r="K569" s="22"/>
      <c r="L569" s="22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88"/>
      <c r="I570" s="17"/>
      <c r="J570" s="21"/>
      <c r="K570" s="22"/>
      <c r="L570" s="22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88"/>
      <c r="I571" s="17"/>
      <c r="J571" s="21"/>
      <c r="K571" s="22"/>
      <c r="L571" s="22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88"/>
      <c r="I572" s="17"/>
      <c r="J572" s="21"/>
      <c r="K572" s="22"/>
      <c r="L572" s="22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88"/>
      <c r="I573" s="17"/>
      <c r="J573" s="21"/>
      <c r="K573" s="22"/>
      <c r="L573" s="22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88"/>
      <c r="I574" s="17"/>
      <c r="J574" s="21"/>
      <c r="K574" s="22"/>
      <c r="L574" s="22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88"/>
      <c r="I575" s="17"/>
      <c r="J575" s="21"/>
      <c r="K575" s="22"/>
      <c r="L575" s="22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88"/>
      <c r="I576" s="17"/>
      <c r="J576" s="21"/>
      <c r="K576" s="22"/>
      <c r="L576" s="22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88"/>
      <c r="I577" s="17"/>
      <c r="J577" s="21"/>
      <c r="K577" s="22"/>
      <c r="L577" s="22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88"/>
      <c r="I578" s="17"/>
      <c r="J578" s="21"/>
      <c r="K578" s="22"/>
      <c r="L578" s="22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88"/>
      <c r="I579" s="17"/>
      <c r="J579" s="21"/>
      <c r="K579" s="22"/>
      <c r="L579" s="22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88"/>
      <c r="I580" s="17"/>
      <c r="J580" s="21"/>
      <c r="K580" s="22"/>
      <c r="L580" s="22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88"/>
      <c r="I581" s="17"/>
      <c r="J581" s="21"/>
      <c r="K581" s="22"/>
      <c r="L581" s="22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88"/>
      <c r="I582" s="17"/>
      <c r="J582" s="21"/>
      <c r="K582" s="22"/>
      <c r="L582" s="22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88"/>
      <c r="I583" s="17"/>
      <c r="J583" s="21"/>
      <c r="K583" s="22"/>
      <c r="L583" s="22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88"/>
      <c r="I584" s="17"/>
      <c r="J584" s="21"/>
      <c r="K584" s="22"/>
      <c r="L584" s="22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88"/>
      <c r="I585" s="17"/>
      <c r="J585" s="21"/>
      <c r="K585" s="22"/>
      <c r="L585" s="22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88"/>
      <c r="I586" s="17"/>
      <c r="J586" s="21"/>
      <c r="K586" s="22"/>
      <c r="L586" s="22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88"/>
      <c r="I587" s="17"/>
      <c r="J587" s="21"/>
      <c r="K587" s="22"/>
      <c r="L587" s="22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88"/>
      <c r="I588" s="17"/>
      <c r="J588" s="21"/>
      <c r="K588" s="22"/>
      <c r="L588" s="22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88"/>
      <c r="I589" s="17"/>
      <c r="J589" s="21"/>
      <c r="K589" s="22"/>
      <c r="L589" s="22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88"/>
      <c r="I590" s="17"/>
      <c r="J590" s="21"/>
      <c r="K590" s="22"/>
      <c r="L590" s="22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88"/>
      <c r="I591" s="17"/>
      <c r="J591" s="21"/>
      <c r="K591" s="22"/>
      <c r="L591" s="22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88"/>
      <c r="I592" s="17"/>
      <c r="J592" s="21"/>
      <c r="K592" s="22"/>
      <c r="L592" s="22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88"/>
      <c r="I593" s="17"/>
      <c r="J593" s="21"/>
      <c r="K593" s="22"/>
      <c r="L593" s="22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88"/>
      <c r="I594" s="17"/>
      <c r="J594" s="21"/>
      <c r="K594" s="22"/>
      <c r="L594" s="22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88"/>
      <c r="I595" s="17"/>
      <c r="J595" s="21"/>
      <c r="K595" s="22"/>
      <c r="L595" s="22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88"/>
      <c r="I596" s="17"/>
      <c r="J596" s="21"/>
      <c r="K596" s="22"/>
      <c r="L596" s="22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88"/>
      <c r="I597" s="17"/>
      <c r="J597" s="21"/>
      <c r="K597" s="22"/>
      <c r="L597" s="22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88"/>
      <c r="I598" s="17"/>
      <c r="J598" s="21"/>
      <c r="K598" s="22"/>
      <c r="L598" s="22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88"/>
      <c r="I599" s="17"/>
      <c r="J599" s="21"/>
      <c r="K599" s="22"/>
      <c r="L599" s="22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88"/>
      <c r="I600" s="17"/>
      <c r="J600" s="21"/>
      <c r="K600" s="22"/>
      <c r="L600" s="22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88"/>
      <c r="I601" s="17"/>
      <c r="J601" s="21"/>
      <c r="K601" s="22"/>
      <c r="L601" s="22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88"/>
      <c r="I602" s="17"/>
      <c r="J602" s="21"/>
      <c r="K602" s="22"/>
      <c r="L602" s="22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88"/>
      <c r="I603" s="17"/>
      <c r="J603" s="21"/>
      <c r="K603" s="22"/>
      <c r="L603" s="22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88"/>
      <c r="I604" s="17"/>
      <c r="J604" s="21"/>
      <c r="K604" s="22"/>
      <c r="L604" s="22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88"/>
      <c r="I605" s="17"/>
      <c r="J605" s="21"/>
      <c r="K605" s="22"/>
      <c r="L605" s="22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88"/>
      <c r="I606" s="17"/>
      <c r="J606" s="21"/>
      <c r="K606" s="22"/>
      <c r="L606" s="22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88"/>
      <c r="I607" s="17"/>
      <c r="J607" s="21"/>
      <c r="K607" s="22"/>
      <c r="L607" s="22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88"/>
      <c r="I608" s="17"/>
      <c r="J608" s="21"/>
      <c r="K608" s="22"/>
      <c r="L608" s="22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88"/>
      <c r="I609" s="17"/>
      <c r="J609" s="21"/>
      <c r="K609" s="22"/>
      <c r="L609" s="22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88"/>
      <c r="I610" s="17"/>
      <c r="J610" s="21"/>
      <c r="K610" s="22"/>
      <c r="L610" s="22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88"/>
      <c r="I611" s="17"/>
      <c r="J611" s="21"/>
      <c r="K611" s="22"/>
      <c r="L611" s="22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88"/>
      <c r="I612" s="17"/>
      <c r="J612" s="21"/>
      <c r="K612" s="22"/>
      <c r="L612" s="22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88"/>
      <c r="I613" s="17"/>
      <c r="J613" s="21"/>
      <c r="K613" s="22"/>
      <c r="L613" s="22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88"/>
      <c r="I614" s="17"/>
      <c r="J614" s="21"/>
      <c r="K614" s="22"/>
      <c r="L614" s="22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88"/>
      <c r="I615" s="17"/>
      <c r="J615" s="21"/>
      <c r="K615" s="22"/>
      <c r="L615" s="22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88"/>
      <c r="I616" s="17"/>
      <c r="J616" s="21"/>
      <c r="K616" s="22"/>
      <c r="L616" s="22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88"/>
      <c r="I617" s="17"/>
      <c r="J617" s="21"/>
      <c r="K617" s="22"/>
      <c r="L617" s="22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88"/>
      <c r="I618" s="17"/>
      <c r="J618" s="21"/>
      <c r="K618" s="22"/>
      <c r="L618" s="22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88"/>
      <c r="I619" s="17"/>
      <c r="J619" s="21"/>
      <c r="K619" s="22"/>
      <c r="L619" s="22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88"/>
      <c r="I620" s="17"/>
      <c r="J620" s="21"/>
      <c r="K620" s="22"/>
      <c r="L620" s="22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88"/>
      <c r="I621" s="17"/>
      <c r="J621" s="21"/>
      <c r="K621" s="22"/>
      <c r="L621" s="22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88"/>
      <c r="I622" s="17"/>
      <c r="J622" s="21"/>
      <c r="K622" s="22"/>
      <c r="L622" s="22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88"/>
      <c r="I623" s="17"/>
      <c r="J623" s="21"/>
      <c r="K623" s="22"/>
      <c r="L623" s="22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88"/>
      <c r="I624" s="17"/>
      <c r="J624" s="21"/>
      <c r="K624" s="22"/>
      <c r="L624" s="22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88"/>
      <c r="I625" s="17"/>
      <c r="J625" s="21"/>
      <c r="K625" s="22"/>
      <c r="L625" s="22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88"/>
      <c r="I626" s="17"/>
      <c r="J626" s="21"/>
      <c r="K626" s="22"/>
      <c r="L626" s="22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88"/>
      <c r="I627" s="17"/>
      <c r="J627" s="21"/>
      <c r="K627" s="22"/>
      <c r="L627" s="22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88"/>
      <c r="I628" s="17"/>
      <c r="J628" s="21"/>
      <c r="K628" s="22"/>
      <c r="L628" s="22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88"/>
      <c r="I629" s="17"/>
      <c r="J629" s="21"/>
      <c r="K629" s="22"/>
      <c r="L629" s="22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88"/>
      <c r="I630" s="17"/>
      <c r="J630" s="21"/>
      <c r="K630" s="22"/>
      <c r="L630" s="22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88"/>
      <c r="I631" s="17"/>
      <c r="J631" s="21"/>
      <c r="K631" s="22"/>
      <c r="L631" s="22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88"/>
      <c r="I632" s="17"/>
      <c r="J632" s="21"/>
      <c r="K632" s="22"/>
      <c r="L632" s="22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88"/>
      <c r="I633" s="17"/>
      <c r="J633" s="21"/>
      <c r="K633" s="22"/>
      <c r="L633" s="22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88"/>
      <c r="I634" s="17"/>
      <c r="J634" s="21"/>
      <c r="K634" s="22"/>
      <c r="L634" s="22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88"/>
      <c r="I635" s="17"/>
      <c r="J635" s="21"/>
      <c r="K635" s="22"/>
      <c r="L635" s="22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88"/>
      <c r="I636" s="17"/>
      <c r="J636" s="21"/>
      <c r="K636" s="22"/>
      <c r="L636" s="22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88"/>
      <c r="I637" s="17"/>
      <c r="J637" s="21"/>
      <c r="K637" s="22"/>
      <c r="L637" s="22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88"/>
      <c r="I638" s="17"/>
      <c r="J638" s="21"/>
      <c r="K638" s="22"/>
      <c r="L638" s="22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88"/>
      <c r="I639" s="17"/>
      <c r="J639" s="21"/>
      <c r="K639" s="22"/>
      <c r="L639" s="22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88"/>
      <c r="I640" s="17"/>
      <c r="J640" s="21"/>
      <c r="K640" s="22"/>
      <c r="L640" s="22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88"/>
      <c r="I641" s="17"/>
      <c r="J641" s="21"/>
      <c r="K641" s="22"/>
      <c r="L641" s="22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88"/>
      <c r="I642" s="17"/>
      <c r="J642" s="21"/>
      <c r="K642" s="22"/>
      <c r="L642" s="22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88"/>
      <c r="I643" s="17"/>
      <c r="J643" s="21"/>
      <c r="K643" s="22"/>
      <c r="L643" s="22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88"/>
      <c r="I644" s="17"/>
      <c r="J644" s="21"/>
      <c r="K644" s="22"/>
      <c r="L644" s="22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88"/>
      <c r="I645" s="17"/>
      <c r="J645" s="21"/>
      <c r="K645" s="22"/>
      <c r="L645" s="22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88"/>
      <c r="I646" s="17"/>
      <c r="J646" s="21"/>
      <c r="K646" s="22"/>
      <c r="L646" s="22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88"/>
      <c r="I647" s="17"/>
      <c r="J647" s="21"/>
      <c r="K647" s="22"/>
      <c r="L647" s="22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88"/>
      <c r="I648" s="17"/>
      <c r="J648" s="21"/>
      <c r="K648" s="22"/>
      <c r="L648" s="22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88"/>
      <c r="I649" s="17"/>
      <c r="J649" s="21"/>
      <c r="K649" s="22"/>
      <c r="L649" s="22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88"/>
      <c r="I650" s="17"/>
      <c r="J650" s="21"/>
      <c r="K650" s="22"/>
      <c r="L650" s="22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88"/>
      <c r="I651" s="17"/>
      <c r="J651" s="21"/>
      <c r="K651" s="22"/>
      <c r="L651" s="22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88"/>
      <c r="I652" s="17"/>
      <c r="J652" s="21"/>
      <c r="K652" s="22"/>
      <c r="L652" s="22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88"/>
      <c r="I653" s="17"/>
      <c r="J653" s="21"/>
      <c r="K653" s="22"/>
      <c r="L653" s="22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88"/>
      <c r="I654" s="17"/>
      <c r="J654" s="21"/>
      <c r="K654" s="22"/>
      <c r="L654" s="22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88"/>
      <c r="I655" s="17"/>
      <c r="J655" s="21"/>
      <c r="K655" s="22"/>
      <c r="L655" s="22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88"/>
      <c r="I656" s="17"/>
      <c r="J656" s="21"/>
      <c r="K656" s="22"/>
      <c r="L656" s="22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88"/>
      <c r="I657" s="17"/>
      <c r="J657" s="21"/>
      <c r="K657" s="22"/>
      <c r="L657" s="22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88"/>
      <c r="I658" s="17"/>
      <c r="J658" s="21"/>
      <c r="K658" s="22"/>
      <c r="L658" s="22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88"/>
      <c r="I659" s="17"/>
      <c r="J659" s="21"/>
      <c r="K659" s="22"/>
      <c r="L659" s="22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88"/>
      <c r="I660" s="17"/>
      <c r="J660" s="21"/>
      <c r="K660" s="22"/>
      <c r="L660" s="22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88"/>
      <c r="I661" s="17"/>
      <c r="J661" s="21"/>
      <c r="K661" s="22"/>
      <c r="L661" s="22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88"/>
      <c r="I662" s="17"/>
      <c r="J662" s="21"/>
      <c r="K662" s="22"/>
      <c r="L662" s="22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88"/>
      <c r="I663" s="17"/>
      <c r="J663" s="21"/>
      <c r="K663" s="22"/>
      <c r="L663" s="22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88"/>
      <c r="I664" s="17"/>
      <c r="J664" s="21"/>
      <c r="K664" s="22"/>
      <c r="L664" s="22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88"/>
      <c r="I665" s="17"/>
      <c r="J665" s="21"/>
      <c r="K665" s="22"/>
      <c r="L665" s="22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88"/>
      <c r="I666" s="17"/>
      <c r="J666" s="21"/>
      <c r="K666" s="22"/>
      <c r="L666" s="22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88"/>
      <c r="I667" s="17"/>
      <c r="J667" s="21"/>
      <c r="K667" s="22"/>
      <c r="L667" s="22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88"/>
      <c r="I668" s="17"/>
      <c r="J668" s="21"/>
      <c r="K668" s="22"/>
      <c r="L668" s="22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88"/>
      <c r="I669" s="17"/>
      <c r="J669" s="21"/>
      <c r="K669" s="22"/>
      <c r="L669" s="22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88"/>
      <c r="I670" s="17"/>
      <c r="J670" s="21"/>
      <c r="K670" s="22"/>
      <c r="L670" s="22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88"/>
      <c r="I671" s="17"/>
      <c r="J671" s="21"/>
      <c r="K671" s="22"/>
      <c r="L671" s="22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88"/>
      <c r="I672" s="17"/>
      <c r="J672" s="21"/>
      <c r="K672" s="22"/>
      <c r="L672" s="22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88"/>
      <c r="I673" s="17"/>
      <c r="J673" s="21"/>
      <c r="K673" s="22"/>
      <c r="L673" s="22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88"/>
      <c r="I674" s="17"/>
      <c r="J674" s="21"/>
      <c r="K674" s="22"/>
      <c r="L674" s="22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88"/>
      <c r="I675" s="17"/>
      <c r="J675" s="21"/>
      <c r="K675" s="22"/>
      <c r="L675" s="22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88"/>
      <c r="I676" s="17"/>
      <c r="J676" s="21"/>
      <c r="K676" s="22"/>
      <c r="L676" s="22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88"/>
      <c r="I677" s="17"/>
      <c r="J677" s="21"/>
      <c r="K677" s="22"/>
      <c r="L677" s="22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88"/>
      <c r="I678" s="17"/>
      <c r="J678" s="21"/>
      <c r="K678" s="22"/>
      <c r="L678" s="22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88"/>
      <c r="I679" s="17"/>
      <c r="J679" s="21"/>
      <c r="K679" s="22"/>
      <c r="L679" s="22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88"/>
      <c r="I680" s="17"/>
      <c r="J680" s="21"/>
      <c r="K680" s="22"/>
      <c r="L680" s="22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88"/>
      <c r="I681" s="17"/>
      <c r="J681" s="21"/>
      <c r="K681" s="22"/>
      <c r="L681" s="22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88"/>
      <c r="I682" s="17"/>
      <c r="J682" s="21"/>
      <c r="K682" s="22"/>
      <c r="L682" s="22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88"/>
      <c r="I683" s="17"/>
      <c r="J683" s="21"/>
      <c r="K683" s="22"/>
      <c r="L683" s="22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88"/>
      <c r="I684" s="17"/>
      <c r="J684" s="21"/>
      <c r="K684" s="22"/>
      <c r="L684" s="22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88"/>
      <c r="I685" s="17"/>
      <c r="J685" s="21"/>
      <c r="K685" s="22"/>
      <c r="L685" s="22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88"/>
      <c r="I686" s="17"/>
      <c r="J686" s="21"/>
      <c r="K686" s="22"/>
      <c r="L686" s="22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88"/>
      <c r="I687" s="17"/>
      <c r="J687" s="21"/>
      <c r="K687" s="22"/>
      <c r="L687" s="22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88"/>
      <c r="I688" s="17"/>
      <c r="J688" s="21"/>
      <c r="K688" s="22"/>
      <c r="L688" s="22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88"/>
      <c r="I689" s="17"/>
      <c r="J689" s="21"/>
      <c r="K689" s="22"/>
      <c r="L689" s="22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88"/>
      <c r="I690" s="17"/>
      <c r="J690" s="21"/>
      <c r="K690" s="22"/>
      <c r="L690" s="22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88"/>
      <c r="I691" s="17"/>
      <c r="J691" s="21"/>
      <c r="K691" s="22"/>
      <c r="L691" s="22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88"/>
      <c r="I692" s="17"/>
      <c r="J692" s="21"/>
      <c r="K692" s="22"/>
      <c r="L692" s="22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88"/>
      <c r="I693" s="17"/>
      <c r="J693" s="21"/>
      <c r="K693" s="22"/>
      <c r="L693" s="22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88"/>
      <c r="I694" s="17"/>
      <c r="J694" s="21"/>
      <c r="K694" s="22"/>
      <c r="L694" s="22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88"/>
      <c r="I695" s="17"/>
      <c r="J695" s="21"/>
      <c r="K695" s="22"/>
      <c r="L695" s="22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88"/>
      <c r="I696" s="17"/>
      <c r="J696" s="21"/>
      <c r="K696" s="22"/>
      <c r="L696" s="22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88"/>
      <c r="I697" s="17"/>
      <c r="J697" s="21"/>
      <c r="K697" s="22"/>
      <c r="L697" s="22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88"/>
      <c r="I698" s="17"/>
      <c r="J698" s="21"/>
      <c r="K698" s="22"/>
      <c r="L698" s="22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88"/>
      <c r="I699" s="17"/>
      <c r="J699" s="21"/>
      <c r="K699" s="22"/>
      <c r="L699" s="22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88"/>
      <c r="I700" s="17"/>
      <c r="J700" s="21"/>
      <c r="K700" s="22"/>
      <c r="L700" s="22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88"/>
      <c r="I701" s="17"/>
      <c r="J701" s="21"/>
      <c r="K701" s="22"/>
      <c r="L701" s="22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88"/>
      <c r="I702" s="17"/>
      <c r="J702" s="21"/>
      <c r="K702" s="22"/>
      <c r="L702" s="22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88"/>
      <c r="I703" s="17"/>
      <c r="J703" s="21"/>
      <c r="K703" s="22"/>
      <c r="L703" s="22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88"/>
      <c r="I704" s="17"/>
      <c r="J704" s="21"/>
      <c r="K704" s="22"/>
      <c r="L704" s="22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88"/>
      <c r="I705" s="17"/>
      <c r="J705" s="21"/>
      <c r="K705" s="22"/>
      <c r="L705" s="22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88"/>
      <c r="I706" s="17"/>
      <c r="J706" s="21"/>
      <c r="K706" s="22"/>
      <c r="L706" s="22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88"/>
      <c r="I707" s="17"/>
      <c r="J707" s="21"/>
      <c r="K707" s="22"/>
      <c r="L707" s="22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88"/>
      <c r="I708" s="17"/>
      <c r="J708" s="21"/>
      <c r="K708" s="22"/>
      <c r="L708" s="22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88"/>
      <c r="I709" s="17"/>
      <c r="J709" s="21"/>
      <c r="K709" s="22"/>
      <c r="L709" s="22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88"/>
      <c r="I710" s="17"/>
      <c r="J710" s="21"/>
      <c r="K710" s="22"/>
      <c r="L710" s="22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88"/>
      <c r="I711" s="17"/>
      <c r="J711" s="21"/>
      <c r="K711" s="22"/>
      <c r="L711" s="22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88"/>
      <c r="I712" s="17"/>
      <c r="J712" s="21"/>
      <c r="K712" s="22"/>
      <c r="L712" s="22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88"/>
      <c r="I713" s="17"/>
      <c r="J713" s="21"/>
      <c r="K713" s="22"/>
      <c r="L713" s="22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88"/>
      <c r="I714" s="17"/>
      <c r="J714" s="21"/>
      <c r="K714" s="22"/>
      <c r="L714" s="22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88"/>
      <c r="I715" s="17"/>
      <c r="J715" s="21"/>
      <c r="K715" s="22"/>
      <c r="L715" s="22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88"/>
      <c r="I716" s="17"/>
      <c r="J716" s="21"/>
      <c r="K716" s="22"/>
      <c r="L716" s="22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88"/>
      <c r="I717" s="17"/>
      <c r="J717" s="21"/>
      <c r="K717" s="22"/>
      <c r="L717" s="22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88"/>
      <c r="I718" s="17"/>
      <c r="J718" s="21"/>
      <c r="K718" s="22"/>
      <c r="L718" s="22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88"/>
      <c r="I719" s="17"/>
      <c r="J719" s="21"/>
      <c r="K719" s="22"/>
      <c r="L719" s="22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88"/>
      <c r="I720" s="17"/>
      <c r="J720" s="21"/>
      <c r="K720" s="22"/>
      <c r="L720" s="22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88"/>
      <c r="I721" s="17"/>
      <c r="J721" s="21"/>
      <c r="K721" s="22"/>
      <c r="L721" s="22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88"/>
      <c r="I722" s="17"/>
      <c r="J722" s="21"/>
      <c r="K722" s="22"/>
      <c r="L722" s="22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88"/>
      <c r="I723" s="17"/>
      <c r="J723" s="21"/>
      <c r="K723" s="22"/>
      <c r="L723" s="22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88"/>
      <c r="I724" s="17"/>
      <c r="J724" s="21"/>
      <c r="K724" s="22"/>
      <c r="L724" s="22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88"/>
      <c r="I725" s="17"/>
      <c r="J725" s="21"/>
      <c r="K725" s="22"/>
      <c r="L725" s="22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88"/>
      <c r="I726" s="17"/>
      <c r="J726" s="21"/>
      <c r="K726" s="22"/>
      <c r="L726" s="22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88"/>
      <c r="I727" s="17"/>
      <c r="J727" s="21"/>
      <c r="K727" s="22"/>
      <c r="L727" s="22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88"/>
      <c r="I728" s="17"/>
      <c r="J728" s="21"/>
      <c r="K728" s="22"/>
      <c r="L728" s="22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88"/>
      <c r="I729" s="17"/>
      <c r="J729" s="21"/>
      <c r="K729" s="22"/>
      <c r="L729" s="22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88"/>
      <c r="I730" s="17"/>
      <c r="J730" s="21"/>
      <c r="K730" s="22"/>
      <c r="L730" s="22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88"/>
      <c r="I731" s="17"/>
      <c r="J731" s="21"/>
      <c r="K731" s="22"/>
      <c r="L731" s="22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88"/>
      <c r="I732" s="17"/>
      <c r="J732" s="21"/>
      <c r="K732" s="22"/>
      <c r="L732" s="22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88"/>
      <c r="I733" s="17"/>
      <c r="J733" s="21"/>
      <c r="K733" s="22"/>
      <c r="L733" s="22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88"/>
      <c r="I734" s="17"/>
      <c r="J734" s="21"/>
      <c r="K734" s="22"/>
      <c r="L734" s="22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88"/>
      <c r="I735" s="17"/>
      <c r="J735" s="21"/>
      <c r="K735" s="22"/>
      <c r="L735" s="22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88"/>
      <c r="I736" s="17"/>
      <c r="J736" s="21"/>
      <c r="K736" s="22"/>
      <c r="L736" s="22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88"/>
      <c r="I737" s="17"/>
      <c r="J737" s="21"/>
      <c r="K737" s="22"/>
      <c r="L737" s="22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88"/>
      <c r="I738" s="17"/>
      <c r="J738" s="21"/>
      <c r="K738" s="22"/>
      <c r="L738" s="22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88"/>
      <c r="I739" s="17"/>
      <c r="J739" s="21"/>
      <c r="K739" s="22"/>
      <c r="L739" s="22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88"/>
      <c r="I740" s="17"/>
      <c r="J740" s="21"/>
      <c r="K740" s="22"/>
      <c r="L740" s="22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88"/>
      <c r="I741" s="17"/>
      <c r="J741" s="21"/>
      <c r="K741" s="22"/>
      <c r="L741" s="22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88"/>
      <c r="I742" s="17"/>
      <c r="J742" s="21"/>
      <c r="K742" s="22"/>
      <c r="L742" s="22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88"/>
      <c r="I743" s="17"/>
      <c r="J743" s="21"/>
      <c r="K743" s="22"/>
      <c r="L743" s="22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88"/>
      <c r="I744" s="17"/>
      <c r="J744" s="21"/>
      <c r="K744" s="22"/>
      <c r="L744" s="22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88"/>
      <c r="I745" s="17"/>
      <c r="J745" s="21"/>
      <c r="K745" s="22"/>
      <c r="L745" s="22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88"/>
      <c r="I746" s="17"/>
      <c r="J746" s="21"/>
      <c r="K746" s="22"/>
      <c r="L746" s="22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88"/>
      <c r="I747" s="17"/>
      <c r="J747" s="21"/>
      <c r="K747" s="22"/>
      <c r="L747" s="22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88"/>
      <c r="I748" s="17"/>
      <c r="J748" s="21"/>
      <c r="K748" s="22"/>
      <c r="L748" s="22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88"/>
      <c r="I749" s="17"/>
      <c r="J749" s="21"/>
      <c r="K749" s="22"/>
      <c r="L749" s="22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88"/>
      <c r="I750" s="17"/>
      <c r="J750" s="21"/>
      <c r="K750" s="22"/>
      <c r="L750" s="22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88"/>
      <c r="I751" s="17"/>
      <c r="J751" s="21"/>
      <c r="K751" s="22"/>
      <c r="L751" s="22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88"/>
      <c r="I752" s="17"/>
      <c r="J752" s="21"/>
      <c r="K752" s="22"/>
      <c r="L752" s="22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88"/>
      <c r="I753" s="17"/>
      <c r="J753" s="21"/>
      <c r="K753" s="22"/>
      <c r="L753" s="22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88"/>
      <c r="I754" s="17"/>
      <c r="J754" s="21"/>
      <c r="K754" s="22"/>
      <c r="L754" s="22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88"/>
      <c r="I755" s="17"/>
      <c r="J755" s="21"/>
      <c r="K755" s="22"/>
      <c r="L755" s="22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88"/>
      <c r="I756" s="17"/>
      <c r="J756" s="21"/>
      <c r="K756" s="22"/>
      <c r="L756" s="22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88"/>
      <c r="I757" s="17"/>
      <c r="J757" s="21"/>
      <c r="K757" s="22"/>
      <c r="L757" s="22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88"/>
      <c r="I758" s="17"/>
      <c r="J758" s="21"/>
      <c r="K758" s="22"/>
      <c r="L758" s="22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88"/>
      <c r="I759" s="17"/>
      <c r="J759" s="21"/>
      <c r="K759" s="22"/>
      <c r="L759" s="22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88"/>
      <c r="I760" s="17"/>
      <c r="J760" s="21"/>
      <c r="K760" s="22"/>
      <c r="L760" s="22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88"/>
      <c r="I761" s="17"/>
      <c r="J761" s="21"/>
      <c r="K761" s="22"/>
      <c r="L761" s="22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88"/>
      <c r="I762" s="17"/>
      <c r="J762" s="21"/>
      <c r="K762" s="22"/>
      <c r="L762" s="22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88"/>
      <c r="I763" s="17"/>
      <c r="J763" s="21"/>
      <c r="K763" s="22"/>
      <c r="L763" s="22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88"/>
      <c r="I764" s="17"/>
      <c r="J764" s="21"/>
      <c r="K764" s="22"/>
      <c r="L764" s="22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88"/>
      <c r="I765" s="17"/>
      <c r="J765" s="21"/>
      <c r="K765" s="22"/>
      <c r="L765" s="22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88"/>
      <c r="I766" s="17"/>
      <c r="J766" s="21"/>
      <c r="K766" s="22"/>
      <c r="L766" s="22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88"/>
      <c r="I767" s="17"/>
      <c r="J767" s="21"/>
      <c r="K767" s="22"/>
      <c r="L767" s="22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88"/>
      <c r="I768" s="17"/>
      <c r="J768" s="21"/>
      <c r="K768" s="22"/>
      <c r="L768" s="22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88"/>
      <c r="I769" s="17"/>
      <c r="J769" s="21"/>
      <c r="K769" s="22"/>
      <c r="L769" s="22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88"/>
      <c r="I770" s="17"/>
      <c r="J770" s="21"/>
      <c r="K770" s="22"/>
      <c r="L770" s="22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88"/>
      <c r="I771" s="17"/>
      <c r="J771" s="21"/>
      <c r="K771" s="22"/>
      <c r="L771" s="22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88"/>
      <c r="I772" s="17"/>
      <c r="J772" s="21"/>
      <c r="K772" s="22"/>
      <c r="L772" s="22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88"/>
      <c r="I773" s="17"/>
      <c r="J773" s="21"/>
      <c r="K773" s="22"/>
      <c r="L773" s="22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88"/>
      <c r="I774" s="17"/>
      <c r="J774" s="21"/>
      <c r="K774" s="22"/>
      <c r="L774" s="22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88"/>
      <c r="I775" s="17"/>
      <c r="J775" s="21"/>
      <c r="K775" s="22"/>
      <c r="L775" s="22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88"/>
      <c r="I776" s="17"/>
      <c r="J776" s="21"/>
      <c r="K776" s="22"/>
      <c r="L776" s="22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88"/>
      <c r="I777" s="17"/>
      <c r="J777" s="21"/>
      <c r="K777" s="22"/>
      <c r="L777" s="22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88"/>
      <c r="I778" s="17"/>
      <c r="J778" s="21"/>
      <c r="K778" s="22"/>
      <c r="L778" s="22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88"/>
      <c r="I779" s="17"/>
      <c r="J779" s="21"/>
      <c r="K779" s="22"/>
      <c r="L779" s="22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88"/>
      <c r="I780" s="17"/>
      <c r="J780" s="21"/>
      <c r="K780" s="22"/>
      <c r="L780" s="22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88"/>
      <c r="I781" s="17"/>
      <c r="J781" s="21"/>
      <c r="K781" s="22"/>
      <c r="L781" s="22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88"/>
      <c r="I782" s="17"/>
      <c r="J782" s="21"/>
      <c r="K782" s="22"/>
      <c r="L782" s="22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88"/>
      <c r="I783" s="17"/>
      <c r="J783" s="21"/>
      <c r="K783" s="22"/>
      <c r="L783" s="22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88"/>
      <c r="I784" s="17"/>
      <c r="J784" s="21"/>
      <c r="K784" s="22"/>
      <c r="L784" s="22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88"/>
      <c r="I785" s="17"/>
      <c r="J785" s="21"/>
      <c r="K785" s="22"/>
      <c r="L785" s="22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88"/>
      <c r="I786" s="17"/>
      <c r="J786" s="21"/>
      <c r="K786" s="22"/>
      <c r="L786" s="22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88"/>
      <c r="I787" s="17"/>
      <c r="J787" s="21"/>
      <c r="K787" s="22"/>
      <c r="L787" s="22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88"/>
      <c r="I788" s="17"/>
      <c r="J788" s="21"/>
      <c r="K788" s="22"/>
      <c r="L788" s="22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88"/>
      <c r="I789" s="17"/>
      <c r="J789" s="21"/>
      <c r="K789" s="22"/>
      <c r="L789" s="22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88"/>
      <c r="I790" s="17"/>
      <c r="J790" s="21"/>
      <c r="K790" s="22"/>
      <c r="L790" s="22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88"/>
      <c r="I791" s="17"/>
      <c r="J791" s="21"/>
      <c r="K791" s="22"/>
      <c r="L791" s="22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88"/>
      <c r="I792" s="17"/>
      <c r="J792" s="21"/>
      <c r="K792" s="22"/>
      <c r="L792" s="22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88"/>
      <c r="I793" s="17"/>
      <c r="J793" s="21"/>
      <c r="K793" s="22"/>
      <c r="L793" s="22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88"/>
      <c r="I794" s="17"/>
      <c r="J794" s="21"/>
      <c r="K794" s="22"/>
      <c r="L794" s="22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88"/>
      <c r="I795" s="17"/>
      <c r="J795" s="21"/>
      <c r="K795" s="22"/>
      <c r="L795" s="22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88"/>
      <c r="I796" s="17"/>
      <c r="J796" s="21"/>
      <c r="K796" s="22"/>
      <c r="L796" s="22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88"/>
      <c r="I797" s="17"/>
      <c r="J797" s="21"/>
      <c r="K797" s="22"/>
      <c r="L797" s="22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88"/>
      <c r="I798" s="17"/>
      <c r="J798" s="21"/>
      <c r="K798" s="22"/>
      <c r="L798" s="22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88"/>
      <c r="I799" s="17"/>
      <c r="J799" s="21"/>
      <c r="K799" s="22"/>
      <c r="L799" s="22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88"/>
      <c r="I800" s="17"/>
      <c r="J800" s="21"/>
      <c r="K800" s="22"/>
      <c r="L800" s="22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88"/>
      <c r="I801" s="17"/>
      <c r="J801" s="21"/>
      <c r="K801" s="22"/>
      <c r="L801" s="22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88"/>
      <c r="I802" s="17"/>
      <c r="J802" s="21"/>
      <c r="K802" s="22"/>
      <c r="L802" s="22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88"/>
      <c r="I803" s="17"/>
      <c r="J803" s="21"/>
      <c r="K803" s="22"/>
      <c r="L803" s="22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88"/>
      <c r="I804" s="17"/>
      <c r="J804" s="21"/>
      <c r="K804" s="22"/>
      <c r="L804" s="22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88"/>
      <c r="I805" s="17"/>
      <c r="J805" s="21"/>
      <c r="K805" s="22"/>
      <c r="L805" s="22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88"/>
      <c r="I806" s="17"/>
      <c r="J806" s="21"/>
      <c r="K806" s="22"/>
      <c r="L806" s="22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88"/>
      <c r="I807" s="17"/>
      <c r="J807" s="21"/>
      <c r="K807" s="22"/>
      <c r="L807" s="22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88"/>
      <c r="I808" s="17"/>
      <c r="J808" s="21"/>
      <c r="K808" s="22"/>
      <c r="L808" s="22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88"/>
      <c r="I809" s="17"/>
      <c r="J809" s="21"/>
      <c r="K809" s="22"/>
      <c r="L809" s="22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88"/>
      <c r="I810" s="17"/>
      <c r="J810" s="21"/>
      <c r="K810" s="22"/>
      <c r="L810" s="22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88"/>
      <c r="I811" s="17"/>
      <c r="J811" s="21"/>
      <c r="K811" s="22"/>
      <c r="L811" s="22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88"/>
      <c r="I812" s="17"/>
      <c r="J812" s="21"/>
      <c r="K812" s="22"/>
      <c r="L812" s="22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88"/>
      <c r="I813" s="17"/>
      <c r="J813" s="21"/>
      <c r="K813" s="22"/>
      <c r="L813" s="22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88"/>
      <c r="I814" s="17"/>
      <c r="J814" s="21"/>
      <c r="K814" s="22"/>
      <c r="L814" s="22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88"/>
      <c r="I815" s="17"/>
      <c r="J815" s="21"/>
      <c r="K815" s="22"/>
      <c r="L815" s="22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88"/>
      <c r="I816" s="17"/>
      <c r="J816" s="21"/>
      <c r="K816" s="22"/>
      <c r="L816" s="22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88"/>
      <c r="I817" s="17"/>
      <c r="J817" s="21"/>
      <c r="K817" s="22"/>
      <c r="L817" s="22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88"/>
      <c r="I818" s="17"/>
      <c r="J818" s="21"/>
      <c r="K818" s="22"/>
      <c r="L818" s="22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88"/>
      <c r="I819" s="17"/>
      <c r="J819" s="21"/>
      <c r="K819" s="22"/>
      <c r="L819" s="22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88"/>
      <c r="I820" s="17"/>
      <c r="J820" s="21"/>
      <c r="K820" s="22"/>
      <c r="L820" s="22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88"/>
      <c r="I821" s="17"/>
      <c r="J821" s="21"/>
      <c r="K821" s="22"/>
      <c r="L821" s="22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88"/>
      <c r="I822" s="17"/>
      <c r="J822" s="21"/>
      <c r="K822" s="22"/>
      <c r="L822" s="22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88"/>
      <c r="I823" s="17"/>
      <c r="J823" s="21"/>
      <c r="K823" s="22"/>
      <c r="L823" s="22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88"/>
      <c r="I824" s="17"/>
      <c r="J824" s="21"/>
      <c r="K824" s="22"/>
      <c r="L824" s="22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88"/>
      <c r="I825" s="17"/>
      <c r="J825" s="21"/>
      <c r="K825" s="22"/>
      <c r="L825" s="22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88"/>
      <c r="I826" s="17"/>
      <c r="J826" s="21"/>
      <c r="K826" s="22"/>
      <c r="L826" s="22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88"/>
      <c r="I827" s="17"/>
      <c r="J827" s="21"/>
      <c r="K827" s="22"/>
      <c r="L827" s="22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88"/>
      <c r="I828" s="17"/>
      <c r="J828" s="21"/>
      <c r="K828" s="22"/>
      <c r="L828" s="22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88"/>
      <c r="I829" s="17"/>
      <c r="J829" s="21"/>
      <c r="K829" s="22"/>
      <c r="L829" s="22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88"/>
      <c r="I830" s="17"/>
      <c r="J830" s="21"/>
      <c r="K830" s="22"/>
      <c r="L830" s="22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88"/>
      <c r="I831" s="17"/>
      <c r="J831" s="21"/>
      <c r="K831" s="22"/>
      <c r="L831" s="22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88"/>
      <c r="I832" s="17"/>
      <c r="J832" s="21"/>
      <c r="K832" s="22"/>
      <c r="L832" s="22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88"/>
      <c r="I833" s="17"/>
      <c r="J833" s="21"/>
      <c r="K833" s="22"/>
      <c r="L833" s="22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88"/>
      <c r="I834" s="17"/>
      <c r="J834" s="21"/>
      <c r="K834" s="22"/>
      <c r="L834" s="22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88"/>
      <c r="I835" s="17"/>
      <c r="J835" s="21"/>
      <c r="K835" s="22"/>
      <c r="L835" s="22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88"/>
      <c r="I836" s="17"/>
      <c r="J836" s="21"/>
      <c r="K836" s="22"/>
      <c r="L836" s="22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88"/>
      <c r="I837" s="17"/>
      <c r="J837" s="21"/>
      <c r="K837" s="22"/>
      <c r="L837" s="22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88"/>
      <c r="I838" s="17"/>
      <c r="J838" s="21"/>
      <c r="K838" s="22"/>
      <c r="L838" s="22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88"/>
      <c r="I839" s="17"/>
      <c r="J839" s="21"/>
      <c r="K839" s="22"/>
      <c r="L839" s="22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88"/>
      <c r="I840" s="17"/>
      <c r="J840" s="21"/>
      <c r="K840" s="22"/>
      <c r="L840" s="22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88"/>
      <c r="I841" s="17"/>
      <c r="J841" s="21"/>
      <c r="K841" s="22"/>
      <c r="L841" s="22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88"/>
      <c r="I842" s="17"/>
      <c r="J842" s="21"/>
      <c r="K842" s="22"/>
      <c r="L842" s="22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88"/>
      <c r="I843" s="17"/>
      <c r="J843" s="21"/>
      <c r="K843" s="22"/>
      <c r="L843" s="22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88"/>
      <c r="I844" s="17"/>
      <c r="J844" s="21"/>
      <c r="K844" s="22"/>
      <c r="L844" s="22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88"/>
      <c r="I845" s="17"/>
      <c r="J845" s="21"/>
      <c r="K845" s="22"/>
      <c r="L845" s="22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88"/>
      <c r="I846" s="17"/>
      <c r="J846" s="21"/>
      <c r="K846" s="22"/>
      <c r="L846" s="22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88"/>
      <c r="I847" s="17"/>
      <c r="J847" s="21"/>
      <c r="K847" s="22"/>
      <c r="L847" s="22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88"/>
      <c r="I848" s="17"/>
      <c r="J848" s="21"/>
      <c r="K848" s="22"/>
      <c r="L848" s="22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88"/>
      <c r="I849" s="17"/>
      <c r="J849" s="21"/>
      <c r="K849" s="22"/>
      <c r="L849" s="22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88"/>
      <c r="I850" s="17"/>
      <c r="J850" s="21"/>
      <c r="K850" s="22"/>
      <c r="L850" s="22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88"/>
      <c r="I851" s="17"/>
      <c r="J851" s="21"/>
      <c r="K851" s="22"/>
      <c r="L851" s="22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88"/>
      <c r="I852" s="17"/>
      <c r="J852" s="21"/>
      <c r="K852" s="22"/>
      <c r="L852" s="22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88"/>
      <c r="I853" s="17"/>
      <c r="J853" s="21"/>
      <c r="K853" s="22"/>
      <c r="L853" s="22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88"/>
      <c r="I854" s="17"/>
      <c r="J854" s="21"/>
      <c r="K854" s="22"/>
      <c r="L854" s="22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88"/>
      <c r="I855" s="17"/>
      <c r="J855" s="21"/>
      <c r="K855" s="22"/>
      <c r="L855" s="22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88"/>
      <c r="I856" s="17"/>
      <c r="J856" s="21"/>
      <c r="K856" s="22"/>
      <c r="L856" s="22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88"/>
      <c r="I857" s="17"/>
      <c r="J857" s="21"/>
      <c r="K857" s="22"/>
      <c r="L857" s="22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88"/>
      <c r="I858" s="17"/>
      <c r="J858" s="21"/>
      <c r="K858" s="22"/>
      <c r="L858" s="22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88"/>
      <c r="I859" s="17"/>
      <c r="J859" s="21"/>
      <c r="K859" s="22"/>
      <c r="L859" s="22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88"/>
      <c r="I860" s="17"/>
      <c r="J860" s="21"/>
      <c r="K860" s="22"/>
      <c r="L860" s="22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88"/>
      <c r="I861" s="17"/>
      <c r="J861" s="21"/>
      <c r="K861" s="22"/>
      <c r="L861" s="22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88"/>
      <c r="I862" s="17"/>
      <c r="J862" s="21"/>
      <c r="K862" s="22"/>
      <c r="L862" s="22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88"/>
      <c r="I863" s="17"/>
      <c r="J863" s="21"/>
      <c r="K863" s="22"/>
      <c r="L863" s="22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88"/>
      <c r="I864" s="17"/>
      <c r="J864" s="21"/>
      <c r="K864" s="22"/>
      <c r="L864" s="22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88"/>
      <c r="I865" s="17"/>
      <c r="J865" s="21"/>
      <c r="K865" s="22"/>
      <c r="L865" s="22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88"/>
      <c r="I866" s="17"/>
      <c r="J866" s="21"/>
      <c r="K866" s="22"/>
      <c r="L866" s="22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88"/>
      <c r="I867" s="17"/>
      <c r="J867" s="21"/>
      <c r="K867" s="22"/>
      <c r="L867" s="22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88"/>
      <c r="I868" s="17"/>
      <c r="J868" s="21"/>
      <c r="K868" s="22"/>
      <c r="L868" s="22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88"/>
      <c r="I869" s="17"/>
      <c r="J869" s="21"/>
      <c r="K869" s="22"/>
      <c r="L869" s="22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88"/>
      <c r="I870" s="17"/>
      <c r="J870" s="21"/>
      <c r="K870" s="22"/>
      <c r="L870" s="22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88"/>
      <c r="I871" s="17"/>
      <c r="J871" s="21"/>
      <c r="K871" s="22"/>
      <c r="L871" s="22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88"/>
      <c r="I872" s="17"/>
      <c r="J872" s="21"/>
      <c r="K872" s="22"/>
      <c r="L872" s="22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88"/>
      <c r="I873" s="17"/>
      <c r="J873" s="21"/>
      <c r="K873" s="22"/>
      <c r="L873" s="22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88"/>
      <c r="I874" s="17"/>
      <c r="J874" s="21"/>
      <c r="K874" s="22"/>
      <c r="L874" s="22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88"/>
      <c r="I875" s="17"/>
      <c r="J875" s="21"/>
      <c r="K875" s="22"/>
      <c r="L875" s="22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88"/>
      <c r="I876" s="17"/>
      <c r="J876" s="21"/>
      <c r="K876" s="22"/>
      <c r="L876" s="22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88"/>
      <c r="I877" s="17"/>
      <c r="J877" s="21"/>
      <c r="K877" s="22"/>
      <c r="L877" s="22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88"/>
      <c r="I878" s="17"/>
      <c r="J878" s="21"/>
      <c r="K878" s="22"/>
      <c r="L878" s="22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88"/>
      <c r="I879" s="17"/>
      <c r="J879" s="21"/>
      <c r="K879" s="22"/>
      <c r="L879" s="22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88"/>
      <c r="I880" s="17"/>
      <c r="J880" s="21"/>
      <c r="K880" s="22"/>
      <c r="L880" s="22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88"/>
      <c r="I881" s="17"/>
      <c r="J881" s="21"/>
      <c r="K881" s="22"/>
      <c r="L881" s="22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88"/>
      <c r="I882" s="17"/>
      <c r="J882" s="21"/>
      <c r="K882" s="22"/>
      <c r="L882" s="22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88"/>
      <c r="I883" s="17"/>
      <c r="J883" s="21"/>
      <c r="K883" s="22"/>
      <c r="L883" s="22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88"/>
      <c r="I884" s="17"/>
      <c r="J884" s="21"/>
      <c r="K884" s="22"/>
      <c r="L884" s="22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88"/>
      <c r="I885" s="17"/>
      <c r="J885" s="21"/>
      <c r="K885" s="22"/>
      <c r="L885" s="22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88"/>
      <c r="I886" s="17"/>
      <c r="J886" s="21"/>
      <c r="K886" s="22"/>
      <c r="L886" s="22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88"/>
      <c r="I887" s="17"/>
      <c r="J887" s="21"/>
      <c r="K887" s="22"/>
      <c r="L887" s="22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88"/>
      <c r="I888" s="17"/>
      <c r="J888" s="21"/>
      <c r="K888" s="22"/>
      <c r="L888" s="22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88"/>
      <c r="I889" s="17"/>
      <c r="J889" s="21"/>
      <c r="K889" s="22"/>
      <c r="L889" s="22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88"/>
      <c r="I890" s="17"/>
      <c r="J890" s="21"/>
      <c r="K890" s="22"/>
      <c r="L890" s="22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88"/>
      <c r="I891" s="17"/>
      <c r="J891" s="21"/>
      <c r="K891" s="22"/>
      <c r="L891" s="22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88"/>
      <c r="I892" s="17"/>
      <c r="J892" s="21"/>
      <c r="K892" s="22"/>
      <c r="L892" s="22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88"/>
      <c r="I893" s="17"/>
      <c r="J893" s="21"/>
      <c r="K893" s="22"/>
      <c r="L893" s="22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88"/>
      <c r="I894" s="17"/>
      <c r="J894" s="21"/>
      <c r="K894" s="22"/>
      <c r="L894" s="22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88"/>
      <c r="I895" s="17"/>
      <c r="J895" s="21"/>
      <c r="K895" s="22"/>
      <c r="L895" s="22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88"/>
      <c r="I896" s="17"/>
      <c r="J896" s="21"/>
      <c r="K896" s="22"/>
      <c r="L896" s="22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88"/>
      <c r="I897" s="17"/>
      <c r="J897" s="21"/>
      <c r="K897" s="22"/>
      <c r="L897" s="22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88"/>
      <c r="I898" s="17"/>
      <c r="J898" s="21"/>
      <c r="K898" s="22"/>
      <c r="L898" s="22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88"/>
      <c r="I899" s="17"/>
      <c r="J899" s="21"/>
      <c r="K899" s="22"/>
      <c r="L899" s="22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88"/>
      <c r="I900" s="17"/>
      <c r="J900" s="21"/>
      <c r="K900" s="22"/>
      <c r="L900" s="22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88"/>
      <c r="I901" s="17"/>
      <c r="J901" s="21"/>
      <c r="K901" s="22"/>
      <c r="L901" s="22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88"/>
      <c r="I902" s="17"/>
      <c r="J902" s="21"/>
      <c r="K902" s="22"/>
      <c r="L902" s="22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88"/>
      <c r="I903" s="17"/>
      <c r="J903" s="21"/>
      <c r="K903" s="22"/>
      <c r="L903" s="22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88"/>
      <c r="I904" s="17"/>
      <c r="J904" s="21"/>
      <c r="K904" s="22"/>
      <c r="L904" s="22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88"/>
      <c r="I905" s="17"/>
      <c r="J905" s="21"/>
      <c r="K905" s="22"/>
      <c r="L905" s="22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88"/>
      <c r="I906" s="17"/>
      <c r="J906" s="21"/>
      <c r="K906" s="22"/>
      <c r="L906" s="22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88"/>
      <c r="I907" s="17"/>
      <c r="J907" s="21"/>
      <c r="K907" s="22"/>
      <c r="L907" s="22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88"/>
      <c r="I908" s="17"/>
      <c r="J908" s="21"/>
      <c r="K908" s="22"/>
      <c r="L908" s="22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88"/>
      <c r="I909" s="17"/>
      <c r="J909" s="21"/>
      <c r="K909" s="22"/>
      <c r="L909" s="22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88"/>
      <c r="I910" s="17"/>
      <c r="J910" s="21"/>
      <c r="K910" s="22"/>
      <c r="L910" s="22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88"/>
      <c r="I911" s="17"/>
      <c r="J911" s="21"/>
      <c r="K911" s="22"/>
      <c r="L911" s="22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88"/>
      <c r="I912" s="17"/>
      <c r="J912" s="21"/>
      <c r="K912" s="22"/>
      <c r="L912" s="22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88"/>
      <c r="I913" s="17"/>
      <c r="J913" s="21"/>
      <c r="K913" s="22"/>
      <c r="L913" s="22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88"/>
      <c r="I914" s="17"/>
      <c r="J914" s="21"/>
      <c r="K914" s="22"/>
      <c r="L914" s="22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88"/>
      <c r="I915" s="17"/>
      <c r="J915" s="21"/>
      <c r="K915" s="22"/>
      <c r="L915" s="22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88"/>
      <c r="I916" s="17"/>
      <c r="J916" s="21"/>
      <c r="K916" s="22"/>
      <c r="L916" s="22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88"/>
      <c r="I917" s="17"/>
      <c r="J917" s="21"/>
      <c r="K917" s="22"/>
      <c r="L917" s="22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88"/>
      <c r="I918" s="17"/>
      <c r="J918" s="21"/>
      <c r="K918" s="22"/>
      <c r="L918" s="22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88"/>
      <c r="I919" s="17"/>
      <c r="J919" s="21"/>
      <c r="K919" s="22"/>
      <c r="L919" s="22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88"/>
      <c r="I920" s="17"/>
      <c r="J920" s="21"/>
      <c r="K920" s="22"/>
      <c r="L920" s="22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88"/>
      <c r="I921" s="17"/>
      <c r="J921" s="21"/>
      <c r="K921" s="22"/>
      <c r="L921" s="22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88"/>
      <c r="I922" s="17"/>
      <c r="J922" s="21"/>
      <c r="K922" s="22"/>
      <c r="L922" s="22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88"/>
      <c r="I923" s="17"/>
      <c r="J923" s="21"/>
      <c r="K923" s="22"/>
      <c r="L923" s="22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88"/>
      <c r="I924" s="17"/>
      <c r="J924" s="21"/>
      <c r="K924" s="22"/>
      <c r="L924" s="22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88"/>
      <c r="I925" s="17"/>
      <c r="J925" s="21"/>
      <c r="K925" s="22"/>
      <c r="L925" s="22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88"/>
      <c r="I926" s="17"/>
      <c r="J926" s="21"/>
      <c r="K926" s="22"/>
      <c r="L926" s="22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88"/>
      <c r="I927" s="17"/>
      <c r="J927" s="21"/>
      <c r="K927" s="22"/>
      <c r="L927" s="22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88"/>
      <c r="I928" s="17"/>
      <c r="J928" s="21"/>
      <c r="K928" s="22"/>
      <c r="L928" s="22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88"/>
      <c r="I929" s="17"/>
      <c r="J929" s="21"/>
      <c r="K929" s="22"/>
      <c r="L929" s="22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88"/>
      <c r="I930" s="17"/>
      <c r="J930" s="21"/>
      <c r="K930" s="22"/>
      <c r="L930" s="22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88"/>
      <c r="I931" s="17"/>
      <c r="J931" s="21"/>
      <c r="K931" s="22"/>
      <c r="L931" s="22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88"/>
      <c r="I932" s="17"/>
      <c r="J932" s="21"/>
      <c r="K932" s="22"/>
      <c r="L932" s="22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88"/>
      <c r="I933" s="17"/>
      <c r="J933" s="21"/>
      <c r="K933" s="22"/>
      <c r="L933" s="22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88"/>
      <c r="I934" s="17"/>
      <c r="J934" s="21"/>
      <c r="K934" s="22"/>
      <c r="L934" s="22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88"/>
      <c r="I935" s="17"/>
      <c r="J935" s="21"/>
      <c r="K935" s="22"/>
      <c r="L935" s="22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88"/>
      <c r="I936" s="17"/>
      <c r="J936" s="21"/>
      <c r="K936" s="22"/>
      <c r="L936" s="22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88"/>
      <c r="I937" s="17"/>
      <c r="J937" s="21"/>
      <c r="K937" s="22"/>
      <c r="L937" s="22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88"/>
      <c r="I938" s="17"/>
      <c r="J938" s="21"/>
      <c r="K938" s="22"/>
      <c r="L938" s="22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88"/>
      <c r="I939" s="17"/>
      <c r="J939" s="21"/>
      <c r="K939" s="22"/>
      <c r="L939" s="22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88"/>
      <c r="I940" s="17"/>
      <c r="J940" s="21"/>
      <c r="K940" s="22"/>
      <c r="L940" s="22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88"/>
      <c r="I941" s="17"/>
      <c r="J941" s="21"/>
      <c r="K941" s="22"/>
      <c r="L941" s="22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88"/>
      <c r="I942" s="17"/>
      <c r="J942" s="21"/>
      <c r="K942" s="22"/>
      <c r="L942" s="22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88"/>
      <c r="I943" s="17"/>
      <c r="J943" s="21"/>
      <c r="K943" s="22"/>
      <c r="L943" s="22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88"/>
      <c r="I944" s="17"/>
      <c r="J944" s="21"/>
      <c r="K944" s="22"/>
      <c r="L944" s="22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88"/>
      <c r="I945" s="17"/>
      <c r="J945" s="21"/>
      <c r="K945" s="22"/>
      <c r="L945" s="22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88"/>
      <c r="I946" s="17"/>
      <c r="J946" s="21"/>
      <c r="K946" s="22"/>
      <c r="L946" s="22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88"/>
      <c r="I947" s="17"/>
      <c r="J947" s="21"/>
      <c r="K947" s="22"/>
      <c r="L947" s="22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88"/>
      <c r="I948" s="17"/>
      <c r="J948" s="21"/>
      <c r="K948" s="22"/>
      <c r="L948" s="22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88"/>
      <c r="I949" s="17"/>
      <c r="J949" s="21"/>
      <c r="K949" s="22"/>
      <c r="L949" s="22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88"/>
      <c r="I950" s="17"/>
      <c r="J950" s="21"/>
      <c r="K950" s="22"/>
      <c r="L950" s="22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88"/>
      <c r="I951" s="17"/>
      <c r="J951" s="21"/>
      <c r="K951" s="22"/>
      <c r="L951" s="22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88"/>
      <c r="I952" s="17"/>
      <c r="J952" s="21"/>
      <c r="K952" s="22"/>
      <c r="L952" s="22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88"/>
      <c r="I953" s="17"/>
      <c r="J953" s="21"/>
      <c r="K953" s="22"/>
      <c r="L953" s="22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88"/>
      <c r="I954" s="17"/>
      <c r="J954" s="21"/>
      <c r="K954" s="22"/>
      <c r="L954" s="22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88"/>
      <c r="I955" s="17"/>
      <c r="J955" s="21"/>
      <c r="K955" s="22"/>
      <c r="L955" s="22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88"/>
      <c r="I956" s="17"/>
      <c r="J956" s="21"/>
      <c r="K956" s="22"/>
      <c r="L956" s="22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88"/>
      <c r="I957" s="17"/>
      <c r="J957" s="21"/>
      <c r="K957" s="22"/>
      <c r="L957" s="22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88"/>
      <c r="I958" s="17"/>
      <c r="J958" s="21"/>
      <c r="K958" s="22"/>
      <c r="L958" s="22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88"/>
      <c r="I959" s="17"/>
      <c r="J959" s="21"/>
      <c r="K959" s="22"/>
      <c r="L959" s="22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88"/>
      <c r="I960" s="17"/>
      <c r="J960" s="21"/>
      <c r="K960" s="22"/>
      <c r="L960" s="22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88"/>
      <c r="I961" s="17"/>
      <c r="J961" s="21"/>
      <c r="K961" s="22"/>
      <c r="L961" s="22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88"/>
      <c r="I962" s="17"/>
      <c r="J962" s="21"/>
      <c r="K962" s="22"/>
      <c r="L962" s="22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88"/>
      <c r="I963" s="17"/>
      <c r="J963" s="21"/>
      <c r="K963" s="22"/>
      <c r="L963" s="22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88"/>
      <c r="I964" s="17"/>
      <c r="J964" s="21"/>
      <c r="K964" s="22"/>
      <c r="L964" s="22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88"/>
      <c r="I965" s="17"/>
      <c r="J965" s="21"/>
      <c r="K965" s="22"/>
      <c r="L965" s="22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88"/>
      <c r="I966" s="17"/>
      <c r="J966" s="21"/>
      <c r="K966" s="22"/>
      <c r="L966" s="22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88"/>
      <c r="I967" s="17"/>
      <c r="J967" s="21"/>
      <c r="K967" s="22"/>
      <c r="L967" s="22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88"/>
      <c r="I968" s="17"/>
      <c r="J968" s="21"/>
      <c r="K968" s="22"/>
      <c r="L968" s="22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88"/>
      <c r="I969" s="17"/>
      <c r="J969" s="21"/>
      <c r="K969" s="22"/>
      <c r="L969" s="22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88"/>
      <c r="I970" s="17"/>
      <c r="J970" s="21"/>
      <c r="K970" s="22"/>
      <c r="L970" s="22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88"/>
      <c r="I971" s="17"/>
      <c r="J971" s="21"/>
      <c r="K971" s="22"/>
      <c r="L971" s="22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88"/>
      <c r="I972" s="17"/>
      <c r="J972" s="21"/>
      <c r="K972" s="22"/>
      <c r="L972" s="22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88"/>
      <c r="I973" s="17"/>
      <c r="J973" s="21"/>
      <c r="K973" s="22"/>
      <c r="L973" s="22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88"/>
      <c r="I974" s="17"/>
      <c r="J974" s="21"/>
      <c r="K974" s="22"/>
      <c r="L974" s="22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88"/>
      <c r="I975" s="17"/>
      <c r="J975" s="21"/>
      <c r="K975" s="22"/>
      <c r="L975" s="22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88"/>
      <c r="I976" s="17"/>
      <c r="J976" s="21"/>
      <c r="K976" s="22"/>
      <c r="L976" s="22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88"/>
      <c r="I977" s="17"/>
      <c r="J977" s="21"/>
      <c r="K977" s="22"/>
      <c r="L977" s="22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88"/>
      <c r="I978" s="17"/>
      <c r="J978" s="21"/>
      <c r="K978" s="22"/>
      <c r="L978" s="22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88"/>
      <c r="I979" s="17"/>
      <c r="J979" s="21"/>
      <c r="K979" s="22"/>
      <c r="L979" s="22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88"/>
      <c r="I980" s="17"/>
      <c r="J980" s="21"/>
      <c r="K980" s="22"/>
      <c r="L980" s="22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88"/>
      <c r="I981" s="17"/>
      <c r="J981" s="21"/>
      <c r="K981" s="22"/>
      <c r="L981" s="22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88"/>
      <c r="I982" s="17"/>
      <c r="J982" s="21"/>
      <c r="K982" s="22"/>
      <c r="L982" s="22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88"/>
      <c r="I983" s="17"/>
      <c r="J983" s="21"/>
      <c r="K983" s="22"/>
      <c r="L983" s="22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88"/>
      <c r="I984" s="17"/>
      <c r="J984" s="21"/>
      <c r="K984" s="22"/>
      <c r="L984" s="22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88"/>
      <c r="I985" s="17"/>
      <c r="J985" s="21"/>
      <c r="K985" s="22"/>
      <c r="L985" s="22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88"/>
      <c r="I986" s="17"/>
      <c r="J986" s="21"/>
      <c r="K986" s="22"/>
      <c r="L986" s="22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88"/>
      <c r="I987" s="17"/>
      <c r="J987" s="21"/>
      <c r="K987" s="22"/>
      <c r="L987" s="22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88"/>
      <c r="I988" s="17"/>
      <c r="J988" s="21"/>
      <c r="K988" s="22"/>
      <c r="L988" s="22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88"/>
      <c r="I989" s="17"/>
      <c r="J989" s="21"/>
      <c r="K989" s="22"/>
      <c r="L989" s="22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88"/>
      <c r="I990" s="17"/>
      <c r="J990" s="21"/>
      <c r="K990" s="22"/>
      <c r="L990" s="22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88"/>
      <c r="I991" s="17"/>
      <c r="J991" s="21"/>
      <c r="K991" s="22"/>
      <c r="L991" s="22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88"/>
      <c r="I992" s="17"/>
      <c r="J992" s="21"/>
      <c r="K992" s="22"/>
      <c r="L992" s="22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88"/>
      <c r="I993" s="17"/>
      <c r="J993" s="21"/>
      <c r="K993" s="22"/>
      <c r="L993" s="22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88"/>
      <c r="I994" s="17"/>
      <c r="J994" s="21"/>
      <c r="K994" s="22"/>
      <c r="L994" s="22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88"/>
      <c r="I995" s="17"/>
      <c r="J995" s="21"/>
      <c r="K995" s="22"/>
      <c r="L995" s="22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88"/>
      <c r="I996" s="17"/>
      <c r="J996" s="21"/>
      <c r="K996" s="22"/>
      <c r="L996" s="22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88"/>
      <c r="I997" s="17"/>
      <c r="J997" s="21"/>
      <c r="K997" s="22"/>
      <c r="L997" s="22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88"/>
      <c r="I998" s="17"/>
      <c r="J998" s="21"/>
      <c r="K998" s="22"/>
      <c r="L998" s="22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88"/>
      <c r="I999" s="17"/>
      <c r="J999" s="21"/>
      <c r="K999" s="22"/>
      <c r="L999" s="22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88"/>
      <c r="I1000" s="17"/>
      <c r="J1000" s="21"/>
      <c r="K1000" s="22"/>
      <c r="L1000" s="22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drawing r:id="rId1"/>
</worksheet>
</file>