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owfi\Desktop\"/>
    </mc:Choice>
  </mc:AlternateContent>
  <bookViews>
    <workbookView xWindow="0" yWindow="0" windowWidth="19200" windowHeight="7050" tabRatio="665" activeTab="2"/>
  </bookViews>
  <sheets>
    <sheet name="TitlePage" sheetId="18" r:id="rId1"/>
    <sheet name="KPI's" sheetId="20" r:id="rId2"/>
    <sheet name="IS" sheetId="8" r:id="rId3"/>
    <sheet name="Deprecn" sheetId="13" r:id="rId4"/>
    <sheet name="Loan" sheetId="14" r:id="rId5"/>
    <sheet name="BS" sheetId="9" r:id="rId6"/>
    <sheet name="CF" sheetId="11" r:id="rId7"/>
    <sheet name="Valuation" sheetId="17" r:id="rId8"/>
    <sheet name="PPE" sheetId="12" r:id="rId9"/>
    <sheet name="WC Analysis" sheetId="16" r:id="rId10"/>
    <sheet name="WCInputs" sheetId="15" r:id="rId11"/>
  </sheets>
  <definedNames>
    <definedName name="_xlnm.Print_Area" localSheetId="9">'WC Analysis'!$B$2:$U$26</definedName>
    <definedName name="_xlnm.Print_Area" localSheetId="10">WCInputs!$B$6:$T$21</definedName>
  </definedNames>
  <calcPr calcId="162913"/>
</workbook>
</file>

<file path=xl/calcChain.xml><?xml version="1.0" encoding="utf-8"?>
<calcChain xmlns="http://schemas.openxmlformats.org/spreadsheetml/2006/main">
  <c r="O31" i="8" l="1"/>
  <c r="B20" i="20" l="1"/>
  <c r="B6" i="20"/>
  <c r="B2" i="20"/>
  <c r="S22" i="11" l="1"/>
  <c r="R22" i="11"/>
  <c r="Q22" i="11"/>
  <c r="P22" i="11"/>
  <c r="O22" i="11"/>
  <c r="N22" i="11"/>
  <c r="AC25" i="8" l="1"/>
  <c r="Y26" i="8"/>
  <c r="W26" i="8"/>
  <c r="U26" i="8"/>
  <c r="S26" i="8"/>
  <c r="Q26" i="8"/>
  <c r="O26" i="8"/>
  <c r="M26" i="8"/>
  <c r="K26" i="8"/>
  <c r="I26" i="8"/>
  <c r="G26" i="8"/>
  <c r="E26" i="8"/>
  <c r="C26" i="8"/>
  <c r="M29" i="8"/>
  <c r="K29" i="8"/>
  <c r="I29" i="8"/>
  <c r="G29" i="8"/>
  <c r="E29" i="8"/>
  <c r="C29" i="8"/>
  <c r="K27" i="8"/>
  <c r="I27" i="8"/>
  <c r="G27" i="8"/>
  <c r="E27" i="8"/>
  <c r="C27" i="8"/>
  <c r="G25" i="8"/>
  <c r="E25" i="8"/>
  <c r="C25" i="8"/>
  <c r="AC26" i="8" l="1"/>
  <c r="AA26" i="8"/>
  <c r="AJ14" i="8"/>
  <c r="AH14" i="8"/>
  <c r="AF14" i="8"/>
  <c r="AD14" i="8"/>
  <c r="AB14" i="8"/>
  <c r="H5" i="17" l="1"/>
  <c r="Y10" i="13" l="1"/>
  <c r="Z10" i="13"/>
  <c r="AA10" i="13"/>
  <c r="AB10" i="13"/>
  <c r="AC10" i="13"/>
  <c r="AD10" i="13"/>
  <c r="AE10" i="13"/>
  <c r="AF10" i="13"/>
  <c r="AG10" i="13"/>
  <c r="AH10" i="13"/>
  <c r="AI10" i="13"/>
  <c r="Y11" i="13"/>
  <c r="Z11" i="13"/>
  <c r="AA11" i="13"/>
  <c r="AB11" i="13"/>
  <c r="AC11" i="13"/>
  <c r="AD11" i="13"/>
  <c r="AE11" i="13"/>
  <c r="AF11" i="13"/>
  <c r="AG11" i="13"/>
  <c r="AH11" i="13"/>
  <c r="AI11" i="13"/>
  <c r="Y12" i="13"/>
  <c r="Z12" i="13"/>
  <c r="AA12" i="13"/>
  <c r="AB12" i="13"/>
  <c r="AC12" i="13"/>
  <c r="AD12" i="13"/>
  <c r="AE12" i="13"/>
  <c r="AF12" i="13"/>
  <c r="AG12" i="13"/>
  <c r="AH12" i="13"/>
  <c r="AI12" i="13"/>
  <c r="Y13" i="13"/>
  <c r="Z13" i="13"/>
  <c r="AA13" i="13"/>
  <c r="AB13" i="13"/>
  <c r="AC13" i="13"/>
  <c r="AD13" i="13"/>
  <c r="AE13" i="13"/>
  <c r="AF13" i="13"/>
  <c r="AG13" i="13"/>
  <c r="AH13" i="13"/>
  <c r="AI13" i="13"/>
  <c r="Y14" i="13"/>
  <c r="Z14" i="13"/>
  <c r="AA14" i="13"/>
  <c r="AB14" i="13"/>
  <c r="AC14" i="13"/>
  <c r="AD14" i="13"/>
  <c r="AE14" i="13"/>
  <c r="AF14" i="13"/>
  <c r="AG14" i="13"/>
  <c r="AH14" i="13"/>
  <c r="AI14" i="13"/>
  <c r="Y15" i="13"/>
  <c r="Z15" i="13"/>
  <c r="AA15" i="13"/>
  <c r="AB15" i="13"/>
  <c r="AC15" i="13"/>
  <c r="AD15" i="13"/>
  <c r="AE15" i="13"/>
  <c r="AF15" i="13"/>
  <c r="AG15" i="13"/>
  <c r="AH15" i="13"/>
  <c r="AI15" i="13"/>
  <c r="Y16" i="13"/>
  <c r="Z16" i="13"/>
  <c r="AA16" i="13"/>
  <c r="AB16" i="13"/>
  <c r="AC16" i="13"/>
  <c r="AD16" i="13"/>
  <c r="AE16" i="13"/>
  <c r="AF16" i="13"/>
  <c r="AG16" i="13"/>
  <c r="AH16" i="13"/>
  <c r="AI16" i="13"/>
  <c r="Y17" i="13"/>
  <c r="Z17" i="13"/>
  <c r="AA17" i="13"/>
  <c r="AB17" i="13"/>
  <c r="AC17" i="13"/>
  <c r="AD17" i="13"/>
  <c r="AE17" i="13"/>
  <c r="AF17" i="13"/>
  <c r="AG17" i="13"/>
  <c r="AH17" i="13"/>
  <c r="AI17" i="13"/>
  <c r="Y18" i="13"/>
  <c r="Z18" i="13"/>
  <c r="AA18" i="13"/>
  <c r="AB18" i="13"/>
  <c r="AC18" i="13"/>
  <c r="AD18" i="13"/>
  <c r="AE18" i="13"/>
  <c r="AF18" i="13"/>
  <c r="AG18" i="13"/>
  <c r="AH18" i="13"/>
  <c r="AI18" i="13"/>
  <c r="Y19" i="13"/>
  <c r="Z19" i="13"/>
  <c r="AA19" i="13"/>
  <c r="AB19" i="13"/>
  <c r="AC19" i="13"/>
  <c r="AD19" i="13"/>
  <c r="AE19" i="13"/>
  <c r="AF19" i="13"/>
  <c r="AG19" i="13"/>
  <c r="AH19" i="13"/>
  <c r="AI19" i="13"/>
  <c r="Y20" i="13"/>
  <c r="Z20" i="13"/>
  <c r="AA20" i="13"/>
  <c r="AB20" i="13"/>
  <c r="AC20" i="13"/>
  <c r="AD20" i="13"/>
  <c r="AE20" i="13"/>
  <c r="AF20" i="13"/>
  <c r="AG20" i="13"/>
  <c r="AH20" i="13"/>
  <c r="AI20" i="13"/>
  <c r="Y21" i="13"/>
  <c r="Z21" i="13"/>
  <c r="AA21" i="13"/>
  <c r="AB21" i="13"/>
  <c r="AC21" i="13"/>
  <c r="AD21" i="13"/>
  <c r="AE21" i="13"/>
  <c r="AF21" i="13"/>
  <c r="AG21" i="13"/>
  <c r="AH21" i="13"/>
  <c r="AI21" i="13"/>
  <c r="Y22" i="13"/>
  <c r="Z22" i="13"/>
  <c r="AA22" i="13"/>
  <c r="AB22" i="13"/>
  <c r="AC22" i="13"/>
  <c r="AD22" i="13"/>
  <c r="AE22" i="13"/>
  <c r="AF22" i="13"/>
  <c r="AG22" i="13"/>
  <c r="AH22" i="13"/>
  <c r="AI22" i="13"/>
  <c r="Y23" i="13"/>
  <c r="Z23" i="13"/>
  <c r="AA23" i="13"/>
  <c r="AB23" i="13"/>
  <c r="AC23" i="13"/>
  <c r="AD23" i="13"/>
  <c r="AE23" i="13"/>
  <c r="AF23" i="13"/>
  <c r="AG23" i="13"/>
  <c r="AH23" i="13"/>
  <c r="AI23" i="13"/>
  <c r="Y24" i="13"/>
  <c r="Z24" i="13"/>
  <c r="AA24" i="13"/>
  <c r="AB24" i="13"/>
  <c r="AC24" i="13"/>
  <c r="AD24" i="13"/>
  <c r="AE24" i="13"/>
  <c r="AF24" i="13"/>
  <c r="AG24" i="13"/>
  <c r="AH24" i="13"/>
  <c r="AI24" i="13"/>
  <c r="Y25" i="13"/>
  <c r="Z25" i="13"/>
  <c r="AA25" i="13"/>
  <c r="AB25" i="13"/>
  <c r="AC25" i="13"/>
  <c r="AD25" i="13"/>
  <c r="AE25" i="13"/>
  <c r="AF25" i="13"/>
  <c r="AG25" i="13"/>
  <c r="AH25" i="13"/>
  <c r="AI25" i="13"/>
  <c r="Y26" i="13"/>
  <c r="Z26" i="13"/>
  <c r="AA26" i="13"/>
  <c r="AB26" i="13"/>
  <c r="AC26" i="13"/>
  <c r="AD26" i="13"/>
  <c r="AE26" i="13"/>
  <c r="AF26" i="13"/>
  <c r="AG26" i="13"/>
  <c r="AH26" i="13"/>
  <c r="AI26" i="13"/>
  <c r="Y27" i="13"/>
  <c r="Z27" i="13"/>
  <c r="AA27" i="13"/>
  <c r="AB27" i="13"/>
  <c r="AC27" i="13"/>
  <c r="AD27" i="13"/>
  <c r="AE27" i="13"/>
  <c r="AF27" i="13"/>
  <c r="AG27" i="13"/>
  <c r="AH27" i="13"/>
  <c r="AI27" i="13"/>
  <c r="Y28" i="13"/>
  <c r="Z28" i="13"/>
  <c r="AA28" i="13"/>
  <c r="AB28" i="13"/>
  <c r="AC28" i="13"/>
  <c r="AD28" i="13"/>
  <c r="AE28" i="13"/>
  <c r="AF28" i="13"/>
  <c r="AG28" i="13"/>
  <c r="AH28" i="13"/>
  <c r="AI28" i="13"/>
  <c r="Y29" i="13"/>
  <c r="Z29" i="13"/>
  <c r="AA29" i="13"/>
  <c r="AB29" i="13"/>
  <c r="AC29" i="13"/>
  <c r="AD29" i="13"/>
  <c r="AE29" i="13"/>
  <c r="AF29" i="13"/>
  <c r="AG29" i="13"/>
  <c r="AH29" i="13"/>
  <c r="AI29" i="13"/>
  <c r="Y30" i="13"/>
  <c r="Z30" i="13"/>
  <c r="AA30" i="13"/>
  <c r="AB30" i="13"/>
  <c r="AC30" i="13"/>
  <c r="AD30" i="13"/>
  <c r="AE30" i="13"/>
  <c r="AF30" i="13"/>
  <c r="AG30" i="13"/>
  <c r="AH30" i="13"/>
  <c r="AI30" i="13"/>
  <c r="Y31" i="13"/>
  <c r="Z31" i="13"/>
  <c r="AA31" i="13"/>
  <c r="AB31" i="13"/>
  <c r="AC31" i="13"/>
  <c r="AD31" i="13"/>
  <c r="AE31" i="13"/>
  <c r="AF31" i="13"/>
  <c r="AG31" i="13"/>
  <c r="AH31" i="13"/>
  <c r="AI31" i="13"/>
  <c r="K14" i="13"/>
  <c r="K13" i="13"/>
  <c r="K12" i="13"/>
  <c r="K11" i="13"/>
  <c r="K10" i="13"/>
  <c r="K9" i="13"/>
  <c r="K8" i="13"/>
  <c r="K7" i="13"/>
  <c r="S10" i="14"/>
  <c r="T10" i="14" s="1"/>
  <c r="U10" i="14" s="1"/>
  <c r="V10" i="14" s="1"/>
  <c r="W10" i="14" s="1"/>
  <c r="X10" i="14" s="1"/>
  <c r="R8" i="14"/>
  <c r="S8" i="14" s="1"/>
  <c r="T8" i="14" s="1"/>
  <c r="U8" i="14" s="1"/>
  <c r="R9" i="14"/>
  <c r="S9" i="14" s="1"/>
  <c r="T9" i="14" s="1"/>
  <c r="U9" i="14" s="1"/>
  <c r="V9" i="14" s="1"/>
  <c r="W9" i="14" s="1"/>
  <c r="X9" i="14" s="1"/>
  <c r="R10" i="14"/>
  <c r="R11" i="14"/>
  <c r="S11" i="14" s="1"/>
  <c r="T11" i="14" s="1"/>
  <c r="U11" i="14" s="1"/>
  <c r="V11" i="14" s="1"/>
  <c r="W11" i="14" s="1"/>
  <c r="X11" i="14" s="1"/>
  <c r="R12" i="14"/>
  <c r="S12" i="14" s="1"/>
  <c r="T12" i="14" s="1"/>
  <c r="U12" i="14" s="1"/>
  <c r="V12" i="14" s="1"/>
  <c r="W12" i="14" s="1"/>
  <c r="X12" i="14" s="1"/>
  <c r="R13" i="14"/>
  <c r="S13" i="14" s="1"/>
  <c r="T13" i="14" s="1"/>
  <c r="U13" i="14" s="1"/>
  <c r="V13" i="14" s="1"/>
  <c r="W13" i="14" s="1"/>
  <c r="X13" i="14" s="1"/>
  <c r="R14" i="14"/>
  <c r="S14" i="14" s="1"/>
  <c r="T14" i="14" s="1"/>
  <c r="U14" i="14" s="1"/>
  <c r="V14" i="14" s="1"/>
  <c r="W14" i="14" s="1"/>
  <c r="X14" i="14" s="1"/>
  <c r="R15" i="14"/>
  <c r="S15" i="14" s="1"/>
  <c r="T15" i="14" s="1"/>
  <c r="U15" i="14" s="1"/>
  <c r="V15" i="14" s="1"/>
  <c r="W15" i="14" s="1"/>
  <c r="X15" i="14" s="1"/>
  <c r="R16" i="14"/>
  <c r="S16" i="14" s="1"/>
  <c r="T16" i="14" s="1"/>
  <c r="U16" i="14" s="1"/>
  <c r="V16" i="14" s="1"/>
  <c r="W16" i="14" s="1"/>
  <c r="X16" i="14" s="1"/>
  <c r="R7" i="14"/>
  <c r="Q7" i="14"/>
  <c r="S7" i="14" l="1"/>
  <c r="T7" i="14" s="1"/>
  <c r="U7" i="14" s="1"/>
  <c r="V7" i="14" s="1"/>
  <c r="W7" i="14" s="1"/>
  <c r="X7" i="14" s="1"/>
  <c r="B3" i="15"/>
  <c r="B2" i="15"/>
  <c r="B3" i="12"/>
  <c r="B2" i="12"/>
  <c r="B3" i="16"/>
  <c r="B2" i="16"/>
  <c r="B3" i="14"/>
  <c r="B2" i="14"/>
  <c r="A2" i="17"/>
  <c r="A1" i="17"/>
  <c r="B3" i="13"/>
  <c r="B2" i="13"/>
  <c r="A2" i="11"/>
  <c r="A1" i="11"/>
  <c r="A2" i="9"/>
  <c r="A1" i="9"/>
  <c r="A2" i="8"/>
  <c r="A1" i="8"/>
  <c r="AL31" i="13"/>
  <c r="AL30" i="13"/>
  <c r="AL29" i="13"/>
  <c r="AL28" i="13"/>
  <c r="AL27" i="13"/>
  <c r="AL26" i="13"/>
  <c r="AL25" i="13"/>
  <c r="AL24" i="13"/>
  <c r="AL23" i="13"/>
  <c r="AL22" i="13"/>
  <c r="AL21" i="13"/>
  <c r="AL20" i="13"/>
  <c r="AL19" i="13"/>
  <c r="AL18" i="13"/>
  <c r="AL17" i="13"/>
  <c r="AL16" i="13"/>
  <c r="AL15" i="13"/>
  <c r="AL14" i="13"/>
  <c r="AL13" i="13"/>
  <c r="AL12" i="13"/>
  <c r="AL11" i="13"/>
  <c r="AL10" i="13"/>
  <c r="AL9" i="13"/>
  <c r="AL8" i="13"/>
  <c r="AN31" i="13"/>
  <c r="AN30" i="13"/>
  <c r="AN29" i="13"/>
  <c r="AN28" i="13"/>
  <c r="AN27" i="13"/>
  <c r="AN26" i="13"/>
  <c r="AN25" i="13"/>
  <c r="AN24" i="13"/>
  <c r="AN23" i="13"/>
  <c r="AN22" i="13"/>
  <c r="AN21" i="13"/>
  <c r="AN20" i="13"/>
  <c r="AN19" i="13"/>
  <c r="AN18" i="13"/>
  <c r="AN17" i="13"/>
  <c r="AN16" i="13"/>
  <c r="AN15" i="13"/>
  <c r="AN14" i="13"/>
  <c r="AN13" i="13"/>
  <c r="AN12" i="13"/>
  <c r="AN11" i="13"/>
  <c r="AN10" i="13"/>
  <c r="AN9" i="13"/>
  <c r="AN8" i="13"/>
  <c r="AP31" i="13"/>
  <c r="AP30" i="13"/>
  <c r="AP29" i="13"/>
  <c r="AP28" i="13"/>
  <c r="AP27" i="13"/>
  <c r="AP26" i="13"/>
  <c r="AP25" i="13"/>
  <c r="AP24" i="13"/>
  <c r="AP23" i="13"/>
  <c r="AP22" i="13"/>
  <c r="AP21" i="13"/>
  <c r="AP20" i="13"/>
  <c r="AP19" i="13"/>
  <c r="AP18" i="13"/>
  <c r="AP17" i="13"/>
  <c r="AP16" i="13"/>
  <c r="AP15" i="13"/>
  <c r="AP14" i="13"/>
  <c r="AP13" i="13"/>
  <c r="AP12" i="13"/>
  <c r="AP11" i="13"/>
  <c r="AP10" i="13"/>
  <c r="AP9" i="13"/>
  <c r="AP8" i="13"/>
  <c r="AR31" i="13"/>
  <c r="AR30" i="13"/>
  <c r="AR29" i="13"/>
  <c r="AR28" i="13"/>
  <c r="AR27" i="13"/>
  <c r="AR26" i="13"/>
  <c r="AR25" i="13"/>
  <c r="AR24" i="13"/>
  <c r="AR23" i="13"/>
  <c r="AR22" i="13"/>
  <c r="AR21" i="13"/>
  <c r="AR20" i="13"/>
  <c r="AR19" i="13"/>
  <c r="AR18" i="13"/>
  <c r="AR17" i="13"/>
  <c r="AR16" i="13"/>
  <c r="AR15" i="13"/>
  <c r="AR14" i="13"/>
  <c r="AR13" i="13"/>
  <c r="AR12" i="13"/>
  <c r="AR11" i="13"/>
  <c r="AR10" i="13"/>
  <c r="AR9" i="13"/>
  <c r="AR8" i="13"/>
  <c r="AT31" i="13"/>
  <c r="AT30" i="13"/>
  <c r="AT29" i="13"/>
  <c r="AT28" i="13"/>
  <c r="AT27" i="13"/>
  <c r="AT26" i="13"/>
  <c r="AT25" i="13"/>
  <c r="AT24" i="13"/>
  <c r="AT23" i="13"/>
  <c r="AT22" i="13"/>
  <c r="AT21" i="13"/>
  <c r="AT20" i="13"/>
  <c r="AT19" i="13"/>
  <c r="AT18" i="13"/>
  <c r="AT17" i="13"/>
  <c r="AT16" i="13"/>
  <c r="AT15" i="13"/>
  <c r="AT14" i="13"/>
  <c r="AT13" i="13"/>
  <c r="AT12" i="13"/>
  <c r="AT11" i="13"/>
  <c r="AT10" i="13"/>
  <c r="AR7" i="13"/>
  <c r="AP7" i="13"/>
  <c r="AN7" i="13"/>
  <c r="AL7" i="13"/>
  <c r="AU31" i="13"/>
  <c r="AU30" i="13"/>
  <c r="AU29" i="13"/>
  <c r="AU28" i="13"/>
  <c r="AU27" i="13"/>
  <c r="AU26" i="13"/>
  <c r="AU25" i="13"/>
  <c r="AU24" i="13"/>
  <c r="AU23" i="13"/>
  <c r="AU22" i="13"/>
  <c r="AU21" i="13"/>
  <c r="AU20" i="13"/>
  <c r="AU19" i="13"/>
  <c r="AU18" i="13"/>
  <c r="AU17" i="13"/>
  <c r="AU16" i="13"/>
  <c r="AU15" i="13"/>
  <c r="AU14" i="13"/>
  <c r="AU13" i="13"/>
  <c r="AU12" i="13"/>
  <c r="AU11" i="13"/>
  <c r="AU10" i="13"/>
  <c r="AS31" i="13"/>
  <c r="AS30" i="13"/>
  <c r="AS29" i="13"/>
  <c r="AS28" i="13"/>
  <c r="AS27" i="13"/>
  <c r="AS26" i="13"/>
  <c r="AS25" i="13"/>
  <c r="AS24" i="13"/>
  <c r="AS23" i="13"/>
  <c r="AS22" i="13"/>
  <c r="AS21" i="13"/>
  <c r="AS20" i="13"/>
  <c r="AS19" i="13"/>
  <c r="AS18" i="13"/>
  <c r="AS17" i="13"/>
  <c r="AS16" i="13"/>
  <c r="AS15" i="13"/>
  <c r="AS14" i="13"/>
  <c r="AS13" i="13"/>
  <c r="AS12" i="13"/>
  <c r="AS11" i="13"/>
  <c r="AS10" i="13"/>
  <c r="AQ31" i="13"/>
  <c r="AQ30" i="13"/>
  <c r="AQ29" i="13"/>
  <c r="AQ28" i="13"/>
  <c r="AQ27" i="13"/>
  <c r="AQ26" i="13"/>
  <c r="AQ25" i="13"/>
  <c r="AQ24" i="13"/>
  <c r="AQ23" i="13"/>
  <c r="AQ22" i="13"/>
  <c r="AQ21" i="13"/>
  <c r="AQ20" i="13"/>
  <c r="AQ19" i="13"/>
  <c r="AQ18" i="13"/>
  <c r="AQ17" i="13"/>
  <c r="AQ16" i="13"/>
  <c r="AQ15" i="13"/>
  <c r="AQ14" i="13"/>
  <c r="AQ13" i="13"/>
  <c r="AQ12" i="13"/>
  <c r="AQ11" i="13"/>
  <c r="AQ10" i="13"/>
  <c r="AO31" i="13"/>
  <c r="AO30" i="13"/>
  <c r="AO29" i="13"/>
  <c r="AO28" i="13"/>
  <c r="AO27" i="13"/>
  <c r="AO26" i="13"/>
  <c r="AO25" i="13"/>
  <c r="AO24" i="13"/>
  <c r="AO23" i="13"/>
  <c r="AO22" i="13"/>
  <c r="AO21" i="13"/>
  <c r="AO20" i="13"/>
  <c r="AO19" i="13"/>
  <c r="AO18" i="13"/>
  <c r="AO17" i="13"/>
  <c r="AO16" i="13"/>
  <c r="AO15" i="13"/>
  <c r="AO14" i="13"/>
  <c r="AO13" i="13"/>
  <c r="AO12" i="13"/>
  <c r="AO11" i="13"/>
  <c r="AO10" i="13"/>
  <c r="AM31" i="13"/>
  <c r="AM30" i="13"/>
  <c r="AM29" i="13"/>
  <c r="AM28" i="13"/>
  <c r="AM27" i="13"/>
  <c r="AM26" i="13"/>
  <c r="AM25" i="13"/>
  <c r="AM24" i="13"/>
  <c r="AM23" i="13"/>
  <c r="AM22" i="13"/>
  <c r="AM21" i="13"/>
  <c r="AM20" i="13"/>
  <c r="AM19" i="13"/>
  <c r="AM18" i="13"/>
  <c r="AM17" i="13"/>
  <c r="AM16" i="13"/>
  <c r="AM15" i="13"/>
  <c r="AM14" i="13"/>
  <c r="AM13" i="13"/>
  <c r="AM12" i="13"/>
  <c r="AM11" i="13"/>
  <c r="AM10" i="13"/>
  <c r="AK31" i="13"/>
  <c r="AK30" i="13"/>
  <c r="AK29" i="13"/>
  <c r="AK28" i="13"/>
  <c r="AK27" i="13"/>
  <c r="AK26" i="13"/>
  <c r="AK25" i="13"/>
  <c r="AK24" i="13"/>
  <c r="AK23" i="13"/>
  <c r="AK22" i="13"/>
  <c r="AK21" i="13"/>
  <c r="AK20" i="13"/>
  <c r="AK19" i="13"/>
  <c r="AK18" i="13"/>
  <c r="AK17" i="13"/>
  <c r="AK16" i="13"/>
  <c r="AK15" i="13"/>
  <c r="AK14" i="13"/>
  <c r="AK13" i="13"/>
  <c r="AK12" i="13"/>
  <c r="AK11" i="13"/>
  <c r="AK10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Q16" i="14"/>
  <c r="Q15" i="14"/>
  <c r="Q14" i="14"/>
  <c r="Q13" i="14"/>
  <c r="Q12" i="14"/>
  <c r="Q11" i="14"/>
  <c r="Q10" i="14"/>
  <c r="Q9" i="14"/>
  <c r="Q8" i="14"/>
  <c r="V8" i="14" s="1"/>
  <c r="CC8" i="14"/>
  <c r="CD8" i="14"/>
  <c r="CE8" i="14"/>
  <c r="CF8" i="14"/>
  <c r="CG8" i="14"/>
  <c r="CH8" i="14"/>
  <c r="CC9" i="14"/>
  <c r="CD9" i="14"/>
  <c r="CE9" i="14"/>
  <c r="CF9" i="14"/>
  <c r="CG9" i="14"/>
  <c r="CH9" i="14"/>
  <c r="CC10" i="14"/>
  <c r="CD10" i="14"/>
  <c r="CE10" i="14"/>
  <c r="CF10" i="14"/>
  <c r="CG10" i="14"/>
  <c r="CH10" i="14"/>
  <c r="CC11" i="14"/>
  <c r="CD11" i="14"/>
  <c r="CE11" i="14"/>
  <c r="CF11" i="14"/>
  <c r="CG11" i="14"/>
  <c r="CH11" i="14"/>
  <c r="CC12" i="14"/>
  <c r="CD12" i="14"/>
  <c r="CE12" i="14"/>
  <c r="CF12" i="14"/>
  <c r="CG12" i="14"/>
  <c r="CH12" i="14"/>
  <c r="CC13" i="14"/>
  <c r="CD13" i="14"/>
  <c r="CE13" i="14"/>
  <c r="CF13" i="14"/>
  <c r="CG13" i="14"/>
  <c r="CH13" i="14"/>
  <c r="CC14" i="14"/>
  <c r="CD14" i="14"/>
  <c r="CE14" i="14"/>
  <c r="CF14" i="14"/>
  <c r="CG14" i="14"/>
  <c r="CH14" i="14"/>
  <c r="CC15" i="14"/>
  <c r="CD15" i="14"/>
  <c r="CE15" i="14"/>
  <c r="CF15" i="14"/>
  <c r="CG15" i="14"/>
  <c r="CH15" i="14"/>
  <c r="CC16" i="14"/>
  <c r="CD16" i="14"/>
  <c r="CE16" i="14"/>
  <c r="CF16" i="14"/>
  <c r="CG16" i="14"/>
  <c r="CH16" i="14"/>
  <c r="CH7" i="14"/>
  <c r="CG7" i="14"/>
  <c r="CF7" i="14"/>
  <c r="CE7" i="14"/>
  <c r="CD7" i="14"/>
  <c r="CC7" i="14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U17" i="14" l="1"/>
  <c r="S17" i="14"/>
  <c r="O26" i="9" s="1"/>
  <c r="T17" i="14"/>
  <c r="W8" i="14"/>
  <c r="V17" i="14"/>
  <c r="F7" i="8"/>
  <c r="H7" i="8" s="1"/>
  <c r="J7" i="8" s="1"/>
  <c r="L7" i="8" s="1"/>
  <c r="N7" i="8" s="1"/>
  <c r="P7" i="8" s="1"/>
  <c r="R7" i="8" s="1"/>
  <c r="T7" i="8" s="1"/>
  <c r="V7" i="8" s="1"/>
  <c r="F8" i="8"/>
  <c r="H8" i="8" s="1"/>
  <c r="J8" i="8" s="1"/>
  <c r="L8" i="8" s="1"/>
  <c r="N8" i="8" s="1"/>
  <c r="P8" i="8" s="1"/>
  <c r="R8" i="8" s="1"/>
  <c r="F9" i="8"/>
  <c r="H9" i="8" s="1"/>
  <c r="J9" i="8" s="1"/>
  <c r="L9" i="8" s="1"/>
  <c r="N9" i="8" s="1"/>
  <c r="P9" i="8" s="1"/>
  <c r="R9" i="8" s="1"/>
  <c r="F10" i="8"/>
  <c r="H10" i="8" s="1"/>
  <c r="J10" i="8" s="1"/>
  <c r="L10" i="8" s="1"/>
  <c r="N10" i="8" s="1"/>
  <c r="P10" i="8" s="1"/>
  <c r="F11" i="8"/>
  <c r="H11" i="8" s="1"/>
  <c r="J11" i="8" s="1"/>
  <c r="L11" i="8" s="1"/>
  <c r="N11" i="8" s="1"/>
  <c r="P11" i="8" s="1"/>
  <c r="R11" i="8" s="1"/>
  <c r="T11" i="8" s="1"/>
  <c r="V11" i="8" s="1"/>
  <c r="F6" i="8"/>
  <c r="H6" i="8" s="1"/>
  <c r="J6" i="8" s="1"/>
  <c r="L6" i="8" s="1"/>
  <c r="N6" i="8" s="1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E5" i="16"/>
  <c r="F5" i="16"/>
  <c r="G5" i="16"/>
  <c r="H5" i="16"/>
  <c r="I5" i="16"/>
  <c r="J5" i="16"/>
  <c r="K5" i="16"/>
  <c r="L5" i="16"/>
  <c r="M5" i="16"/>
  <c r="N5" i="16"/>
  <c r="O5" i="16"/>
  <c r="D15" i="16"/>
  <c r="B15" i="16"/>
  <c r="D14" i="16"/>
  <c r="B14" i="16"/>
  <c r="D13" i="16"/>
  <c r="B13" i="16"/>
  <c r="B12" i="16"/>
  <c r="D9" i="16"/>
  <c r="U5" i="16"/>
  <c r="T5" i="16"/>
  <c r="S5" i="16"/>
  <c r="R5" i="16"/>
  <c r="Q5" i="16"/>
  <c r="P5" i="16"/>
  <c r="D5" i="16"/>
  <c r="P26" i="9" l="1"/>
  <c r="Q26" i="9" s="1"/>
  <c r="P6" i="8"/>
  <c r="R6" i="8" s="1"/>
  <c r="T6" i="8" s="1"/>
  <c r="V6" i="8" s="1"/>
  <c r="R10" i="8"/>
  <c r="T10" i="8" s="1"/>
  <c r="V10" i="8" s="1"/>
  <c r="R26" i="9"/>
  <c r="X8" i="14"/>
  <c r="X17" i="14" s="1"/>
  <c r="W17" i="14"/>
  <c r="T9" i="8"/>
  <c r="V9" i="8" s="1"/>
  <c r="T8" i="8"/>
  <c r="V8" i="8" s="1"/>
  <c r="V19" i="8"/>
  <c r="X11" i="8"/>
  <c r="X7" i="8"/>
  <c r="V15" i="8"/>
  <c r="K8" i="14"/>
  <c r="Y8" i="14" s="1"/>
  <c r="L8" i="14"/>
  <c r="M8" i="14"/>
  <c r="N8" i="14"/>
  <c r="O8" i="14"/>
  <c r="P8" i="14"/>
  <c r="K9" i="14"/>
  <c r="Y9" i="14" s="1"/>
  <c r="L9" i="14"/>
  <c r="M9" i="14"/>
  <c r="N9" i="14"/>
  <c r="O9" i="14"/>
  <c r="P9" i="14"/>
  <c r="K10" i="14"/>
  <c r="Y10" i="14" s="1"/>
  <c r="L10" i="14"/>
  <c r="M10" i="14"/>
  <c r="N10" i="14"/>
  <c r="O10" i="14"/>
  <c r="P10" i="14"/>
  <c r="K11" i="14"/>
  <c r="Y11" i="14" s="1"/>
  <c r="L11" i="14"/>
  <c r="M11" i="14"/>
  <c r="N11" i="14"/>
  <c r="O11" i="14"/>
  <c r="P11" i="14"/>
  <c r="K12" i="14"/>
  <c r="Y12" i="14" s="1"/>
  <c r="L12" i="14"/>
  <c r="M12" i="14"/>
  <c r="N12" i="14"/>
  <c r="O12" i="14"/>
  <c r="P12" i="14"/>
  <c r="K13" i="14"/>
  <c r="Y13" i="14" s="1"/>
  <c r="L13" i="14"/>
  <c r="M13" i="14"/>
  <c r="N13" i="14"/>
  <c r="O13" i="14"/>
  <c r="P13" i="14"/>
  <c r="K14" i="14"/>
  <c r="Y14" i="14" s="1"/>
  <c r="L14" i="14"/>
  <c r="M14" i="14"/>
  <c r="N14" i="14"/>
  <c r="O14" i="14"/>
  <c r="P14" i="14"/>
  <c r="K15" i="14"/>
  <c r="Y15" i="14" s="1"/>
  <c r="L15" i="14"/>
  <c r="M15" i="14"/>
  <c r="N15" i="14"/>
  <c r="O15" i="14"/>
  <c r="P15" i="14"/>
  <c r="K16" i="14"/>
  <c r="Y16" i="14" s="1"/>
  <c r="L16" i="14"/>
  <c r="M16" i="14"/>
  <c r="N16" i="14"/>
  <c r="O16" i="14"/>
  <c r="P16" i="14"/>
  <c r="L7" i="14"/>
  <c r="M7" i="14"/>
  <c r="N7" i="14"/>
  <c r="O7" i="14"/>
  <c r="P7" i="14"/>
  <c r="K7" i="14"/>
  <c r="J17" i="14"/>
  <c r="AK10" i="14"/>
  <c r="AL10" i="14" s="1"/>
  <c r="AM10" i="14" s="1"/>
  <c r="AN10" i="14" s="1"/>
  <c r="AO10" i="14" s="1"/>
  <c r="AP10" i="14" s="1"/>
  <c r="AQ10" i="14" s="1"/>
  <c r="AR10" i="14" s="1"/>
  <c r="AS10" i="14" s="1"/>
  <c r="AT10" i="14" s="1"/>
  <c r="AU10" i="14" s="1"/>
  <c r="AV10" i="14" s="1"/>
  <c r="AK14" i="14"/>
  <c r="AL14" i="14" s="1"/>
  <c r="AM14" i="14" s="1"/>
  <c r="AN14" i="14" s="1"/>
  <c r="AO14" i="14" s="1"/>
  <c r="AP14" i="14" s="1"/>
  <c r="AQ14" i="14" s="1"/>
  <c r="AR14" i="14" s="1"/>
  <c r="AS14" i="14" s="1"/>
  <c r="AT14" i="14" s="1"/>
  <c r="AU14" i="14" s="1"/>
  <c r="AV14" i="14" s="1"/>
  <c r="BI12" i="14"/>
  <c r="BJ12" i="14" s="1"/>
  <c r="BL12" i="14"/>
  <c r="BM12" i="14" s="1"/>
  <c r="BO12" i="14"/>
  <c r="BQ12" i="14" s="1"/>
  <c r="BR12" i="14"/>
  <c r="BT12" i="14" s="1"/>
  <c r="BU12" i="14"/>
  <c r="BW12" i="14" s="1"/>
  <c r="BX12" i="14"/>
  <c r="BZ12" i="14" s="1"/>
  <c r="BI13" i="14"/>
  <c r="BL13" i="14"/>
  <c r="BO13" i="14"/>
  <c r="BQ13" i="14" s="1"/>
  <c r="BR13" i="14"/>
  <c r="BT13" i="14" s="1"/>
  <c r="BU13" i="14"/>
  <c r="BX13" i="14"/>
  <c r="BI14" i="14"/>
  <c r="BL14" i="14"/>
  <c r="BM14" i="14" s="1"/>
  <c r="BO14" i="14"/>
  <c r="BQ14" i="14" s="1"/>
  <c r="BR14" i="14"/>
  <c r="BT14" i="14" s="1"/>
  <c r="BU14" i="14"/>
  <c r="BW14" i="14" s="1"/>
  <c r="BX14" i="14"/>
  <c r="BZ14" i="14" s="1"/>
  <c r="BI15" i="14"/>
  <c r="BL15" i="14"/>
  <c r="BM15" i="14" s="1"/>
  <c r="BO15" i="14"/>
  <c r="BR15" i="14"/>
  <c r="BU15" i="14"/>
  <c r="BW15" i="14" s="1"/>
  <c r="BX15" i="14"/>
  <c r="BZ15" i="14" s="1"/>
  <c r="BI16" i="14"/>
  <c r="BL16" i="14"/>
  <c r="BM16" i="14" s="1"/>
  <c r="BO16" i="14"/>
  <c r="BQ16" i="14" s="1"/>
  <c r="BR16" i="14"/>
  <c r="BT16" i="14" s="1"/>
  <c r="BU16" i="14"/>
  <c r="BV16" i="14" s="1"/>
  <c r="BX16" i="14"/>
  <c r="BZ16" i="14" s="1"/>
  <c r="BX11" i="14"/>
  <c r="BU11" i="14"/>
  <c r="BW11" i="14" s="1"/>
  <c r="BR11" i="14"/>
  <c r="BT11" i="14" s="1"/>
  <c r="BO11" i="14"/>
  <c r="BL11" i="14"/>
  <c r="BI11" i="14"/>
  <c r="BX10" i="14"/>
  <c r="BZ10" i="14" s="1"/>
  <c r="BU10" i="14"/>
  <c r="BV10" i="14" s="1"/>
  <c r="BR10" i="14"/>
  <c r="BT10" i="14" s="1"/>
  <c r="BO10" i="14"/>
  <c r="BQ10" i="14" s="1"/>
  <c r="BL10" i="14"/>
  <c r="BN10" i="14" s="1"/>
  <c r="BI10" i="14"/>
  <c r="BJ10" i="14" s="1"/>
  <c r="BX9" i="14"/>
  <c r="BZ9" i="14" s="1"/>
  <c r="BU9" i="14"/>
  <c r="BR9" i="14"/>
  <c r="BO9" i="14"/>
  <c r="BQ9" i="14" s="1"/>
  <c r="BL9" i="14"/>
  <c r="BM9" i="14" s="1"/>
  <c r="BI9" i="14"/>
  <c r="BJ9" i="14" s="1"/>
  <c r="BU8" i="14"/>
  <c r="BW8" i="14" s="1"/>
  <c r="BR8" i="14"/>
  <c r="BS8" i="14" s="1"/>
  <c r="BI8" i="14"/>
  <c r="BR7" i="14"/>
  <c r="BO7" i="14"/>
  <c r="BL7" i="14"/>
  <c r="H32" i="13"/>
  <c r="BB31" i="13"/>
  <c r="BA31" i="13"/>
  <c r="AZ31" i="13"/>
  <c r="AY31" i="13"/>
  <c r="AX31" i="13"/>
  <c r="AW31" i="13"/>
  <c r="AJ31" i="13"/>
  <c r="J31" i="13"/>
  <c r="V31" i="13" s="1"/>
  <c r="I31" i="13"/>
  <c r="BB30" i="13"/>
  <c r="BA30" i="13"/>
  <c r="AZ30" i="13"/>
  <c r="AY30" i="13"/>
  <c r="AX30" i="13"/>
  <c r="AW30" i="13"/>
  <c r="AJ30" i="13"/>
  <c r="J30" i="13"/>
  <c r="I30" i="13"/>
  <c r="BB29" i="13"/>
  <c r="BA29" i="13"/>
  <c r="AZ29" i="13"/>
  <c r="AY29" i="13"/>
  <c r="AX29" i="13"/>
  <c r="AW29" i="13"/>
  <c r="AJ29" i="13"/>
  <c r="J29" i="13"/>
  <c r="I29" i="13"/>
  <c r="BB28" i="13"/>
  <c r="BA28" i="13"/>
  <c r="AZ28" i="13"/>
  <c r="AY28" i="13"/>
  <c r="AX28" i="13"/>
  <c r="AW28" i="13"/>
  <c r="AJ28" i="13"/>
  <c r="J28" i="13"/>
  <c r="Q28" i="13" s="1"/>
  <c r="I28" i="13"/>
  <c r="BB27" i="13"/>
  <c r="BA27" i="13"/>
  <c r="AZ27" i="13"/>
  <c r="AY27" i="13"/>
  <c r="AX27" i="13"/>
  <c r="AW27" i="13"/>
  <c r="AJ27" i="13"/>
  <c r="J27" i="13"/>
  <c r="U27" i="13" s="1"/>
  <c r="I27" i="13"/>
  <c r="BB26" i="13"/>
  <c r="BA26" i="13"/>
  <c r="AZ26" i="13"/>
  <c r="AY26" i="13"/>
  <c r="AX26" i="13"/>
  <c r="AW26" i="13"/>
  <c r="AJ26" i="13"/>
  <c r="J26" i="13"/>
  <c r="I26" i="13"/>
  <c r="BB25" i="13"/>
  <c r="BA25" i="13"/>
  <c r="AZ25" i="13"/>
  <c r="AY25" i="13"/>
  <c r="AX25" i="13"/>
  <c r="AW25" i="13"/>
  <c r="AJ25" i="13"/>
  <c r="J25" i="13"/>
  <c r="R25" i="13" s="1"/>
  <c r="I25" i="13"/>
  <c r="BB24" i="13"/>
  <c r="BA24" i="13"/>
  <c r="AZ24" i="13"/>
  <c r="AY24" i="13"/>
  <c r="AX24" i="13"/>
  <c r="AW24" i="13"/>
  <c r="AJ24" i="13"/>
  <c r="J24" i="13"/>
  <c r="M24" i="13" s="1"/>
  <c r="I24" i="13"/>
  <c r="BB23" i="13"/>
  <c r="BA23" i="13"/>
  <c r="AZ23" i="13"/>
  <c r="AY23" i="13"/>
  <c r="AX23" i="13"/>
  <c r="AW23" i="13"/>
  <c r="AJ23" i="13"/>
  <c r="J23" i="13"/>
  <c r="V23" i="13" s="1"/>
  <c r="I23" i="13"/>
  <c r="BB22" i="13"/>
  <c r="BA22" i="13"/>
  <c r="AZ22" i="13"/>
  <c r="AY22" i="13"/>
  <c r="AX22" i="13"/>
  <c r="AW22" i="13"/>
  <c r="AJ22" i="13"/>
  <c r="J22" i="13"/>
  <c r="I22" i="13"/>
  <c r="BB21" i="13"/>
  <c r="BA21" i="13"/>
  <c r="AZ21" i="13"/>
  <c r="AY21" i="13"/>
  <c r="AX21" i="13"/>
  <c r="AW21" i="13"/>
  <c r="AJ21" i="13"/>
  <c r="J21" i="13"/>
  <c r="I21" i="13"/>
  <c r="BB20" i="13"/>
  <c r="BA20" i="13"/>
  <c r="AZ20" i="13"/>
  <c r="AY20" i="13"/>
  <c r="AX20" i="13"/>
  <c r="AW20" i="13"/>
  <c r="AJ20" i="13"/>
  <c r="J20" i="13"/>
  <c r="M20" i="13" s="1"/>
  <c r="I20" i="13"/>
  <c r="BB19" i="13"/>
  <c r="BA19" i="13"/>
  <c r="AZ19" i="13"/>
  <c r="AY19" i="13"/>
  <c r="AX19" i="13"/>
  <c r="AW19" i="13"/>
  <c r="AJ19" i="13"/>
  <c r="J19" i="13"/>
  <c r="L19" i="13" s="1"/>
  <c r="I19" i="13"/>
  <c r="BB18" i="13"/>
  <c r="BA18" i="13"/>
  <c r="AZ18" i="13"/>
  <c r="AY18" i="13"/>
  <c r="AX18" i="13"/>
  <c r="AW18" i="13"/>
  <c r="AJ18" i="13"/>
  <c r="J18" i="13"/>
  <c r="I18" i="13"/>
  <c r="BB17" i="13"/>
  <c r="BA17" i="13"/>
  <c r="AZ17" i="13"/>
  <c r="AY17" i="13"/>
  <c r="AX17" i="13"/>
  <c r="AW17" i="13"/>
  <c r="AJ17" i="13"/>
  <c r="J17" i="13"/>
  <c r="V17" i="13" s="1"/>
  <c r="I17" i="13"/>
  <c r="BB16" i="13"/>
  <c r="BA16" i="13"/>
  <c r="AZ16" i="13"/>
  <c r="AY16" i="13"/>
  <c r="AX16" i="13"/>
  <c r="AW16" i="13"/>
  <c r="AJ16" i="13"/>
  <c r="J16" i="13"/>
  <c r="T16" i="13" s="1"/>
  <c r="I16" i="13"/>
  <c r="BB15" i="13"/>
  <c r="BA15" i="13"/>
  <c r="AZ15" i="13"/>
  <c r="AY15" i="13"/>
  <c r="AX15" i="13"/>
  <c r="AW15" i="13"/>
  <c r="AJ15" i="13"/>
  <c r="J15" i="13"/>
  <c r="T15" i="13" s="1"/>
  <c r="I15" i="13"/>
  <c r="BB14" i="13"/>
  <c r="BA14" i="13"/>
  <c r="AZ14" i="13"/>
  <c r="AY14" i="13"/>
  <c r="AX14" i="13"/>
  <c r="AW14" i="13"/>
  <c r="AJ14" i="13"/>
  <c r="J14" i="13"/>
  <c r="I14" i="13"/>
  <c r="BB13" i="13"/>
  <c r="BA13" i="13"/>
  <c r="AZ13" i="13"/>
  <c r="AY13" i="13"/>
  <c r="AX13" i="13"/>
  <c r="AW13" i="13"/>
  <c r="AJ13" i="13"/>
  <c r="J13" i="13"/>
  <c r="R13" i="13" s="1"/>
  <c r="I13" i="13"/>
  <c r="BB12" i="13"/>
  <c r="BA12" i="13"/>
  <c r="AZ12" i="13"/>
  <c r="AY12" i="13"/>
  <c r="AX12" i="13"/>
  <c r="AW12" i="13"/>
  <c r="AJ12" i="13"/>
  <c r="J12" i="13"/>
  <c r="W12" i="13" s="1"/>
  <c r="I12" i="13"/>
  <c r="BB11" i="13"/>
  <c r="BA11" i="13"/>
  <c r="AZ11" i="13"/>
  <c r="AY11" i="13"/>
  <c r="AX11" i="13"/>
  <c r="AW11" i="13"/>
  <c r="J11" i="13"/>
  <c r="I11" i="13"/>
  <c r="AJ11" i="13"/>
  <c r="BB10" i="13"/>
  <c r="BA10" i="13"/>
  <c r="AZ10" i="13"/>
  <c r="AY10" i="13"/>
  <c r="AX10" i="13"/>
  <c r="AW10" i="13"/>
  <c r="J10" i="13"/>
  <c r="U10" i="13" s="1"/>
  <c r="I10" i="13"/>
  <c r="AJ10" i="13"/>
  <c r="BB9" i="13"/>
  <c r="BA9" i="13"/>
  <c r="AZ9" i="13"/>
  <c r="AY9" i="13"/>
  <c r="AX9" i="13"/>
  <c r="AW9" i="13"/>
  <c r="AJ9" i="13"/>
  <c r="I9" i="13"/>
  <c r="BB8" i="13"/>
  <c r="BA8" i="13"/>
  <c r="AZ8" i="13"/>
  <c r="AY8" i="13"/>
  <c r="AX8" i="13"/>
  <c r="AW8" i="13"/>
  <c r="AJ8" i="13"/>
  <c r="I8" i="13"/>
  <c r="J8" i="13" s="1"/>
  <c r="BB7" i="13"/>
  <c r="BA7" i="13"/>
  <c r="AZ7" i="13"/>
  <c r="AY7" i="13"/>
  <c r="AX7" i="13"/>
  <c r="AW7" i="13"/>
  <c r="I7" i="13"/>
  <c r="J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AI7" i="13" s="1"/>
  <c r="AJ7" i="13"/>
  <c r="AT7" i="13" s="1"/>
  <c r="X6" i="8" l="1"/>
  <c r="V14" i="8"/>
  <c r="X10" i="8"/>
  <c r="V18" i="8"/>
  <c r="AW15" i="14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O20" i="13"/>
  <c r="R23" i="13"/>
  <c r="AK16" i="14"/>
  <c r="AL16" i="14" s="1"/>
  <c r="AM16" i="14" s="1"/>
  <c r="AN16" i="14" s="1"/>
  <c r="AO16" i="14" s="1"/>
  <c r="AP16" i="14" s="1"/>
  <c r="AQ16" i="14" s="1"/>
  <c r="AR16" i="14" s="1"/>
  <c r="AS16" i="14" s="1"/>
  <c r="AT16" i="14" s="1"/>
  <c r="AU16" i="14" s="1"/>
  <c r="AV16" i="14" s="1"/>
  <c r="AF7" i="14"/>
  <c r="AK7" i="14"/>
  <c r="AL7" i="14" s="1"/>
  <c r="AM7" i="14" s="1"/>
  <c r="AN7" i="14" s="1"/>
  <c r="AO7" i="14" s="1"/>
  <c r="AP7" i="14" s="1"/>
  <c r="AQ7" i="14" s="1"/>
  <c r="AR7" i="14" s="1"/>
  <c r="AS7" i="14" s="1"/>
  <c r="AT7" i="14" s="1"/>
  <c r="AU7" i="14" s="1"/>
  <c r="AV7" i="14" s="1"/>
  <c r="AA15" i="14"/>
  <c r="S26" i="9"/>
  <c r="T26" i="9" s="1"/>
  <c r="BK8" i="14"/>
  <c r="N17" i="13"/>
  <c r="P19" i="13"/>
  <c r="R27" i="13"/>
  <c r="R8" i="13"/>
  <c r="X8" i="13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P15" i="13"/>
  <c r="T20" i="13"/>
  <c r="L20" i="13"/>
  <c r="W20" i="13"/>
  <c r="M23" i="13"/>
  <c r="O24" i="13"/>
  <c r="P28" i="13"/>
  <c r="AS8" i="13"/>
  <c r="AQ8" i="13"/>
  <c r="AO8" i="13"/>
  <c r="AM8" i="13"/>
  <c r="N23" i="13"/>
  <c r="T24" i="13"/>
  <c r="L27" i="13"/>
  <c r="AE11" i="14"/>
  <c r="BJ15" i="14"/>
  <c r="BJ13" i="14"/>
  <c r="AW13" i="14"/>
  <c r="AX13" i="14" s="1"/>
  <c r="AY13" i="14" s="1"/>
  <c r="AZ13" i="14" s="1"/>
  <c r="BA13" i="14" s="1"/>
  <c r="BB13" i="14" s="1"/>
  <c r="BC13" i="14" s="1"/>
  <c r="BD13" i="14" s="1"/>
  <c r="BE13" i="14" s="1"/>
  <c r="BF13" i="14" s="1"/>
  <c r="BG13" i="14" s="1"/>
  <c r="BH13" i="14" s="1"/>
  <c r="BM10" i="14"/>
  <c r="AM9" i="13"/>
  <c r="AQ9" i="13"/>
  <c r="AS9" i="13"/>
  <c r="AO9" i="13"/>
  <c r="J9" i="13"/>
  <c r="V9" i="13" s="1"/>
  <c r="AK9" i="13"/>
  <c r="AT9" i="13"/>
  <c r="AU9" i="13" s="1"/>
  <c r="AT8" i="13"/>
  <c r="AU8" i="13" s="1"/>
  <c r="AK8" i="13"/>
  <c r="AO7" i="13"/>
  <c r="AQ7" i="13"/>
  <c r="AS7" i="13"/>
  <c r="AM7" i="13"/>
  <c r="AU7" i="13"/>
  <c r="AK7" i="13"/>
  <c r="AJ13" i="14"/>
  <c r="AF10" i="14"/>
  <c r="BP10" i="14"/>
  <c r="AW12" i="14"/>
  <c r="AX12" i="14" s="1"/>
  <c r="AY12" i="14" s="1"/>
  <c r="AZ12" i="14" s="1"/>
  <c r="BA12" i="14" s="1"/>
  <c r="BB12" i="14" s="1"/>
  <c r="BC12" i="14" s="1"/>
  <c r="BD12" i="14" s="1"/>
  <c r="BE12" i="14" s="1"/>
  <c r="BF12" i="14" s="1"/>
  <c r="BG12" i="14" s="1"/>
  <c r="BH12" i="14" s="1"/>
  <c r="BK14" i="14"/>
  <c r="AJ16" i="14"/>
  <c r="AB13" i="14"/>
  <c r="AI15" i="14"/>
  <c r="AB12" i="14"/>
  <c r="V17" i="8"/>
  <c r="X9" i="8"/>
  <c r="Z9" i="8" s="1"/>
  <c r="X8" i="8"/>
  <c r="X16" i="8" s="1"/>
  <c r="V16" i="8"/>
  <c r="BS16" i="14"/>
  <c r="BN14" i="14"/>
  <c r="BY14" i="14"/>
  <c r="BN7" i="14"/>
  <c r="BI7" i="14"/>
  <c r="BU7" i="14" s="1"/>
  <c r="BW7" i="14" s="1"/>
  <c r="T10" i="13"/>
  <c r="BT8" i="14"/>
  <c r="X19" i="8"/>
  <c r="Z11" i="8"/>
  <c r="X18" i="8"/>
  <c r="Z10" i="8"/>
  <c r="X14" i="8"/>
  <c r="Z6" i="8"/>
  <c r="X15" i="8"/>
  <c r="Z7" i="8"/>
  <c r="Y7" i="8" s="1"/>
  <c r="AW9" i="14"/>
  <c r="AX9" i="14" s="1"/>
  <c r="AY9" i="14" s="1"/>
  <c r="AZ9" i="14" s="1"/>
  <c r="BA9" i="14" s="1"/>
  <c r="BB9" i="14" s="1"/>
  <c r="BC9" i="14" s="1"/>
  <c r="BD9" i="14" s="1"/>
  <c r="BE9" i="14" s="1"/>
  <c r="BF9" i="14" s="1"/>
  <c r="BG9" i="14" s="1"/>
  <c r="BH9" i="14" s="1"/>
  <c r="AK9" i="14"/>
  <c r="AL9" i="14" s="1"/>
  <c r="AM9" i="14" s="1"/>
  <c r="AN9" i="14" s="1"/>
  <c r="AO9" i="14" s="1"/>
  <c r="AP9" i="14" s="1"/>
  <c r="AQ9" i="14" s="1"/>
  <c r="AR9" i="14" s="1"/>
  <c r="AS9" i="14" s="1"/>
  <c r="AT9" i="14" s="1"/>
  <c r="AU9" i="14" s="1"/>
  <c r="AV9" i="14" s="1"/>
  <c r="AF9" i="14"/>
  <c r="BV8" i="14"/>
  <c r="O17" i="14"/>
  <c r="M10" i="13"/>
  <c r="M13" i="13"/>
  <c r="W13" i="13"/>
  <c r="P17" i="14"/>
  <c r="AJ8" i="14"/>
  <c r="AJ7" i="14"/>
  <c r="AB7" i="14"/>
  <c r="AC7" i="14"/>
  <c r="AG7" i="14"/>
  <c r="Y7" i="14"/>
  <c r="Y17" i="14" s="1"/>
  <c r="S7" i="13"/>
  <c r="L7" i="13"/>
  <c r="W7" i="13"/>
  <c r="O8" i="13"/>
  <c r="P10" i="13"/>
  <c r="L12" i="13"/>
  <c r="U15" i="13"/>
  <c r="L16" i="13"/>
  <c r="Q19" i="13"/>
  <c r="S20" i="13"/>
  <c r="T23" i="13"/>
  <c r="M27" i="13"/>
  <c r="T27" i="13"/>
  <c r="M31" i="13"/>
  <c r="M7" i="13"/>
  <c r="R12" i="13"/>
  <c r="O16" i="13"/>
  <c r="V19" i="13"/>
  <c r="N27" i="13"/>
  <c r="V27" i="13"/>
  <c r="R31" i="13"/>
  <c r="W16" i="13"/>
  <c r="Q7" i="13"/>
  <c r="M15" i="13"/>
  <c r="P16" i="13"/>
  <c r="Q27" i="13"/>
  <c r="S18" i="13"/>
  <c r="M18" i="13"/>
  <c r="R18" i="13"/>
  <c r="L18" i="13"/>
  <c r="W18" i="13"/>
  <c r="AZ34" i="13"/>
  <c r="R8" i="12" s="1"/>
  <c r="Q14" i="11" s="1"/>
  <c r="N10" i="13"/>
  <c r="L14" i="13"/>
  <c r="V14" i="13"/>
  <c r="N18" i="13"/>
  <c r="W29" i="13"/>
  <c r="O29" i="13"/>
  <c r="T29" i="13"/>
  <c r="N29" i="13"/>
  <c r="S29" i="13"/>
  <c r="L29" i="13"/>
  <c r="P14" i="13"/>
  <c r="Q18" i="13"/>
  <c r="U26" i="13"/>
  <c r="M26" i="13"/>
  <c r="R29" i="13"/>
  <c r="W30" i="13"/>
  <c r="O30" i="13"/>
  <c r="U30" i="13"/>
  <c r="N30" i="13"/>
  <c r="S30" i="13"/>
  <c r="M30" i="13"/>
  <c r="T14" i="13"/>
  <c r="N14" i="13"/>
  <c r="R14" i="13"/>
  <c r="M14" i="13"/>
  <c r="U14" i="13"/>
  <c r="T8" i="13"/>
  <c r="N8" i="13"/>
  <c r="S8" i="13"/>
  <c r="L8" i="13"/>
  <c r="W8" i="13"/>
  <c r="V10" i="13"/>
  <c r="Q10" i="13"/>
  <c r="L10" i="13"/>
  <c r="R10" i="13"/>
  <c r="Q14" i="13"/>
  <c r="V18" i="13"/>
  <c r="T19" i="13"/>
  <c r="N19" i="13"/>
  <c r="R19" i="13"/>
  <c r="M19" i="13"/>
  <c r="U19" i="13"/>
  <c r="R30" i="13"/>
  <c r="N31" i="13"/>
  <c r="T31" i="13"/>
  <c r="P23" i="13"/>
  <c r="U23" i="13"/>
  <c r="U24" i="13"/>
  <c r="P31" i="13"/>
  <c r="U31" i="13"/>
  <c r="Q15" i="13"/>
  <c r="L15" i="13"/>
  <c r="Q20" i="13"/>
  <c r="L23" i="13"/>
  <c r="Q23" i="13"/>
  <c r="P27" i="13"/>
  <c r="L31" i="13"/>
  <c r="Q31" i="13"/>
  <c r="AF16" i="14"/>
  <c r="AF15" i="14"/>
  <c r="AJ14" i="14"/>
  <c r="AI13" i="14"/>
  <c r="AA13" i="14"/>
  <c r="AJ11" i="14"/>
  <c r="AB11" i="14"/>
  <c r="AB10" i="14"/>
  <c r="AE9" i="14"/>
  <c r="AF8" i="14"/>
  <c r="BW10" i="14"/>
  <c r="BW16" i="14"/>
  <c r="L17" i="14"/>
  <c r="BV12" i="14"/>
  <c r="N17" i="14"/>
  <c r="AW16" i="14"/>
  <c r="AX16" i="14" s="1"/>
  <c r="AY16" i="14" s="1"/>
  <c r="AZ16" i="14" s="1"/>
  <c r="BA16" i="14" s="1"/>
  <c r="BB16" i="14" s="1"/>
  <c r="BC16" i="14" s="1"/>
  <c r="BD16" i="14" s="1"/>
  <c r="BE16" i="14" s="1"/>
  <c r="BF16" i="14" s="1"/>
  <c r="BG16" i="14" s="1"/>
  <c r="BH16" i="14" s="1"/>
  <c r="AW10" i="14"/>
  <c r="AX10" i="14" s="1"/>
  <c r="AY10" i="14" s="1"/>
  <c r="AZ10" i="14" s="1"/>
  <c r="BA10" i="14" s="1"/>
  <c r="BB10" i="14" s="1"/>
  <c r="BC10" i="14" s="1"/>
  <c r="BD10" i="14" s="1"/>
  <c r="BE10" i="14" s="1"/>
  <c r="BF10" i="14" s="1"/>
  <c r="BG10" i="14" s="1"/>
  <c r="BH10" i="14" s="1"/>
  <c r="AK13" i="14"/>
  <c r="AL13" i="14" s="1"/>
  <c r="AM13" i="14" s="1"/>
  <c r="AN13" i="14" s="1"/>
  <c r="AO13" i="14" s="1"/>
  <c r="AP13" i="14" s="1"/>
  <c r="AQ13" i="14" s="1"/>
  <c r="AR13" i="14" s="1"/>
  <c r="AS13" i="14" s="1"/>
  <c r="AT13" i="14" s="1"/>
  <c r="AU13" i="14" s="1"/>
  <c r="AV13" i="14" s="1"/>
  <c r="BJ16" i="14"/>
  <c r="BN12" i="14"/>
  <c r="BP14" i="14"/>
  <c r="BS12" i="14"/>
  <c r="BY10" i="14"/>
  <c r="M17" i="14"/>
  <c r="AB16" i="14"/>
  <c r="AE15" i="14"/>
  <c r="AF14" i="14"/>
  <c r="AF13" i="14"/>
  <c r="AJ12" i="14"/>
  <c r="AI11" i="14"/>
  <c r="AA11" i="14"/>
  <c r="AJ9" i="14"/>
  <c r="AB9" i="14"/>
  <c r="AB8" i="14"/>
  <c r="BN16" i="14"/>
  <c r="AJ15" i="14"/>
  <c r="AB15" i="14"/>
  <c r="AB14" i="14"/>
  <c r="AE13" i="14"/>
  <c r="AF12" i="14"/>
  <c r="AF11" i="14"/>
  <c r="AJ10" i="14"/>
  <c r="AI9" i="14"/>
  <c r="AA9" i="14"/>
  <c r="BK13" i="14"/>
  <c r="BS14" i="14"/>
  <c r="BV14" i="14"/>
  <c r="BT9" i="14"/>
  <c r="BS9" i="14"/>
  <c r="BM11" i="14"/>
  <c r="BN11" i="14"/>
  <c r="BZ11" i="14"/>
  <c r="BY11" i="14"/>
  <c r="BT15" i="14"/>
  <c r="BS15" i="14"/>
  <c r="BZ13" i="14"/>
  <c r="BY13" i="14"/>
  <c r="BM13" i="14"/>
  <c r="BN13" i="14"/>
  <c r="BK9" i="14"/>
  <c r="BP12" i="14"/>
  <c r="BP16" i="14"/>
  <c r="BS10" i="14"/>
  <c r="BY16" i="14"/>
  <c r="BQ7" i="14"/>
  <c r="BP7" i="14"/>
  <c r="BO8" i="14"/>
  <c r="BL8" i="14"/>
  <c r="BW9" i="14"/>
  <c r="BV9" i="14"/>
  <c r="BQ11" i="14"/>
  <c r="BP11" i="14"/>
  <c r="BQ15" i="14"/>
  <c r="BP15" i="14"/>
  <c r="BW13" i="14"/>
  <c r="BV13" i="14"/>
  <c r="BT7" i="14"/>
  <c r="BS7" i="14"/>
  <c r="BY12" i="14"/>
  <c r="AI14" i="14"/>
  <c r="AE14" i="14"/>
  <c r="AA14" i="14"/>
  <c r="AI10" i="14"/>
  <c r="AE10" i="14"/>
  <c r="AA10" i="14"/>
  <c r="AI8" i="14"/>
  <c r="AE8" i="14"/>
  <c r="AA8" i="14"/>
  <c r="AK8" i="14"/>
  <c r="AL8" i="14" s="1"/>
  <c r="AM8" i="14" s="1"/>
  <c r="AN8" i="14" s="1"/>
  <c r="AO8" i="14" s="1"/>
  <c r="AP8" i="14" s="1"/>
  <c r="AQ8" i="14" s="1"/>
  <c r="AR8" i="14" s="1"/>
  <c r="AS8" i="14" s="1"/>
  <c r="AT8" i="14" s="1"/>
  <c r="AU8" i="14" s="1"/>
  <c r="AV8" i="14" s="1"/>
  <c r="BK12" i="14"/>
  <c r="BJ14" i="14"/>
  <c r="BM7" i="14"/>
  <c r="BN15" i="14"/>
  <c r="BN9" i="14"/>
  <c r="BP9" i="14"/>
  <c r="BP13" i="14"/>
  <c r="BS11" i="14"/>
  <c r="BS13" i="14"/>
  <c r="BV11" i="14"/>
  <c r="BV15" i="14"/>
  <c r="BY9" i="14"/>
  <c r="BY15" i="14"/>
  <c r="K17" i="14"/>
  <c r="AI7" i="14"/>
  <c r="AE7" i="14"/>
  <c r="AA7" i="14"/>
  <c r="AH16" i="14"/>
  <c r="AD16" i="14"/>
  <c r="Z16" i="14"/>
  <c r="AH15" i="14"/>
  <c r="AD15" i="14"/>
  <c r="Z15" i="14"/>
  <c r="AH14" i="14"/>
  <c r="AD14" i="14"/>
  <c r="Z14" i="14"/>
  <c r="AH13" i="14"/>
  <c r="AD13" i="14"/>
  <c r="Z13" i="14"/>
  <c r="AH12" i="14"/>
  <c r="AD12" i="14"/>
  <c r="Z12" i="14"/>
  <c r="AH11" i="14"/>
  <c r="AD11" i="14"/>
  <c r="Z11" i="14"/>
  <c r="AH10" i="14"/>
  <c r="AD10" i="14"/>
  <c r="Z10" i="14"/>
  <c r="AH9" i="14"/>
  <c r="AD9" i="14"/>
  <c r="Z9" i="14"/>
  <c r="AH8" i="14"/>
  <c r="AD8" i="14"/>
  <c r="Z8" i="14"/>
  <c r="AI16" i="14"/>
  <c r="AE16" i="14"/>
  <c r="AA16" i="14"/>
  <c r="AI12" i="14"/>
  <c r="AE12" i="14"/>
  <c r="AA12" i="14"/>
  <c r="AW14" i="14"/>
  <c r="AX14" i="14" s="1"/>
  <c r="AY14" i="14" s="1"/>
  <c r="AZ14" i="14" s="1"/>
  <c r="BA14" i="14" s="1"/>
  <c r="BB14" i="14" s="1"/>
  <c r="BC14" i="14" s="1"/>
  <c r="BD14" i="14" s="1"/>
  <c r="BE14" i="14" s="1"/>
  <c r="BF14" i="14" s="1"/>
  <c r="BG14" i="14" s="1"/>
  <c r="BH14" i="14" s="1"/>
  <c r="AW8" i="14"/>
  <c r="AX8" i="14" s="1"/>
  <c r="AY8" i="14" s="1"/>
  <c r="AZ8" i="14" s="1"/>
  <c r="BA8" i="14" s="1"/>
  <c r="BB8" i="14" s="1"/>
  <c r="BC8" i="14" s="1"/>
  <c r="BD8" i="14" s="1"/>
  <c r="BE8" i="14" s="1"/>
  <c r="BF8" i="14" s="1"/>
  <c r="BG8" i="14" s="1"/>
  <c r="BH8" i="14" s="1"/>
  <c r="AK12" i="14"/>
  <c r="AL12" i="14" s="1"/>
  <c r="AM12" i="14" s="1"/>
  <c r="AN12" i="14" s="1"/>
  <c r="AO12" i="14" s="1"/>
  <c r="AP12" i="14" s="1"/>
  <c r="AQ12" i="14" s="1"/>
  <c r="AR12" i="14" s="1"/>
  <c r="AS12" i="14" s="1"/>
  <c r="AT12" i="14" s="1"/>
  <c r="AU12" i="14" s="1"/>
  <c r="AV12" i="14" s="1"/>
  <c r="BK16" i="14"/>
  <c r="BK10" i="14"/>
  <c r="AH7" i="14"/>
  <c r="AD7" i="14"/>
  <c r="Z7" i="14"/>
  <c r="AG16" i="14"/>
  <c r="AC16" i="14"/>
  <c r="AG15" i="14"/>
  <c r="AC15" i="14"/>
  <c r="AG14" i="14"/>
  <c r="AC14" i="14"/>
  <c r="AG13" i="14"/>
  <c r="AC13" i="14"/>
  <c r="AG12" i="14"/>
  <c r="AC12" i="14"/>
  <c r="AG11" i="14"/>
  <c r="AC11" i="14"/>
  <c r="AG10" i="14"/>
  <c r="AC10" i="14"/>
  <c r="AG9" i="14"/>
  <c r="AC9" i="14"/>
  <c r="AG8" i="14"/>
  <c r="AC8" i="14"/>
  <c r="AW11" i="14"/>
  <c r="AX11" i="14" s="1"/>
  <c r="AY11" i="14" s="1"/>
  <c r="AZ11" i="14" s="1"/>
  <c r="BA11" i="14" s="1"/>
  <c r="BB11" i="14" s="1"/>
  <c r="BC11" i="14" s="1"/>
  <c r="BD11" i="14" s="1"/>
  <c r="BE11" i="14" s="1"/>
  <c r="BF11" i="14" s="1"/>
  <c r="BG11" i="14" s="1"/>
  <c r="BH11" i="14" s="1"/>
  <c r="AK15" i="14"/>
  <c r="AL15" i="14" s="1"/>
  <c r="AM15" i="14" s="1"/>
  <c r="AN15" i="14" s="1"/>
  <c r="AO15" i="14" s="1"/>
  <c r="AP15" i="14" s="1"/>
  <c r="AQ15" i="14" s="1"/>
  <c r="AR15" i="14" s="1"/>
  <c r="AS15" i="14" s="1"/>
  <c r="AT15" i="14" s="1"/>
  <c r="AU15" i="14" s="1"/>
  <c r="AV15" i="14" s="1"/>
  <c r="AK11" i="14"/>
  <c r="AL11" i="14" s="1"/>
  <c r="AM11" i="14" s="1"/>
  <c r="AN11" i="14" s="1"/>
  <c r="AO11" i="14" s="1"/>
  <c r="AP11" i="14" s="1"/>
  <c r="AQ11" i="14" s="1"/>
  <c r="AR11" i="14" s="1"/>
  <c r="AS11" i="14" s="1"/>
  <c r="AT11" i="14" s="1"/>
  <c r="AU11" i="14" s="1"/>
  <c r="AV11" i="14" s="1"/>
  <c r="BK15" i="14"/>
  <c r="BK11" i="14"/>
  <c r="BJ11" i="14"/>
  <c r="AW7" i="14"/>
  <c r="AX7" i="14" s="1"/>
  <c r="AY7" i="14" s="1"/>
  <c r="AZ7" i="14" s="1"/>
  <c r="BA7" i="14" s="1"/>
  <c r="BB7" i="14" s="1"/>
  <c r="BC7" i="14" s="1"/>
  <c r="BD7" i="14" s="1"/>
  <c r="BE7" i="14" s="1"/>
  <c r="BF7" i="14" s="1"/>
  <c r="BG7" i="14" s="1"/>
  <c r="BH7" i="14" s="1"/>
  <c r="BJ8" i="14"/>
  <c r="U21" i="13"/>
  <c r="Q21" i="13"/>
  <c r="M21" i="13"/>
  <c r="T21" i="13"/>
  <c r="O21" i="13"/>
  <c r="S21" i="13"/>
  <c r="N21" i="13"/>
  <c r="W21" i="13"/>
  <c r="R21" i="13"/>
  <c r="L21" i="13"/>
  <c r="T22" i="13"/>
  <c r="P22" i="13"/>
  <c r="V22" i="13"/>
  <c r="Q22" i="13"/>
  <c r="L22" i="13"/>
  <c r="W22" i="13"/>
  <c r="O22" i="13"/>
  <c r="U22" i="13"/>
  <c r="N22" i="13"/>
  <c r="S22" i="13"/>
  <c r="M22" i="13"/>
  <c r="O7" i="13"/>
  <c r="T7" i="13"/>
  <c r="AW34" i="13"/>
  <c r="O8" i="12" s="1"/>
  <c r="BA34" i="13"/>
  <c r="S8" i="12" s="1"/>
  <c r="R14" i="11" s="1"/>
  <c r="U8" i="13"/>
  <c r="Q8" i="13"/>
  <c r="M8" i="13"/>
  <c r="P8" i="13"/>
  <c r="V8" i="13"/>
  <c r="P9" i="13"/>
  <c r="L11" i="13"/>
  <c r="Q11" i="13"/>
  <c r="W11" i="13"/>
  <c r="N12" i="13"/>
  <c r="S12" i="13"/>
  <c r="N13" i="13"/>
  <c r="S13" i="13"/>
  <c r="V16" i="13"/>
  <c r="R16" i="13"/>
  <c r="N16" i="13"/>
  <c r="U16" i="13"/>
  <c r="Q16" i="13"/>
  <c r="M16" i="13"/>
  <c r="S16" i="13"/>
  <c r="O17" i="13"/>
  <c r="W17" i="13"/>
  <c r="P21" i="13"/>
  <c r="R22" i="13"/>
  <c r="V11" i="13"/>
  <c r="R11" i="13"/>
  <c r="N11" i="13"/>
  <c r="P11" i="13"/>
  <c r="U11" i="13"/>
  <c r="V7" i="13"/>
  <c r="R7" i="13"/>
  <c r="N7" i="13"/>
  <c r="P7" i="13"/>
  <c r="U7" i="13"/>
  <c r="AX34" i="13"/>
  <c r="P8" i="12" s="1"/>
  <c r="O14" i="11" s="1"/>
  <c r="BB34" i="13"/>
  <c r="T8" i="12" s="1"/>
  <c r="S14" i="11" s="1"/>
  <c r="M11" i="13"/>
  <c r="S11" i="13"/>
  <c r="O12" i="13"/>
  <c r="T12" i="13"/>
  <c r="O13" i="13"/>
  <c r="U13" i="13"/>
  <c r="R17" i="13"/>
  <c r="V21" i="13"/>
  <c r="O11" i="13"/>
  <c r="T11" i="13"/>
  <c r="U12" i="13"/>
  <c r="Q12" i="13"/>
  <c r="M12" i="13"/>
  <c r="P12" i="13"/>
  <c r="V12" i="13"/>
  <c r="T13" i="13"/>
  <c r="P13" i="13"/>
  <c r="L13" i="13"/>
  <c r="Q13" i="13"/>
  <c r="V13" i="13"/>
  <c r="U17" i="13"/>
  <c r="Q17" i="13"/>
  <c r="M17" i="13"/>
  <c r="T17" i="13"/>
  <c r="P17" i="13"/>
  <c r="L17" i="13"/>
  <c r="S17" i="13"/>
  <c r="U25" i="13"/>
  <c r="Q25" i="13"/>
  <c r="M25" i="13"/>
  <c r="S25" i="13"/>
  <c r="N25" i="13"/>
  <c r="W25" i="13"/>
  <c r="P25" i="13"/>
  <c r="V25" i="13"/>
  <c r="O25" i="13"/>
  <c r="T25" i="13"/>
  <c r="L25" i="13"/>
  <c r="I32" i="13"/>
  <c r="AY34" i="13"/>
  <c r="Q8" i="12" s="1"/>
  <c r="P14" i="11" s="1"/>
  <c r="O10" i="13"/>
  <c r="S10" i="13"/>
  <c r="W10" i="13"/>
  <c r="O14" i="13"/>
  <c r="S14" i="13"/>
  <c r="W14" i="13"/>
  <c r="N15" i="13"/>
  <c r="R15" i="13"/>
  <c r="V15" i="13"/>
  <c r="T18" i="13"/>
  <c r="P18" i="13"/>
  <c r="O18" i="13"/>
  <c r="U18" i="13"/>
  <c r="V20" i="13"/>
  <c r="R20" i="13"/>
  <c r="N20" i="13"/>
  <c r="P20" i="13"/>
  <c r="U20" i="13"/>
  <c r="P24" i="13"/>
  <c r="O26" i="13"/>
  <c r="V26" i="13"/>
  <c r="V28" i="13"/>
  <c r="R28" i="13"/>
  <c r="N28" i="13"/>
  <c r="T28" i="13"/>
  <c r="O28" i="13"/>
  <c r="S28" i="13"/>
  <c r="M28" i="13"/>
  <c r="U28" i="13"/>
  <c r="O15" i="13"/>
  <c r="S15" i="13"/>
  <c r="W15" i="13"/>
  <c r="V24" i="13"/>
  <c r="R24" i="13"/>
  <c r="N24" i="13"/>
  <c r="W24" i="13"/>
  <c r="Q24" i="13"/>
  <c r="L24" i="13"/>
  <c r="S24" i="13"/>
  <c r="Q26" i="13"/>
  <c r="W26" i="13"/>
  <c r="L28" i="13"/>
  <c r="W28" i="13"/>
  <c r="T26" i="13"/>
  <c r="P26" i="13"/>
  <c r="L26" i="13"/>
  <c r="S26" i="13"/>
  <c r="N26" i="13"/>
  <c r="R26" i="13"/>
  <c r="O19" i="13"/>
  <c r="S19" i="13"/>
  <c r="W19" i="13"/>
  <c r="U29" i="13"/>
  <c r="Q29" i="13"/>
  <c r="M29" i="13"/>
  <c r="P29" i="13"/>
  <c r="V29" i="13"/>
  <c r="T30" i="13"/>
  <c r="P30" i="13"/>
  <c r="L30" i="13"/>
  <c r="Q30" i="13"/>
  <c r="V30" i="13"/>
  <c r="O23" i="13"/>
  <c r="S23" i="13"/>
  <c r="W23" i="13"/>
  <c r="O27" i="13"/>
  <c r="S27" i="13"/>
  <c r="W27" i="13"/>
  <c r="O31" i="13"/>
  <c r="S31" i="13"/>
  <c r="W31" i="13"/>
  <c r="S9" i="13" l="1"/>
  <c r="T9" i="13"/>
  <c r="T32" i="13" s="1"/>
  <c r="K8" i="12" s="1"/>
  <c r="J14" i="11" s="1"/>
  <c r="O9" i="13"/>
  <c r="J32" i="13"/>
  <c r="N9" i="13"/>
  <c r="Q9" i="13"/>
  <c r="Q32" i="13" s="1"/>
  <c r="H8" i="12" s="1"/>
  <c r="G14" i="11" s="1"/>
  <c r="W9" i="13"/>
  <c r="W32" i="13" s="1"/>
  <c r="N8" i="12" s="1"/>
  <c r="M14" i="11" s="1"/>
  <c r="X9" i="13"/>
  <c r="Y9" i="13" s="1"/>
  <c r="U9" i="13"/>
  <c r="L9" i="13"/>
  <c r="L32" i="13" s="1"/>
  <c r="C8" i="12" s="1"/>
  <c r="O25" i="9"/>
  <c r="P25" i="9" s="1"/>
  <c r="Q25" i="9" s="1"/>
  <c r="R25" i="9" s="1"/>
  <c r="S25" i="9" s="1"/>
  <c r="T25" i="9" s="1"/>
  <c r="B7" i="17"/>
  <c r="M9" i="13"/>
  <c r="M32" i="13" s="1"/>
  <c r="D8" i="12" s="1"/>
  <c r="C14" i="11" s="1"/>
  <c r="R9" i="13"/>
  <c r="R32" i="13" s="1"/>
  <c r="I8" i="12" s="1"/>
  <c r="H14" i="11" s="1"/>
  <c r="X17" i="8"/>
  <c r="Z8" i="8"/>
  <c r="BV7" i="14"/>
  <c r="BV17" i="14" s="1"/>
  <c r="BX7" i="14"/>
  <c r="BY7" i="14" s="1"/>
  <c r="BJ7" i="14"/>
  <c r="BJ17" i="14" s="1"/>
  <c r="N20" i="11" s="1"/>
  <c r="BK7" i="14"/>
  <c r="BK17" i="14" s="1"/>
  <c r="AA37" i="8" s="1"/>
  <c r="BX8" i="14"/>
  <c r="BY8" i="14" s="1"/>
  <c r="AB17" i="14"/>
  <c r="E19" i="11" s="1"/>
  <c r="AO32" i="13"/>
  <c r="AO34" i="13"/>
  <c r="Q14" i="12" s="1"/>
  <c r="AE34" i="8" s="1"/>
  <c r="P7" i="11" s="1"/>
  <c r="AM34" i="13"/>
  <c r="P14" i="12" s="1"/>
  <c r="AC34" i="8" s="1"/>
  <c r="O7" i="11" s="1"/>
  <c r="AQ32" i="13"/>
  <c r="O10" i="12"/>
  <c r="P7" i="12" s="1"/>
  <c r="P10" i="12" s="1"/>
  <c r="P13" i="9" s="1"/>
  <c r="N14" i="11"/>
  <c r="S32" i="13"/>
  <c r="J8" i="12" s="1"/>
  <c r="I14" i="11" s="1"/>
  <c r="AJ17" i="14"/>
  <c r="M19" i="11" s="1"/>
  <c r="AI17" i="14"/>
  <c r="L19" i="11" s="1"/>
  <c r="AC17" i="14"/>
  <c r="F19" i="11" s="1"/>
  <c r="AF17" i="14"/>
  <c r="I19" i="11" s="1"/>
  <c r="AG17" i="14"/>
  <c r="J19" i="11" s="1"/>
  <c r="Y19" i="14"/>
  <c r="B19" i="11"/>
  <c r="AH17" i="14"/>
  <c r="K19" i="11" s="1"/>
  <c r="AA17" i="14"/>
  <c r="D19" i="11" s="1"/>
  <c r="BN8" i="14"/>
  <c r="BN17" i="14" s="1"/>
  <c r="AC37" i="8" s="1"/>
  <c r="BM8" i="14"/>
  <c r="BM17" i="14" s="1"/>
  <c r="AD17" i="14"/>
  <c r="G19" i="11" s="1"/>
  <c r="Z17" i="14"/>
  <c r="C19" i="11" s="1"/>
  <c r="AE17" i="14"/>
  <c r="H19" i="11" s="1"/>
  <c r="BQ8" i="14"/>
  <c r="BQ17" i="14" s="1"/>
  <c r="AE37" i="8" s="1"/>
  <c r="BP8" i="14"/>
  <c r="BP17" i="14" s="1"/>
  <c r="AK17" i="14"/>
  <c r="AK19" i="14" s="1"/>
  <c r="AL17" i="14"/>
  <c r="AM17" i="14"/>
  <c r="BS17" i="14"/>
  <c r="AO17" i="14"/>
  <c r="AN17" i="14"/>
  <c r="AP17" i="14"/>
  <c r="AQ17" i="14"/>
  <c r="BW17" i="14"/>
  <c r="AI37" i="8" s="1"/>
  <c r="BT17" i="14"/>
  <c r="AG37" i="8" s="1"/>
  <c r="AW17" i="14"/>
  <c r="C37" i="8" s="1"/>
  <c r="AQ34" i="13"/>
  <c r="R14" i="12" s="1"/>
  <c r="AG34" i="8" s="1"/>
  <c r="Q7" i="11" s="1"/>
  <c r="U32" i="13"/>
  <c r="L8" i="12" s="1"/>
  <c r="K14" i="11" s="1"/>
  <c r="V32" i="13"/>
  <c r="M8" i="12" s="1"/>
  <c r="L14" i="11" s="1"/>
  <c r="O32" i="13"/>
  <c r="F8" i="12" s="1"/>
  <c r="E14" i="11" s="1"/>
  <c r="AM32" i="13"/>
  <c r="AS34" i="13"/>
  <c r="S14" i="12" s="1"/>
  <c r="AI34" i="8" s="1"/>
  <c r="R7" i="11" s="1"/>
  <c r="AS32" i="13"/>
  <c r="P32" i="13"/>
  <c r="G8" i="12" s="1"/>
  <c r="F14" i="11" s="1"/>
  <c r="N32" i="13"/>
  <c r="E8" i="12" s="1"/>
  <c r="D14" i="11" s="1"/>
  <c r="AK34" i="13"/>
  <c r="O14" i="12" s="1"/>
  <c r="O16" i="12" s="1"/>
  <c r="P13" i="12" s="1"/>
  <c r="AK32" i="13"/>
  <c r="AA34" i="8" s="1"/>
  <c r="X32" i="13" l="1"/>
  <c r="C14" i="12" s="1"/>
  <c r="C16" i="12" s="1"/>
  <c r="N19" i="11"/>
  <c r="D17" i="20" s="1"/>
  <c r="Z9" i="13"/>
  <c r="Y32" i="13"/>
  <c r="D14" i="12" s="1"/>
  <c r="E34" i="8" s="1"/>
  <c r="C7" i="11" s="1"/>
  <c r="BZ8" i="14"/>
  <c r="BZ7" i="14"/>
  <c r="AU32" i="13"/>
  <c r="AU34" i="13"/>
  <c r="T14" i="12" s="1"/>
  <c r="AK34" i="8" s="1"/>
  <c r="S7" i="11" s="1"/>
  <c r="O19" i="11"/>
  <c r="E17" i="20" s="1"/>
  <c r="P16" i="12"/>
  <c r="Q13" i="12" s="1"/>
  <c r="Q16" i="12" s="1"/>
  <c r="BY17" i="14"/>
  <c r="Q19" i="11"/>
  <c r="G17" i="20" s="1"/>
  <c r="C10" i="12"/>
  <c r="B14" i="11"/>
  <c r="O27" i="9"/>
  <c r="C26" i="9"/>
  <c r="B20" i="11" s="1"/>
  <c r="AL19" i="14"/>
  <c r="C25" i="9"/>
  <c r="Z19" i="14"/>
  <c r="AR17" i="14"/>
  <c r="AX17" i="14"/>
  <c r="E37" i="8" s="1"/>
  <c r="O18" i="12"/>
  <c r="Q7" i="12"/>
  <c r="Q10" i="12" s="1"/>
  <c r="Q13" i="9" s="1"/>
  <c r="O30" i="9" l="1"/>
  <c r="D10" i="20"/>
  <c r="C34" i="8"/>
  <c r="B7" i="11" s="1"/>
  <c r="AA9" i="13"/>
  <c r="Z32" i="13"/>
  <c r="E14" i="12" s="1"/>
  <c r="G34" i="8" s="1"/>
  <c r="D7" i="11" s="1"/>
  <c r="BZ17" i="14"/>
  <c r="AK37" i="8" s="1"/>
  <c r="P19" i="11"/>
  <c r="F17" i="20" s="1"/>
  <c r="P14" i="9"/>
  <c r="P18" i="12"/>
  <c r="C18" i="12"/>
  <c r="R19" i="11"/>
  <c r="H17" i="20" s="1"/>
  <c r="R13" i="12"/>
  <c r="R16" i="12" s="1"/>
  <c r="Q14" i="9"/>
  <c r="D13" i="12"/>
  <c r="D16" i="12" s="1"/>
  <c r="C14" i="9"/>
  <c r="C13" i="9"/>
  <c r="D7" i="12"/>
  <c r="D10" i="12" s="1"/>
  <c r="D25" i="9"/>
  <c r="AA19" i="14"/>
  <c r="D26" i="9"/>
  <c r="C20" i="11" s="1"/>
  <c r="AM19" i="14"/>
  <c r="AS17" i="14"/>
  <c r="AY17" i="14"/>
  <c r="G37" i="8" s="1"/>
  <c r="R7" i="12"/>
  <c r="R10" i="12" s="1"/>
  <c r="R13" i="9" s="1"/>
  <c r="Q18" i="12"/>
  <c r="AB9" i="13" l="1"/>
  <c r="AA32" i="13"/>
  <c r="F14" i="12" s="1"/>
  <c r="I34" i="8" s="1"/>
  <c r="E7" i="11" s="1"/>
  <c r="S19" i="11"/>
  <c r="I17" i="20" s="1"/>
  <c r="E13" i="12"/>
  <c r="E16" i="12" s="1"/>
  <c r="D14" i="9"/>
  <c r="D13" i="9"/>
  <c r="D18" i="12"/>
  <c r="E7" i="12"/>
  <c r="E10" i="12" s="1"/>
  <c r="S13" i="12"/>
  <c r="S16" i="12" s="1"/>
  <c r="R14" i="9"/>
  <c r="O20" i="11"/>
  <c r="P27" i="9"/>
  <c r="AN19" i="14"/>
  <c r="E26" i="9"/>
  <c r="D20" i="11" s="1"/>
  <c r="AB19" i="14"/>
  <c r="E25" i="9"/>
  <c r="AT17" i="14"/>
  <c r="AZ17" i="14"/>
  <c r="I37" i="8" s="1"/>
  <c r="R18" i="12"/>
  <c r="S7" i="12"/>
  <c r="S10" i="12" s="1"/>
  <c r="S13" i="9" s="1"/>
  <c r="P30" i="9" l="1"/>
  <c r="E10" i="20"/>
  <c r="AC9" i="13"/>
  <c r="AB32" i="13"/>
  <c r="G14" i="12" s="1"/>
  <c r="K34" i="8" s="1"/>
  <c r="F7" i="11" s="1"/>
  <c r="D15" i="9"/>
  <c r="T13" i="12"/>
  <c r="T16" i="12" s="1"/>
  <c r="T14" i="9" s="1"/>
  <c r="S14" i="9"/>
  <c r="E13" i="9"/>
  <c r="F7" i="12"/>
  <c r="F10" i="12" s="1"/>
  <c r="E18" i="12"/>
  <c r="F13" i="12"/>
  <c r="F16" i="12" s="1"/>
  <c r="E14" i="9"/>
  <c r="P20" i="11"/>
  <c r="Q27" i="9"/>
  <c r="AC19" i="14"/>
  <c r="F25" i="9"/>
  <c r="F26" i="9"/>
  <c r="E20" i="11" s="1"/>
  <c r="AO19" i="14"/>
  <c r="AV17" i="14"/>
  <c r="AU17" i="14"/>
  <c r="BA17" i="14"/>
  <c r="K37" i="8" s="1"/>
  <c r="T7" i="12"/>
  <c r="T10" i="12" s="1"/>
  <c r="S18" i="12"/>
  <c r="N26" i="11"/>
  <c r="B31" i="8"/>
  <c r="Q30" i="9" l="1"/>
  <c r="F10" i="20"/>
  <c r="AD9" i="13"/>
  <c r="AC32" i="13"/>
  <c r="H14" i="12" s="1"/>
  <c r="M34" i="8" s="1"/>
  <c r="G7" i="11" s="1"/>
  <c r="G13" i="12"/>
  <c r="G16" i="12" s="1"/>
  <c r="F14" i="9"/>
  <c r="T18" i="12"/>
  <c r="T13" i="9"/>
  <c r="F13" i="9"/>
  <c r="F18" i="12"/>
  <c r="G7" i="12"/>
  <c r="G10" i="12" s="1"/>
  <c r="E15" i="9"/>
  <c r="R27" i="9"/>
  <c r="Q20" i="11"/>
  <c r="G26" i="9"/>
  <c r="F20" i="11" s="1"/>
  <c r="AP19" i="14"/>
  <c r="AD19" i="14"/>
  <c r="G25" i="9"/>
  <c r="BB17" i="14"/>
  <c r="M37" i="8" s="1"/>
  <c r="A15" i="8"/>
  <c r="A16" i="8"/>
  <c r="A17" i="8"/>
  <c r="A18" i="8"/>
  <c r="A19" i="8"/>
  <c r="A14" i="8"/>
  <c r="R30" i="9" l="1"/>
  <c r="G10" i="20"/>
  <c r="AE9" i="13"/>
  <c r="AD32" i="13"/>
  <c r="I14" i="12" s="1"/>
  <c r="O34" i="8" s="1"/>
  <c r="H7" i="11" s="1"/>
  <c r="F15" i="9"/>
  <c r="G13" i="9"/>
  <c r="H7" i="12"/>
  <c r="H10" i="12" s="1"/>
  <c r="G18" i="12"/>
  <c r="H13" i="12"/>
  <c r="H16" i="12" s="1"/>
  <c r="G14" i="9"/>
  <c r="R20" i="11"/>
  <c r="S27" i="9"/>
  <c r="S20" i="11"/>
  <c r="T27" i="9"/>
  <c r="AE19" i="14"/>
  <c r="H25" i="9"/>
  <c r="H26" i="9"/>
  <c r="G20" i="11" s="1"/>
  <c r="AQ19" i="14"/>
  <c r="BC17" i="14"/>
  <c r="O37" i="8" s="1"/>
  <c r="G6" i="8"/>
  <c r="T30" i="9" l="1"/>
  <c r="I10" i="20"/>
  <c r="S30" i="9"/>
  <c r="H10" i="20"/>
  <c r="AF9" i="13"/>
  <c r="AE32" i="13"/>
  <c r="J14" i="12" s="1"/>
  <c r="Q34" i="8" s="1"/>
  <c r="I7" i="11" s="1"/>
  <c r="G15" i="9"/>
  <c r="I13" i="12"/>
  <c r="I16" i="12" s="1"/>
  <c r="H14" i="9"/>
  <c r="H13" i="9"/>
  <c r="H18" i="12"/>
  <c r="I7" i="12"/>
  <c r="I10" i="12" s="1"/>
  <c r="I26" i="9"/>
  <c r="H20" i="11" s="1"/>
  <c r="AR19" i="14"/>
  <c r="AF19" i="14"/>
  <c r="I25" i="9"/>
  <c r="BD17" i="14"/>
  <c r="Q37" i="8" s="1"/>
  <c r="Y11" i="8"/>
  <c r="Y10" i="8"/>
  <c r="Y9" i="8"/>
  <c r="Y8" i="8"/>
  <c r="W11" i="8"/>
  <c r="W10" i="8"/>
  <c r="W9" i="8"/>
  <c r="W8" i="8"/>
  <c r="W7" i="8"/>
  <c r="W6" i="8"/>
  <c r="U11" i="8"/>
  <c r="U10" i="8"/>
  <c r="U9" i="8"/>
  <c r="U8" i="8"/>
  <c r="U7" i="8"/>
  <c r="U6" i="8"/>
  <c r="S11" i="8"/>
  <c r="S10" i="8"/>
  <c r="S9" i="8"/>
  <c r="S8" i="8"/>
  <c r="S7" i="8"/>
  <c r="S6" i="8"/>
  <c r="Q11" i="8"/>
  <c r="Q10" i="8"/>
  <c r="Q9" i="8"/>
  <c r="Q8" i="8"/>
  <c r="Q7" i="8"/>
  <c r="Q6" i="8"/>
  <c r="O11" i="8"/>
  <c r="O10" i="8"/>
  <c r="O9" i="8"/>
  <c r="O8" i="8"/>
  <c r="O7" i="8"/>
  <c r="O6" i="8"/>
  <c r="M11" i="8"/>
  <c r="M10" i="8"/>
  <c r="M9" i="8"/>
  <c r="M8" i="8"/>
  <c r="M7" i="8"/>
  <c r="M6" i="8"/>
  <c r="K11" i="8"/>
  <c r="K10" i="8"/>
  <c r="K9" i="8"/>
  <c r="K8" i="8"/>
  <c r="K7" i="8"/>
  <c r="K6" i="8"/>
  <c r="I11" i="8"/>
  <c r="I10" i="8"/>
  <c r="I9" i="8"/>
  <c r="I8" i="8"/>
  <c r="I7" i="8"/>
  <c r="I6" i="8"/>
  <c r="G11" i="8"/>
  <c r="G10" i="8"/>
  <c r="G9" i="8"/>
  <c r="G8" i="8"/>
  <c r="G7" i="8"/>
  <c r="E11" i="8"/>
  <c r="E10" i="8"/>
  <c r="E9" i="8"/>
  <c r="E8" i="8"/>
  <c r="E7" i="8"/>
  <c r="E6" i="8"/>
  <c r="C11" i="8"/>
  <c r="C10" i="8"/>
  <c r="C9" i="8"/>
  <c r="C8" i="8"/>
  <c r="C7" i="8"/>
  <c r="C6" i="8"/>
  <c r="AG9" i="13" l="1"/>
  <c r="AF32" i="13"/>
  <c r="K14" i="12" s="1"/>
  <c r="S34" i="8" s="1"/>
  <c r="J7" i="11" s="1"/>
  <c r="H15" i="9"/>
  <c r="I13" i="9"/>
  <c r="J7" i="12"/>
  <c r="J10" i="12" s="1"/>
  <c r="I18" i="12"/>
  <c r="J13" i="12"/>
  <c r="J16" i="12" s="1"/>
  <c r="I14" i="9"/>
  <c r="AG19" i="14"/>
  <c r="J25" i="9"/>
  <c r="J26" i="9"/>
  <c r="I20" i="11" s="1"/>
  <c r="AS19" i="14"/>
  <c r="BE17" i="14"/>
  <c r="S37" i="8" s="1"/>
  <c r="G12" i="8"/>
  <c r="E8" i="15" s="1"/>
  <c r="AA9" i="8"/>
  <c r="AC9" i="8" s="1"/>
  <c r="AE9" i="8" s="1"/>
  <c r="AG9" i="8" s="1"/>
  <c r="AI9" i="8" s="1"/>
  <c r="AK9" i="8" s="1"/>
  <c r="AA10" i="8"/>
  <c r="AC10" i="8" s="1"/>
  <c r="AE10" i="8" s="1"/>
  <c r="AG10" i="8" s="1"/>
  <c r="AI10" i="8" s="1"/>
  <c r="AK10" i="8" s="1"/>
  <c r="AA8" i="8"/>
  <c r="AC8" i="8" s="1"/>
  <c r="AE8" i="8" s="1"/>
  <c r="AG8" i="8" s="1"/>
  <c r="AI8" i="8" s="1"/>
  <c r="AK8" i="8" s="1"/>
  <c r="AA11" i="8"/>
  <c r="AC11" i="8" s="1"/>
  <c r="AE11" i="8" s="1"/>
  <c r="AG11" i="8" s="1"/>
  <c r="AI11" i="8" s="1"/>
  <c r="AK11" i="8" s="1"/>
  <c r="AA7" i="8"/>
  <c r="I12" i="8"/>
  <c r="F8" i="15" s="1"/>
  <c r="M12" i="8"/>
  <c r="H8" i="15" s="1"/>
  <c r="U12" i="8"/>
  <c r="L8" i="15" s="1"/>
  <c r="Y12" i="8"/>
  <c r="N8" i="15" s="1"/>
  <c r="AA6" i="8"/>
  <c r="AC6" i="8" s="1"/>
  <c r="AE6" i="8" s="1"/>
  <c r="Q12" i="8"/>
  <c r="J8" i="15" s="1"/>
  <c r="E12" i="8"/>
  <c r="D8" i="15" s="1"/>
  <c r="O12" i="8"/>
  <c r="I8" i="15" s="1"/>
  <c r="S12" i="8"/>
  <c r="K8" i="15" s="1"/>
  <c r="W12" i="8"/>
  <c r="M8" i="15" s="1"/>
  <c r="K12" i="8"/>
  <c r="G8" i="15" s="1"/>
  <c r="C12" i="8"/>
  <c r="C8" i="15" s="1"/>
  <c r="B36" i="9"/>
  <c r="Z15" i="8"/>
  <c r="Y15" i="8" s="1"/>
  <c r="Z16" i="8"/>
  <c r="Y16" i="8" s="1"/>
  <c r="Z17" i="8"/>
  <c r="Y17" i="8" s="1"/>
  <c r="Z18" i="8"/>
  <c r="Y18" i="8" s="1"/>
  <c r="Z19" i="8"/>
  <c r="Y19" i="8" s="1"/>
  <c r="Z14" i="8"/>
  <c r="W15" i="8"/>
  <c r="W16" i="8"/>
  <c r="W17" i="8"/>
  <c r="W18" i="8"/>
  <c r="W19" i="8"/>
  <c r="W14" i="8"/>
  <c r="U15" i="8"/>
  <c r="U16" i="8"/>
  <c r="U17" i="8"/>
  <c r="U18" i="8"/>
  <c r="U19" i="8"/>
  <c r="U14" i="8"/>
  <c r="T15" i="8"/>
  <c r="S15" i="8" s="1"/>
  <c r="T16" i="8"/>
  <c r="S16" i="8" s="1"/>
  <c r="T17" i="8"/>
  <c r="S17" i="8" s="1"/>
  <c r="T18" i="8"/>
  <c r="S18" i="8" s="1"/>
  <c r="T19" i="8"/>
  <c r="S19" i="8" s="1"/>
  <c r="T14" i="8"/>
  <c r="S14" i="8" s="1"/>
  <c r="R15" i="8"/>
  <c r="Q15" i="8" s="1"/>
  <c r="R16" i="8"/>
  <c r="Q16" i="8" s="1"/>
  <c r="R17" i="8"/>
  <c r="Q17" i="8" s="1"/>
  <c r="R18" i="8"/>
  <c r="Q18" i="8" s="1"/>
  <c r="R19" i="8"/>
  <c r="Q19" i="8" s="1"/>
  <c r="R14" i="8"/>
  <c r="Q14" i="8" s="1"/>
  <c r="P15" i="8"/>
  <c r="O15" i="8" s="1"/>
  <c r="P16" i="8"/>
  <c r="O16" i="8" s="1"/>
  <c r="P17" i="8"/>
  <c r="O17" i="8" s="1"/>
  <c r="P18" i="8"/>
  <c r="O18" i="8" s="1"/>
  <c r="P19" i="8"/>
  <c r="O19" i="8" s="1"/>
  <c r="P14" i="8"/>
  <c r="O14" i="8" s="1"/>
  <c r="N19" i="8"/>
  <c r="M19" i="8" s="1"/>
  <c r="N15" i="8"/>
  <c r="M15" i="8" s="1"/>
  <c r="N16" i="8"/>
  <c r="M16" i="8" s="1"/>
  <c r="N17" i="8"/>
  <c r="M17" i="8" s="1"/>
  <c r="N18" i="8"/>
  <c r="M18" i="8" s="1"/>
  <c r="N14" i="8"/>
  <c r="M14" i="8" s="1"/>
  <c r="L15" i="8"/>
  <c r="K15" i="8" s="1"/>
  <c r="L16" i="8"/>
  <c r="K16" i="8" s="1"/>
  <c r="L17" i="8"/>
  <c r="K17" i="8" s="1"/>
  <c r="L18" i="8"/>
  <c r="K18" i="8" s="1"/>
  <c r="L19" i="8"/>
  <c r="K19" i="8" s="1"/>
  <c r="L14" i="8"/>
  <c r="K14" i="8" s="1"/>
  <c r="J15" i="8"/>
  <c r="I15" i="8" s="1"/>
  <c r="J16" i="8"/>
  <c r="I16" i="8" s="1"/>
  <c r="J17" i="8"/>
  <c r="I17" i="8" s="1"/>
  <c r="J18" i="8"/>
  <c r="I18" i="8" s="1"/>
  <c r="J19" i="8"/>
  <c r="I19" i="8" s="1"/>
  <c r="J14" i="8"/>
  <c r="I14" i="8" s="1"/>
  <c r="H15" i="8"/>
  <c r="G15" i="8" s="1"/>
  <c r="H16" i="8"/>
  <c r="G16" i="8" s="1"/>
  <c r="H17" i="8"/>
  <c r="G17" i="8" s="1"/>
  <c r="H18" i="8"/>
  <c r="G18" i="8" s="1"/>
  <c r="H19" i="8"/>
  <c r="G19" i="8" s="1"/>
  <c r="H14" i="8"/>
  <c r="G14" i="8" s="1"/>
  <c r="F15" i="8"/>
  <c r="E15" i="8" s="1"/>
  <c r="F16" i="8"/>
  <c r="E16" i="8" s="1"/>
  <c r="F17" i="8"/>
  <c r="E17" i="8" s="1"/>
  <c r="F18" i="8"/>
  <c r="E18" i="8" s="1"/>
  <c r="F19" i="8"/>
  <c r="E19" i="8" s="1"/>
  <c r="F14" i="8"/>
  <c r="E14" i="8" s="1"/>
  <c r="AH9" i="13" l="1"/>
  <c r="AG32" i="13"/>
  <c r="L14" i="12" s="1"/>
  <c r="U34" i="8" s="1"/>
  <c r="K7" i="11" s="1"/>
  <c r="AC7" i="8"/>
  <c r="AE7" i="8" s="1"/>
  <c r="AG7" i="8" s="1"/>
  <c r="AI7" i="8" s="1"/>
  <c r="AK7" i="8" s="1"/>
  <c r="D6" i="16"/>
  <c r="E6" i="16" s="1"/>
  <c r="D23" i="16"/>
  <c r="E23" i="16" s="1"/>
  <c r="W47" i="8"/>
  <c r="I47" i="8"/>
  <c r="M47" i="8"/>
  <c r="Q47" i="8"/>
  <c r="J13" i="9"/>
  <c r="K7" i="12"/>
  <c r="K10" i="12" s="1"/>
  <c r="J18" i="12"/>
  <c r="K13" i="12"/>
  <c r="K16" i="12" s="1"/>
  <c r="J14" i="9"/>
  <c r="I15" i="9"/>
  <c r="K26" i="9"/>
  <c r="J20" i="11" s="1"/>
  <c r="AT19" i="14"/>
  <c r="AH19" i="14"/>
  <c r="K25" i="9"/>
  <c r="BF17" i="14"/>
  <c r="U37" i="8" s="1"/>
  <c r="S47" i="8"/>
  <c r="O47" i="8"/>
  <c r="Y47" i="8"/>
  <c r="K47" i="8"/>
  <c r="E47" i="8"/>
  <c r="U47" i="8"/>
  <c r="G47" i="8"/>
  <c r="E20" i="8"/>
  <c r="I20" i="8"/>
  <c r="Q20" i="8"/>
  <c r="U20" i="8"/>
  <c r="Y20" i="8"/>
  <c r="AA12" i="8"/>
  <c r="D8" i="20" s="1"/>
  <c r="M20" i="8"/>
  <c r="K20" i="8"/>
  <c r="O20" i="8"/>
  <c r="S20" i="8"/>
  <c r="W20" i="8"/>
  <c r="G20" i="8"/>
  <c r="E9" i="15" s="1"/>
  <c r="B16" i="11"/>
  <c r="O8" i="15" l="1"/>
  <c r="AA50" i="8"/>
  <c r="AI9" i="13"/>
  <c r="AI32" i="13" s="1"/>
  <c r="N14" i="12" s="1"/>
  <c r="Y34" i="8" s="1"/>
  <c r="M7" i="11" s="1"/>
  <c r="AH32" i="13"/>
  <c r="M14" i="12" s="1"/>
  <c r="W34" i="8" s="1"/>
  <c r="L7" i="11" s="1"/>
  <c r="Y21" i="8"/>
  <c r="N9" i="15"/>
  <c r="W21" i="8"/>
  <c r="M9" i="15"/>
  <c r="U48" i="8"/>
  <c r="L9" i="15"/>
  <c r="S21" i="8"/>
  <c r="K9" i="15"/>
  <c r="Q21" i="8"/>
  <c r="J9" i="15"/>
  <c r="O21" i="8"/>
  <c r="I9" i="15"/>
  <c r="M21" i="8"/>
  <c r="H9" i="15"/>
  <c r="K21" i="8"/>
  <c r="G9" i="15"/>
  <c r="I21" i="8"/>
  <c r="F9" i="15"/>
  <c r="E48" i="8"/>
  <c r="D9" i="15"/>
  <c r="F23" i="16"/>
  <c r="E24" i="16"/>
  <c r="P6" i="16"/>
  <c r="P23" i="16"/>
  <c r="F6" i="16"/>
  <c r="L13" i="12"/>
  <c r="L16" i="12" s="1"/>
  <c r="K14" i="9"/>
  <c r="K13" i="9"/>
  <c r="L7" i="12"/>
  <c r="L10" i="12" s="1"/>
  <c r="K18" i="12"/>
  <c r="J15" i="9"/>
  <c r="AI19" i="14"/>
  <c r="L25" i="9"/>
  <c r="L26" i="9"/>
  <c r="K20" i="11" s="1"/>
  <c r="AU19" i="14"/>
  <c r="BG17" i="14"/>
  <c r="W37" i="8" s="1"/>
  <c r="BH17" i="14"/>
  <c r="Y37" i="8" s="1"/>
  <c r="D16" i="11"/>
  <c r="C16" i="11"/>
  <c r="E21" i="8"/>
  <c r="U21" i="8"/>
  <c r="K48" i="8"/>
  <c r="Q48" i="8"/>
  <c r="S48" i="8"/>
  <c r="W48" i="8"/>
  <c r="I48" i="8"/>
  <c r="O48" i="8"/>
  <c r="M48" i="8"/>
  <c r="G21" i="8"/>
  <c r="G48" i="8"/>
  <c r="Y48" i="8"/>
  <c r="AC12" i="8"/>
  <c r="E8" i="20" s="1"/>
  <c r="G6" i="16" l="1"/>
  <c r="G23" i="16"/>
  <c r="F24" i="16"/>
  <c r="P8" i="9"/>
  <c r="P13" i="15" s="1"/>
  <c r="Q7" i="16" s="1"/>
  <c r="P8" i="15"/>
  <c r="K15" i="9"/>
  <c r="L13" i="9"/>
  <c r="L18" i="12"/>
  <c r="M7" i="12"/>
  <c r="M10" i="12" s="1"/>
  <c r="M13" i="12"/>
  <c r="M16" i="12" s="1"/>
  <c r="L14" i="9"/>
  <c r="M26" i="9"/>
  <c r="L20" i="11" s="1"/>
  <c r="AV19" i="14"/>
  <c r="N26" i="9" s="1"/>
  <c r="AJ19" i="14"/>
  <c r="N25" i="9" s="1"/>
  <c r="M25" i="9"/>
  <c r="AC47" i="8"/>
  <c r="AG6" i="8"/>
  <c r="AE12" i="8"/>
  <c r="F8" i="20" s="1"/>
  <c r="D17" i="9"/>
  <c r="C15" i="9"/>
  <c r="Y30" i="8"/>
  <c r="W30" i="8"/>
  <c r="U30" i="8"/>
  <c r="S30" i="8"/>
  <c r="Q30" i="8"/>
  <c r="O30" i="8"/>
  <c r="M30" i="8"/>
  <c r="K30" i="8"/>
  <c r="I30" i="8"/>
  <c r="G30" i="8"/>
  <c r="E30" i="8"/>
  <c r="Y29" i="8"/>
  <c r="W29" i="8"/>
  <c r="U29" i="8"/>
  <c r="S29" i="8"/>
  <c r="Q29" i="8"/>
  <c r="O29" i="8"/>
  <c r="Y28" i="8"/>
  <c r="W28" i="8"/>
  <c r="U28" i="8"/>
  <c r="S28" i="8"/>
  <c r="Q28" i="8"/>
  <c r="O28" i="8"/>
  <c r="M28" i="8"/>
  <c r="K28" i="8"/>
  <c r="I28" i="8"/>
  <c r="G28" i="8"/>
  <c r="E28" i="8"/>
  <c r="Y27" i="8"/>
  <c r="W27" i="8"/>
  <c r="U27" i="8"/>
  <c r="S27" i="8"/>
  <c r="Q27" i="8"/>
  <c r="O27" i="8"/>
  <c r="M27" i="8"/>
  <c r="C30" i="8"/>
  <c r="C28" i="8"/>
  <c r="Y25" i="8"/>
  <c r="W25" i="8"/>
  <c r="U25" i="8"/>
  <c r="S25" i="8"/>
  <c r="Q25" i="8"/>
  <c r="O25" i="8"/>
  <c r="M25" i="8"/>
  <c r="K25" i="8"/>
  <c r="I25" i="8"/>
  <c r="D17" i="8"/>
  <c r="D15" i="8"/>
  <c r="D16" i="8"/>
  <c r="D18" i="8"/>
  <c r="D19" i="8"/>
  <c r="D14" i="8"/>
  <c r="AA29" i="8" l="1"/>
  <c r="AA53" i="8" s="1"/>
  <c r="AA30" i="8"/>
  <c r="AA54" i="8" s="1"/>
  <c r="AA28" i="8"/>
  <c r="AA52" i="8" s="1"/>
  <c r="AA27" i="8"/>
  <c r="AA51" i="8" s="1"/>
  <c r="AA25" i="8"/>
  <c r="AA49" i="8" s="1"/>
  <c r="M20" i="11"/>
  <c r="Q23" i="16"/>
  <c r="Q24" i="16" s="1"/>
  <c r="Q6" i="16"/>
  <c r="H23" i="16"/>
  <c r="G24" i="16"/>
  <c r="Q8" i="9"/>
  <c r="Q8" i="15"/>
  <c r="H6" i="16"/>
  <c r="M13" i="9"/>
  <c r="M18" i="12"/>
  <c r="N7" i="12"/>
  <c r="N10" i="12" s="1"/>
  <c r="N13" i="12"/>
  <c r="N16" i="12" s="1"/>
  <c r="N14" i="9" s="1"/>
  <c r="M14" i="9"/>
  <c r="L15" i="9"/>
  <c r="E16" i="11"/>
  <c r="AG12" i="8"/>
  <c r="G8" i="20" s="1"/>
  <c r="AI6" i="8"/>
  <c r="AE47" i="8"/>
  <c r="F16" i="11"/>
  <c r="C19" i="8"/>
  <c r="AA19" i="8" s="1"/>
  <c r="AC19" i="8" s="1"/>
  <c r="AE19" i="8" s="1"/>
  <c r="AG19" i="8" s="1"/>
  <c r="AI19" i="8" s="1"/>
  <c r="AK19" i="8" s="1"/>
  <c r="C18" i="8"/>
  <c r="AA18" i="8" s="1"/>
  <c r="AC18" i="8" s="1"/>
  <c r="AE18" i="8" s="1"/>
  <c r="AG18" i="8" s="1"/>
  <c r="AI18" i="8" s="1"/>
  <c r="AK18" i="8" s="1"/>
  <c r="C17" i="8"/>
  <c r="AA17" i="8" s="1"/>
  <c r="AC17" i="8" s="1"/>
  <c r="AE17" i="8" s="1"/>
  <c r="AG17" i="8" s="1"/>
  <c r="AI17" i="8" s="1"/>
  <c r="AK17" i="8" s="1"/>
  <c r="C16" i="8"/>
  <c r="AA16" i="8" s="1"/>
  <c r="AC16" i="8" s="1"/>
  <c r="AE16" i="8" s="1"/>
  <c r="AG16" i="8" s="1"/>
  <c r="AI16" i="8" s="1"/>
  <c r="AK16" i="8" s="1"/>
  <c r="C15" i="8"/>
  <c r="AA15" i="8" s="1"/>
  <c r="C14" i="8"/>
  <c r="AA14" i="8" s="1"/>
  <c r="AC14" i="8" s="1"/>
  <c r="AE14" i="8" s="1"/>
  <c r="C17" i="9"/>
  <c r="I31" i="8"/>
  <c r="I32" i="8" s="1"/>
  <c r="Q31" i="8"/>
  <c r="Q32" i="8" s="1"/>
  <c r="Y31" i="8"/>
  <c r="Y32" i="8" s="1"/>
  <c r="K31" i="8"/>
  <c r="K32" i="8" s="1"/>
  <c r="S31" i="8"/>
  <c r="S32" i="8" s="1"/>
  <c r="C31" i="8"/>
  <c r="G31" i="8"/>
  <c r="G32" i="8" s="1"/>
  <c r="E31" i="8"/>
  <c r="E32" i="8" s="1"/>
  <c r="M31" i="8"/>
  <c r="M32" i="8" s="1"/>
  <c r="U31" i="8"/>
  <c r="U32" i="8" s="1"/>
  <c r="O32" i="8"/>
  <c r="W31" i="8"/>
  <c r="W32" i="8" s="1"/>
  <c r="B31" i="9"/>
  <c r="B37" i="9" s="1"/>
  <c r="AC15" i="8" l="1"/>
  <c r="AE15" i="8" s="1"/>
  <c r="AG15" i="8" s="1"/>
  <c r="AI15" i="8" s="1"/>
  <c r="AK15" i="8" s="1"/>
  <c r="I6" i="16"/>
  <c r="I23" i="16"/>
  <c r="H24" i="16"/>
  <c r="R23" i="16"/>
  <c r="R24" i="16" s="1"/>
  <c r="R6" i="16"/>
  <c r="R8" i="9"/>
  <c r="R8" i="15"/>
  <c r="P8" i="11"/>
  <c r="Q13" i="15"/>
  <c r="R7" i="16" s="1"/>
  <c r="N18" i="12"/>
  <c r="N13" i="9"/>
  <c r="N15" i="9" s="1"/>
  <c r="M15" i="9"/>
  <c r="AA20" i="8"/>
  <c r="AA48" i="8" s="1"/>
  <c r="D14" i="20" s="1"/>
  <c r="AI12" i="8"/>
  <c r="H8" i="20" s="1"/>
  <c r="AK6" i="8"/>
  <c r="AK12" i="8" s="1"/>
  <c r="I8" i="20" s="1"/>
  <c r="J8" i="20" s="1"/>
  <c r="AG47" i="8"/>
  <c r="C20" i="8"/>
  <c r="C9" i="15" s="1"/>
  <c r="S53" i="8"/>
  <c r="Y51" i="8"/>
  <c r="G16" i="11"/>
  <c r="S52" i="8"/>
  <c r="S49" i="8"/>
  <c r="S50" i="8"/>
  <c r="S54" i="8"/>
  <c r="I50" i="8"/>
  <c r="AI50" i="8" s="1"/>
  <c r="I54" i="8"/>
  <c r="AI54" i="8" s="1"/>
  <c r="I49" i="8"/>
  <c r="AI49" i="8" s="1"/>
  <c r="I53" i="8"/>
  <c r="AI53" i="8" s="1"/>
  <c r="I52" i="8"/>
  <c r="AI52" i="8" s="1"/>
  <c r="I51" i="8"/>
  <c r="AI51" i="8" s="1"/>
  <c r="Y50" i="8"/>
  <c r="S51" i="8"/>
  <c r="Y33" i="8"/>
  <c r="Y52" i="8"/>
  <c r="Y49" i="8"/>
  <c r="Y54" i="8"/>
  <c r="Y53" i="8"/>
  <c r="W53" i="8"/>
  <c r="W49" i="8"/>
  <c r="W54" i="8"/>
  <c r="W52" i="8"/>
  <c r="W51" i="8"/>
  <c r="W33" i="8"/>
  <c r="W50" i="8"/>
  <c r="U54" i="8"/>
  <c r="U52" i="8"/>
  <c r="U50" i="8"/>
  <c r="U53" i="8"/>
  <c r="U51" i="8"/>
  <c r="U49" i="8"/>
  <c r="U33" i="8"/>
  <c r="Q54" i="8"/>
  <c r="Q53" i="8"/>
  <c r="Q52" i="8"/>
  <c r="Q51" i="8"/>
  <c r="Q50" i="8"/>
  <c r="Q49" i="8"/>
  <c r="O53" i="8"/>
  <c r="O49" i="8"/>
  <c r="O52" i="8"/>
  <c r="O33" i="8"/>
  <c r="O54" i="8"/>
  <c r="O51" i="8"/>
  <c r="O50" i="8"/>
  <c r="M54" i="8"/>
  <c r="M52" i="8"/>
  <c r="M50" i="8"/>
  <c r="M51" i="8"/>
  <c r="M53" i="8"/>
  <c r="M49" i="8"/>
  <c r="M33" i="8"/>
  <c r="K53" i="8"/>
  <c r="AK53" i="8" s="1"/>
  <c r="K49" i="8"/>
  <c r="AK49" i="8" s="1"/>
  <c r="K51" i="8"/>
  <c r="AK51" i="8" s="1"/>
  <c r="K33" i="8"/>
  <c r="K54" i="8"/>
  <c r="AK54" i="8" s="1"/>
  <c r="K50" i="8"/>
  <c r="AK50" i="8" s="1"/>
  <c r="K52" i="8"/>
  <c r="AK52" i="8" s="1"/>
  <c r="G53" i="8"/>
  <c r="AG53" i="8" s="1"/>
  <c r="G49" i="8"/>
  <c r="AG49" i="8" s="1"/>
  <c r="G52" i="8"/>
  <c r="AG52" i="8" s="1"/>
  <c r="G54" i="8"/>
  <c r="AG54" i="8" s="1"/>
  <c r="G51" i="8"/>
  <c r="AG51" i="8" s="1"/>
  <c r="G50" i="8"/>
  <c r="AG50" i="8" s="1"/>
  <c r="E50" i="8"/>
  <c r="AE50" i="8" s="1"/>
  <c r="E53" i="8"/>
  <c r="AE53" i="8" s="1"/>
  <c r="E51" i="8"/>
  <c r="AE51" i="8" s="1"/>
  <c r="E54" i="8"/>
  <c r="AE54" i="8" s="1"/>
  <c r="E52" i="8"/>
  <c r="AE52" i="8" s="1"/>
  <c r="E49" i="8"/>
  <c r="AE49" i="8" s="1"/>
  <c r="F17" i="9"/>
  <c r="B39" i="9"/>
  <c r="Q8" i="11" l="1"/>
  <c r="R13" i="15"/>
  <c r="S7" i="16" s="1"/>
  <c r="S8" i="9"/>
  <c r="S8" i="15"/>
  <c r="J23" i="16"/>
  <c r="I24" i="16"/>
  <c r="T8" i="9"/>
  <c r="T13" i="15" s="1"/>
  <c r="U7" i="16" s="1"/>
  <c r="T8" i="15"/>
  <c r="O9" i="15"/>
  <c r="S23" i="16"/>
  <c r="S24" i="16" s="1"/>
  <c r="S6" i="16"/>
  <c r="J6" i="16"/>
  <c r="C22" i="9"/>
  <c r="C9" i="9"/>
  <c r="C14" i="15" s="1"/>
  <c r="D8" i="16" s="1"/>
  <c r="C21" i="8"/>
  <c r="C32" i="8" s="1"/>
  <c r="C48" i="8"/>
  <c r="AC20" i="8"/>
  <c r="P9" i="15" s="1"/>
  <c r="AA21" i="8"/>
  <c r="AK47" i="8"/>
  <c r="AI47" i="8"/>
  <c r="G35" i="8"/>
  <c r="G36" i="8" s="1"/>
  <c r="G33" i="8"/>
  <c r="I35" i="8"/>
  <c r="I36" i="8" s="1"/>
  <c r="I33" i="8"/>
  <c r="K35" i="8"/>
  <c r="K36" i="8" s="1"/>
  <c r="S33" i="8"/>
  <c r="E17" i="9"/>
  <c r="Q33" i="8"/>
  <c r="G17" i="9"/>
  <c r="D22" i="9" l="1"/>
  <c r="E22" i="9" s="1"/>
  <c r="C18" i="15"/>
  <c r="D12" i="16" s="1"/>
  <c r="D16" i="16" s="1"/>
  <c r="T6" i="16"/>
  <c r="T23" i="16"/>
  <c r="R8" i="11"/>
  <c r="S13" i="15"/>
  <c r="T7" i="16" s="1"/>
  <c r="K6" i="16"/>
  <c r="S8" i="11"/>
  <c r="U23" i="16"/>
  <c r="U6" i="16"/>
  <c r="K23" i="16"/>
  <c r="J24" i="16"/>
  <c r="D9" i="9"/>
  <c r="D14" i="15" s="1"/>
  <c r="E8" i="16" s="1"/>
  <c r="B10" i="11"/>
  <c r="P9" i="9"/>
  <c r="P14" i="15" s="1"/>
  <c r="Q8" i="16" s="1"/>
  <c r="Q10" i="16" s="1"/>
  <c r="H16" i="11"/>
  <c r="AC48" i="8"/>
  <c r="E14" i="20" s="1"/>
  <c r="AC21" i="8"/>
  <c r="AG14" i="8"/>
  <c r="AE20" i="8"/>
  <c r="Q9" i="15" s="1"/>
  <c r="E35" i="8"/>
  <c r="E36" i="8" s="1"/>
  <c r="E33" i="8"/>
  <c r="M35" i="8"/>
  <c r="M36" i="8" s="1"/>
  <c r="O35" i="8"/>
  <c r="O36" i="8" s="1"/>
  <c r="H17" i="9"/>
  <c r="D18" i="15" l="1"/>
  <c r="E12" i="16" s="1"/>
  <c r="E16" i="16" s="1"/>
  <c r="L23" i="16"/>
  <c r="K24" i="16"/>
  <c r="U24" i="16"/>
  <c r="T24" i="16"/>
  <c r="F22" i="9"/>
  <c r="E18" i="15"/>
  <c r="F12" i="16" s="1"/>
  <c r="F16" i="16" s="1"/>
  <c r="L6" i="16"/>
  <c r="E9" i="9"/>
  <c r="E14" i="15" s="1"/>
  <c r="F8" i="16" s="1"/>
  <c r="C10" i="11"/>
  <c r="Q9" i="9"/>
  <c r="AE21" i="8"/>
  <c r="AE48" i="8"/>
  <c r="F14" i="20" s="1"/>
  <c r="AI14" i="8"/>
  <c r="AG20" i="8"/>
  <c r="R9" i="15" s="1"/>
  <c r="Q35" i="8"/>
  <c r="Q36" i="8" s="1"/>
  <c r="J16" i="11"/>
  <c r="I16" i="11"/>
  <c r="I17" i="9"/>
  <c r="P10" i="11" l="1"/>
  <c r="Q14" i="15"/>
  <c r="R8" i="16" s="1"/>
  <c r="R10" i="16" s="1"/>
  <c r="M6" i="16"/>
  <c r="M23" i="16"/>
  <c r="L24" i="16"/>
  <c r="G22" i="9"/>
  <c r="F18" i="15"/>
  <c r="G12" i="16" s="1"/>
  <c r="G16" i="16" s="1"/>
  <c r="F9" i="9"/>
  <c r="F14" i="15" s="1"/>
  <c r="G8" i="16" s="1"/>
  <c r="D10" i="11"/>
  <c r="R9" i="9"/>
  <c r="AK14" i="8"/>
  <c r="AK20" i="8" s="1"/>
  <c r="T9" i="15" s="1"/>
  <c r="AI20" i="8"/>
  <c r="S9" i="15" s="1"/>
  <c r="AG48" i="8"/>
  <c r="G14" i="20" s="1"/>
  <c r="AG21" i="8"/>
  <c r="J17" i="9"/>
  <c r="N6" i="16" l="1"/>
  <c r="Q10" i="11"/>
  <c r="R14" i="15"/>
  <c r="S8" i="16" s="1"/>
  <c r="S10" i="16" s="1"/>
  <c r="H22" i="9"/>
  <c r="G18" i="15"/>
  <c r="H12" i="16" s="1"/>
  <c r="H16" i="16" s="1"/>
  <c r="N23" i="16"/>
  <c r="M24" i="16"/>
  <c r="G9" i="9"/>
  <c r="G14" i="15" s="1"/>
  <c r="H8" i="16" s="1"/>
  <c r="E10" i="11"/>
  <c r="S9" i="9"/>
  <c r="T9" i="9"/>
  <c r="T14" i="15" s="1"/>
  <c r="U8" i="16" s="1"/>
  <c r="U10" i="16" s="1"/>
  <c r="AI21" i="8"/>
  <c r="AI48" i="8"/>
  <c r="H14" i="20" s="1"/>
  <c r="AK21" i="8"/>
  <c r="AK48" i="8"/>
  <c r="I14" i="20" s="1"/>
  <c r="K16" i="11"/>
  <c r="L16" i="11"/>
  <c r="S35" i="8"/>
  <c r="S36" i="8" s="1"/>
  <c r="U35" i="8"/>
  <c r="U36" i="8" s="1"/>
  <c r="K17" i="9"/>
  <c r="R10" i="11" l="1"/>
  <c r="S14" i="15"/>
  <c r="T8" i="16" s="1"/>
  <c r="T10" i="16" s="1"/>
  <c r="O23" i="16"/>
  <c r="O24" i="16" s="1"/>
  <c r="N24" i="16"/>
  <c r="I22" i="9"/>
  <c r="H18" i="15"/>
  <c r="I12" i="16" s="1"/>
  <c r="I16" i="16" s="1"/>
  <c r="O6" i="16"/>
  <c r="H9" i="9"/>
  <c r="H14" i="15" s="1"/>
  <c r="I8" i="16" s="1"/>
  <c r="F10" i="11"/>
  <c r="S10" i="11"/>
  <c r="W35" i="8"/>
  <c r="W36" i="8" s="1"/>
  <c r="L17" i="9"/>
  <c r="J22" i="9" l="1"/>
  <c r="I18" i="15"/>
  <c r="J12" i="16" s="1"/>
  <c r="J16" i="16" s="1"/>
  <c r="I9" i="9"/>
  <c r="I14" i="15" s="1"/>
  <c r="J8" i="16" s="1"/>
  <c r="G10" i="11"/>
  <c r="O13" i="9"/>
  <c r="M17" i="9"/>
  <c r="K22" i="9" l="1"/>
  <c r="J18" i="15"/>
  <c r="K12" i="16" s="1"/>
  <c r="K16" i="16" s="1"/>
  <c r="J9" i="9"/>
  <c r="J14" i="15" s="1"/>
  <c r="K8" i="16" s="1"/>
  <c r="H10" i="11"/>
  <c r="Y35" i="8"/>
  <c r="Y36" i="8" s="1"/>
  <c r="M16" i="11"/>
  <c r="L22" i="9" l="1"/>
  <c r="K18" i="15"/>
  <c r="L12" i="16" s="1"/>
  <c r="L16" i="16" s="1"/>
  <c r="K9" i="9"/>
  <c r="K14" i="15" s="1"/>
  <c r="L8" i="16" s="1"/>
  <c r="I10" i="11"/>
  <c r="N7" i="11"/>
  <c r="N16" i="11"/>
  <c r="O15" i="9"/>
  <c r="O17" i="9" s="1"/>
  <c r="O14" i="9"/>
  <c r="M22" i="9" l="1"/>
  <c r="L18" i="15"/>
  <c r="M12" i="16" s="1"/>
  <c r="M16" i="16" s="1"/>
  <c r="L9" i="9"/>
  <c r="L14" i="15" s="1"/>
  <c r="M8" i="16" s="1"/>
  <c r="J10" i="11"/>
  <c r="O16" i="11"/>
  <c r="N17" i="9"/>
  <c r="N22" i="9" l="1"/>
  <c r="N18" i="15" s="1"/>
  <c r="O12" i="16" s="1"/>
  <c r="O16" i="16" s="1"/>
  <c r="M18" i="15"/>
  <c r="N12" i="16" s="1"/>
  <c r="N16" i="16" s="1"/>
  <c r="M9" i="9"/>
  <c r="M14" i="15" s="1"/>
  <c r="N8" i="16" s="1"/>
  <c r="K10" i="11"/>
  <c r="P16" i="11"/>
  <c r="Q16" i="11"/>
  <c r="N9" i="9" l="1"/>
  <c r="N14" i="15" s="1"/>
  <c r="O8" i="16" s="1"/>
  <c r="L10" i="11"/>
  <c r="S16" i="11"/>
  <c r="M10" i="11" l="1"/>
  <c r="O9" i="9"/>
  <c r="O14" i="15" s="1"/>
  <c r="P8" i="16" s="1"/>
  <c r="R16" i="11"/>
  <c r="N10" i="11" l="1"/>
  <c r="O10" i="11"/>
  <c r="G23" i="11"/>
  <c r="K23" i="11"/>
  <c r="I23" i="11"/>
  <c r="H23" i="11"/>
  <c r="L23" i="11"/>
  <c r="J23" i="11"/>
  <c r="C27" i="9"/>
  <c r="C30" i="9" s="1"/>
  <c r="F23" i="11" l="1"/>
  <c r="D23" i="11"/>
  <c r="C23" i="11"/>
  <c r="E23" i="11"/>
  <c r="M23" i="11"/>
  <c r="W38" i="8"/>
  <c r="O38" i="8"/>
  <c r="S38" i="8"/>
  <c r="O39" i="8" l="1"/>
  <c r="O40" i="8" s="1"/>
  <c r="O42" i="8" s="1"/>
  <c r="H6" i="11" s="1"/>
  <c r="S39" i="8"/>
  <c r="S40" i="8" s="1"/>
  <c r="S42" i="8" s="1"/>
  <c r="J6" i="11" s="1"/>
  <c r="W39" i="8"/>
  <c r="W40" i="8" s="1"/>
  <c r="W42" i="8" s="1"/>
  <c r="B23" i="11"/>
  <c r="K38" i="8"/>
  <c r="F23" i="9"/>
  <c r="I38" i="8"/>
  <c r="D23" i="9"/>
  <c r="E38" i="8"/>
  <c r="G38" i="8"/>
  <c r="J23" i="9"/>
  <c r="Q38" i="8"/>
  <c r="Y38" i="8"/>
  <c r="M38" i="8"/>
  <c r="H23" i="9"/>
  <c r="L23" i="9"/>
  <c r="U38" i="8"/>
  <c r="M39" i="8" l="1"/>
  <c r="M40" i="8" s="1"/>
  <c r="M42" i="8" s="1"/>
  <c r="G6" i="11" s="1"/>
  <c r="E39" i="8"/>
  <c r="E40" i="8" s="1"/>
  <c r="E42" i="8" s="1"/>
  <c r="C6" i="11" s="1"/>
  <c r="K39" i="8"/>
  <c r="K40" i="8" s="1"/>
  <c r="K42" i="8" s="1"/>
  <c r="F6" i="11" s="1"/>
  <c r="G39" i="8"/>
  <c r="G40" i="8" s="1"/>
  <c r="G42" i="8" s="1"/>
  <c r="D6" i="11" s="1"/>
  <c r="Q39" i="8"/>
  <c r="Q40" i="8" s="1"/>
  <c r="Q42" i="8" s="1"/>
  <c r="I6" i="11" s="1"/>
  <c r="L6" i="11"/>
  <c r="I39" i="8"/>
  <c r="I40" i="8" s="1"/>
  <c r="I42" i="8" s="1"/>
  <c r="E6" i="11" s="1"/>
  <c r="U39" i="8"/>
  <c r="U40" i="8" s="1"/>
  <c r="U42" i="8" s="1"/>
  <c r="Y39" i="8"/>
  <c r="Y40" i="8" s="1"/>
  <c r="Y42" i="8" s="1"/>
  <c r="O44" i="8"/>
  <c r="S44" i="8"/>
  <c r="W44" i="8"/>
  <c r="D27" i="9"/>
  <c r="D30" i="9" s="1"/>
  <c r="K6" i="11" l="1"/>
  <c r="E44" i="8"/>
  <c r="I44" i="8"/>
  <c r="Q44" i="8"/>
  <c r="U44" i="8"/>
  <c r="K44" i="8"/>
  <c r="M44" i="8"/>
  <c r="M6" i="11"/>
  <c r="G44" i="8"/>
  <c r="Y44" i="8" l="1"/>
  <c r="E27" i="9"/>
  <c r="E30" i="9" s="1"/>
  <c r="D31" i="9"/>
  <c r="N23" i="9" l="1"/>
  <c r="F27" i="9" l="1"/>
  <c r="F30" i="9" s="1"/>
  <c r="F31" i="9" l="1"/>
  <c r="G27" i="9"/>
  <c r="G30" i="9" s="1"/>
  <c r="H27" i="9" l="1"/>
  <c r="H30" i="9" s="1"/>
  <c r="H31" i="9" l="1"/>
  <c r="I27" i="9"/>
  <c r="I30" i="9" s="1"/>
  <c r="J27" i="9" l="1"/>
  <c r="J30" i="9" s="1"/>
  <c r="K27" i="9" l="1"/>
  <c r="K30" i="9" s="1"/>
  <c r="J31" i="9"/>
  <c r="L27" i="9" l="1"/>
  <c r="L30" i="9" s="1"/>
  <c r="M27" i="9" l="1"/>
  <c r="M30" i="9" s="1"/>
  <c r="L31" i="9"/>
  <c r="N27" i="9" l="1"/>
  <c r="N30" i="9" s="1"/>
  <c r="N31" i="9" l="1"/>
  <c r="P15" i="9" l="1"/>
  <c r="P17" i="9" s="1"/>
  <c r="Q15" i="9" l="1"/>
  <c r="Q17" i="9" s="1"/>
  <c r="R15" i="9" l="1"/>
  <c r="R17" i="9" s="1"/>
  <c r="S15" i="9" l="1"/>
  <c r="S17" i="9" s="1"/>
  <c r="T15" i="9" l="1"/>
  <c r="T17" i="9" s="1"/>
  <c r="C52" i="8" l="1"/>
  <c r="AC52" i="8" s="1"/>
  <c r="C8" i="9"/>
  <c r="C54" i="8"/>
  <c r="AC54" i="8" s="1"/>
  <c r="C51" i="8"/>
  <c r="AC51" i="8" s="1"/>
  <c r="C50" i="8"/>
  <c r="AC50" i="8" s="1"/>
  <c r="C49" i="8"/>
  <c r="AC49" i="8" s="1"/>
  <c r="C53" i="8"/>
  <c r="AC53" i="8" s="1"/>
  <c r="D8" i="9" l="1"/>
  <c r="E8" i="9" s="1"/>
  <c r="C13" i="15"/>
  <c r="D7" i="16" s="1"/>
  <c r="D10" i="16" s="1"/>
  <c r="D17" i="16" s="1"/>
  <c r="B9" i="11"/>
  <c r="C9" i="11"/>
  <c r="B8" i="11"/>
  <c r="C23" i="9"/>
  <c r="C8" i="11" l="1"/>
  <c r="C11" i="11" s="1"/>
  <c r="D13" i="15"/>
  <c r="E7" i="16" s="1"/>
  <c r="E10" i="16" s="1"/>
  <c r="E17" i="16" s="1"/>
  <c r="E20" i="16" s="1"/>
  <c r="D18" i="16"/>
  <c r="D20" i="16"/>
  <c r="F8" i="9"/>
  <c r="E8" i="11" s="1"/>
  <c r="E13" i="15"/>
  <c r="F7" i="16" s="1"/>
  <c r="F10" i="16" s="1"/>
  <c r="F17" i="16" s="1"/>
  <c r="C31" i="9"/>
  <c r="E9" i="11"/>
  <c r="D9" i="11"/>
  <c r="D8" i="11"/>
  <c r="E23" i="9"/>
  <c r="E31" i="9" s="1"/>
  <c r="C35" i="8"/>
  <c r="C36" i="8" s="1"/>
  <c r="C33" i="8"/>
  <c r="E18" i="16" l="1"/>
  <c r="E21" i="16"/>
  <c r="E26" i="16" s="1"/>
  <c r="F20" i="16"/>
  <c r="F21" i="16" s="1"/>
  <c r="F26" i="16" s="1"/>
  <c r="F18" i="16"/>
  <c r="C25" i="11"/>
  <c r="C28" i="11"/>
  <c r="G8" i="9"/>
  <c r="F8" i="11" s="1"/>
  <c r="F13" i="15"/>
  <c r="G7" i="16" s="1"/>
  <c r="G10" i="16" s="1"/>
  <c r="G17" i="16" s="1"/>
  <c r="D11" i="11"/>
  <c r="E11" i="11"/>
  <c r="G9" i="11"/>
  <c r="F9" i="11"/>
  <c r="C38" i="8"/>
  <c r="G23" i="9"/>
  <c r="G20" i="16" l="1"/>
  <c r="G21" i="16" s="1"/>
  <c r="G26" i="16" s="1"/>
  <c r="G18" i="16"/>
  <c r="E25" i="11"/>
  <c r="E28" i="11"/>
  <c r="D25" i="11"/>
  <c r="D28" i="11"/>
  <c r="C39" i="8"/>
  <c r="C40" i="8" s="1"/>
  <c r="C42" i="8" s="1"/>
  <c r="H8" i="9"/>
  <c r="G13" i="15"/>
  <c r="H7" i="16" s="1"/>
  <c r="H10" i="16" s="1"/>
  <c r="H17" i="16" s="1"/>
  <c r="G31" i="9"/>
  <c r="F11" i="11"/>
  <c r="H9" i="11"/>
  <c r="I9" i="11"/>
  <c r="I23" i="9"/>
  <c r="I31" i="9" s="1"/>
  <c r="H20" i="16" l="1"/>
  <c r="H21" i="16" s="1"/>
  <c r="H26" i="16" s="1"/>
  <c r="H18" i="16"/>
  <c r="F25" i="11"/>
  <c r="F28" i="11"/>
  <c r="I8" i="9"/>
  <c r="H13" i="15"/>
  <c r="I7" i="16" s="1"/>
  <c r="I10" i="16" s="1"/>
  <c r="I17" i="16" s="1"/>
  <c r="G8" i="11"/>
  <c r="G11" i="11" s="1"/>
  <c r="J9" i="11"/>
  <c r="K9" i="11"/>
  <c r="K23" i="9"/>
  <c r="K31" i="9" s="1"/>
  <c r="I20" i="16" l="1"/>
  <c r="I21" i="16" s="1"/>
  <c r="I26" i="16" s="1"/>
  <c r="I18" i="16"/>
  <c r="G25" i="11"/>
  <c r="G28" i="11"/>
  <c r="J8" i="9"/>
  <c r="I13" i="15"/>
  <c r="J7" i="16" s="1"/>
  <c r="J10" i="16" s="1"/>
  <c r="J17" i="16" s="1"/>
  <c r="H8" i="11"/>
  <c r="H11" i="11" s="1"/>
  <c r="C34" i="9"/>
  <c r="B6" i="11"/>
  <c r="M23" i="9"/>
  <c r="M31" i="9" s="1"/>
  <c r="M9" i="11"/>
  <c r="L9" i="11"/>
  <c r="C44" i="8"/>
  <c r="J20" i="16" l="1"/>
  <c r="J21" i="16" s="1"/>
  <c r="J26" i="16" s="1"/>
  <c r="J18" i="16"/>
  <c r="H25" i="11"/>
  <c r="H28" i="11"/>
  <c r="K8" i="9"/>
  <c r="J13" i="15"/>
  <c r="K7" i="16" s="1"/>
  <c r="K10" i="16" s="1"/>
  <c r="K17" i="16" s="1"/>
  <c r="I8" i="11"/>
  <c r="I11" i="11" s="1"/>
  <c r="B11" i="11"/>
  <c r="C36" i="9"/>
  <c r="D34" i="9"/>
  <c r="K20" i="16" l="1"/>
  <c r="K21" i="16" s="1"/>
  <c r="K26" i="16" s="1"/>
  <c r="K18" i="16"/>
  <c r="B25" i="11"/>
  <c r="B27" i="11" s="1"/>
  <c r="C7" i="9" s="1"/>
  <c r="B28" i="11"/>
  <c r="I25" i="11"/>
  <c r="I28" i="11"/>
  <c r="L8" i="9"/>
  <c r="K13" i="15"/>
  <c r="L7" i="16" s="1"/>
  <c r="L10" i="16" s="1"/>
  <c r="L17" i="16" s="1"/>
  <c r="J8" i="11"/>
  <c r="J11" i="11" s="1"/>
  <c r="C37" i="9"/>
  <c r="D36" i="9"/>
  <c r="D37" i="9" s="1"/>
  <c r="E34" i="9"/>
  <c r="L20" i="16" l="1"/>
  <c r="L21" i="16" s="1"/>
  <c r="L26" i="16" s="1"/>
  <c r="L18" i="16"/>
  <c r="J25" i="11"/>
  <c r="J28" i="11"/>
  <c r="M8" i="9"/>
  <c r="L13" i="15"/>
  <c r="M7" i="16" s="1"/>
  <c r="M10" i="16" s="1"/>
  <c r="M17" i="16" s="1"/>
  <c r="K8" i="11"/>
  <c r="K11" i="11" s="1"/>
  <c r="C26" i="11"/>
  <c r="C27" i="11" s="1"/>
  <c r="D26" i="11" s="1"/>
  <c r="D27" i="11" s="1"/>
  <c r="E26" i="11" s="1"/>
  <c r="E27" i="11" s="1"/>
  <c r="C10" i="9"/>
  <c r="F34" i="9"/>
  <c r="E36" i="9"/>
  <c r="E37" i="9" s="1"/>
  <c r="M20" i="16" l="1"/>
  <c r="M21" i="16" s="1"/>
  <c r="M26" i="16" s="1"/>
  <c r="M18" i="16"/>
  <c r="K25" i="11"/>
  <c r="K28" i="11"/>
  <c r="N8" i="9"/>
  <c r="M13" i="15"/>
  <c r="N7" i="16" s="1"/>
  <c r="N10" i="16" s="1"/>
  <c r="N17" i="16" s="1"/>
  <c r="L8" i="11"/>
  <c r="L11" i="11" s="1"/>
  <c r="C18" i="9"/>
  <c r="E7" i="9"/>
  <c r="E10" i="9" s="1"/>
  <c r="E18" i="9" s="1"/>
  <c r="E39" i="9" s="1"/>
  <c r="D7" i="9"/>
  <c r="G34" i="9"/>
  <c r="F36" i="9"/>
  <c r="F37" i="9" s="1"/>
  <c r="F26" i="11"/>
  <c r="F27" i="11" s="1"/>
  <c r="F7" i="9"/>
  <c r="F10" i="9" s="1"/>
  <c r="F18" i="9" s="1"/>
  <c r="N20" i="16" l="1"/>
  <c r="N21" i="16" s="1"/>
  <c r="N26" i="16" s="1"/>
  <c r="N18" i="16"/>
  <c r="L25" i="11"/>
  <c r="L28" i="11"/>
  <c r="O8" i="9"/>
  <c r="N13" i="15"/>
  <c r="O7" i="16" s="1"/>
  <c r="O10" i="16" s="1"/>
  <c r="O17" i="16" s="1"/>
  <c r="M8" i="11"/>
  <c r="M11" i="11" s="1"/>
  <c r="F39" i="9"/>
  <c r="C39" i="9"/>
  <c r="D10" i="9"/>
  <c r="H34" i="9"/>
  <c r="G36" i="9"/>
  <c r="G37" i="9" s="1"/>
  <c r="G26" i="11"/>
  <c r="G27" i="11" s="1"/>
  <c r="G7" i="9"/>
  <c r="G10" i="9" s="1"/>
  <c r="G18" i="9" s="1"/>
  <c r="O20" i="16" l="1"/>
  <c r="O21" i="16" s="1"/>
  <c r="O26" i="16" s="1"/>
  <c r="O18" i="16"/>
  <c r="M25" i="11"/>
  <c r="M28" i="11"/>
  <c r="O13" i="15"/>
  <c r="P7" i="16" s="1"/>
  <c r="P10" i="16" s="1"/>
  <c r="N8" i="11"/>
  <c r="O8" i="11"/>
  <c r="D18" i="9"/>
  <c r="G39" i="9"/>
  <c r="I34" i="9"/>
  <c r="H36" i="9"/>
  <c r="H26" i="11"/>
  <c r="H27" i="11" s="1"/>
  <c r="H7" i="9"/>
  <c r="H10" i="9" s="1"/>
  <c r="H18" i="9" s="1"/>
  <c r="H37" i="9" l="1"/>
  <c r="H39" i="9" s="1"/>
  <c r="D39" i="9"/>
  <c r="I36" i="9"/>
  <c r="I37" i="9" s="1"/>
  <c r="J34" i="9"/>
  <c r="I26" i="11"/>
  <c r="I27" i="11" s="1"/>
  <c r="I7" i="9"/>
  <c r="I10" i="9" s="1"/>
  <c r="I18" i="9" s="1"/>
  <c r="I39" i="9" l="1"/>
  <c r="K34" i="9"/>
  <c r="J36" i="9"/>
  <c r="J37" i="9" s="1"/>
  <c r="J26" i="11"/>
  <c r="J27" i="11" s="1"/>
  <c r="J7" i="9"/>
  <c r="J10" i="9" s="1"/>
  <c r="J18" i="9" s="1"/>
  <c r="J39" i="9" l="1"/>
  <c r="K36" i="9"/>
  <c r="K37" i="9" s="1"/>
  <c r="L34" i="9"/>
  <c r="K26" i="11"/>
  <c r="K27" i="11" s="1"/>
  <c r="K7" i="9"/>
  <c r="K10" i="9" s="1"/>
  <c r="K18" i="9" s="1"/>
  <c r="K39" i="9" l="1"/>
  <c r="M34" i="9"/>
  <c r="L36" i="9"/>
  <c r="L37" i="9" s="1"/>
  <c r="L26" i="11"/>
  <c r="L27" i="11" s="1"/>
  <c r="L7" i="9"/>
  <c r="L10" i="9" s="1"/>
  <c r="L18" i="9" s="1"/>
  <c r="L39" i="9" l="1"/>
  <c r="M36" i="9"/>
  <c r="M37" i="9" s="1"/>
  <c r="N34" i="9"/>
  <c r="M26" i="11"/>
  <c r="M7" i="9"/>
  <c r="M10" i="9" s="1"/>
  <c r="M18" i="9" s="1"/>
  <c r="N36" i="9" l="1"/>
  <c r="M27" i="11"/>
  <c r="M39" i="9"/>
  <c r="N37" i="9" l="1"/>
  <c r="N7" i="9"/>
  <c r="N10" i="9" l="1"/>
  <c r="N18" i="9" l="1"/>
  <c r="N39" i="9" l="1"/>
  <c r="AC27" i="8" l="1"/>
  <c r="AE27" i="8" s="1"/>
  <c r="AG27" i="8" s="1"/>
  <c r="AI27" i="8" s="1"/>
  <c r="AK27" i="8" s="1"/>
  <c r="AC30" i="8"/>
  <c r="AE30" i="8" s="1"/>
  <c r="AG30" i="8" s="1"/>
  <c r="AI30" i="8" s="1"/>
  <c r="AK30" i="8" s="1"/>
  <c r="AC28" i="8"/>
  <c r="AE28" i="8" s="1"/>
  <c r="AG28" i="8" s="1"/>
  <c r="AI28" i="8" s="1"/>
  <c r="AK28" i="8" s="1"/>
  <c r="AC29" i="8"/>
  <c r="AE26" i="8"/>
  <c r="AG26" i="8" s="1"/>
  <c r="AI26" i="8" s="1"/>
  <c r="AK26" i="8" s="1"/>
  <c r="AA31" i="8"/>
  <c r="AA32" i="8" s="1"/>
  <c r="AE25" i="8"/>
  <c r="AC31" i="8" l="1"/>
  <c r="AC32" i="8" s="1"/>
  <c r="O22" i="9"/>
  <c r="AE29" i="8"/>
  <c r="AG29" i="8" s="1"/>
  <c r="AI29" i="8" s="1"/>
  <c r="AK29" i="8" s="1"/>
  <c r="AA35" i="8"/>
  <c r="AA33" i="8"/>
  <c r="AG25" i="8"/>
  <c r="P22" i="9" l="1"/>
  <c r="P18" i="15" s="1"/>
  <c r="Q12" i="16" s="1"/>
  <c r="Q16" i="16" s="1"/>
  <c r="Q17" i="16" s="1"/>
  <c r="AE31" i="8"/>
  <c r="AE32" i="8" s="1"/>
  <c r="O23" i="9"/>
  <c r="O31" i="9" s="1"/>
  <c r="O18" i="15"/>
  <c r="P12" i="16" s="1"/>
  <c r="P16" i="16" s="1"/>
  <c r="P17" i="16" s="1"/>
  <c r="N9" i="11"/>
  <c r="AI25" i="8"/>
  <c r="AG31" i="8"/>
  <c r="AA36" i="8"/>
  <c r="AA38" i="8"/>
  <c r="AC33" i="8"/>
  <c r="AC35" i="8"/>
  <c r="Q22" i="9" l="1"/>
  <c r="Q18" i="15" s="1"/>
  <c r="R12" i="16" s="1"/>
  <c r="R16" i="16" s="1"/>
  <c r="R17" i="16" s="1"/>
  <c r="P23" i="9"/>
  <c r="P31" i="9" s="1"/>
  <c r="O9" i="11"/>
  <c r="AA39" i="8"/>
  <c r="AA40" i="8" s="1"/>
  <c r="AG32" i="8"/>
  <c r="R22" i="9"/>
  <c r="AE33" i="8"/>
  <c r="AE35" i="8"/>
  <c r="P20" i="16"/>
  <c r="P18" i="16"/>
  <c r="Q18" i="16"/>
  <c r="Q20" i="16"/>
  <c r="AI31" i="8"/>
  <c r="AK25" i="8"/>
  <c r="AK31" i="8" s="1"/>
  <c r="AC38" i="8"/>
  <c r="AC36" i="8"/>
  <c r="P9" i="11" l="1"/>
  <c r="Q23" i="9"/>
  <c r="Q31" i="9" s="1"/>
  <c r="T22" i="9"/>
  <c r="AK32" i="8"/>
  <c r="AG33" i="8"/>
  <c r="AG35" i="8"/>
  <c r="Q21" i="16"/>
  <c r="Q26" i="16" s="1"/>
  <c r="AE36" i="8"/>
  <c r="AE38" i="8"/>
  <c r="N6" i="11"/>
  <c r="AA41" i="8"/>
  <c r="N21" i="11" s="1"/>
  <c r="N23" i="11" s="1"/>
  <c r="AA44" i="8"/>
  <c r="D15" i="20" s="1"/>
  <c r="R18" i="15"/>
  <c r="S12" i="16" s="1"/>
  <c r="S16" i="16" s="1"/>
  <c r="S17" i="16" s="1"/>
  <c r="R23" i="9"/>
  <c r="R31" i="9" s="1"/>
  <c r="Q9" i="11"/>
  <c r="AI32" i="8"/>
  <c r="S22" i="9"/>
  <c r="R18" i="16"/>
  <c r="R20" i="16"/>
  <c r="R21" i="16" s="1"/>
  <c r="R26" i="16" s="1"/>
  <c r="AC39" i="8"/>
  <c r="AC40" i="8" s="1"/>
  <c r="AA42" i="8" l="1"/>
  <c r="O34" i="9" s="1"/>
  <c r="O36" i="9" s="1"/>
  <c r="O37" i="9" s="1"/>
  <c r="AC44" i="8"/>
  <c r="E15" i="20" s="1"/>
  <c r="AC41" i="8"/>
  <c r="O21" i="11" s="1"/>
  <c r="O23" i="11" s="1"/>
  <c r="O6" i="11"/>
  <c r="AE39" i="8"/>
  <c r="AE40" i="8" s="1"/>
  <c r="AK35" i="8"/>
  <c r="AK33" i="8"/>
  <c r="S23" i="9"/>
  <c r="S31" i="9" s="1"/>
  <c r="R9" i="11"/>
  <c r="S18" i="15"/>
  <c r="T12" i="16" s="1"/>
  <c r="T16" i="16" s="1"/>
  <c r="T17" i="16" s="1"/>
  <c r="S18" i="16"/>
  <c r="S20" i="16"/>
  <c r="S21" i="16" s="1"/>
  <c r="S26" i="16" s="1"/>
  <c r="AG36" i="8"/>
  <c r="AG38" i="8"/>
  <c r="AI33" i="8"/>
  <c r="AI35" i="8"/>
  <c r="N11" i="11"/>
  <c r="N28" i="11" s="1"/>
  <c r="C10" i="17" s="1"/>
  <c r="D13" i="20" s="1"/>
  <c r="C7" i="17"/>
  <c r="D7" i="20" s="1"/>
  <c r="D18" i="20" s="1"/>
  <c r="S9" i="11"/>
  <c r="T23" i="9"/>
  <c r="T31" i="9" s="1"/>
  <c r="T18" i="15"/>
  <c r="U12" i="16" s="1"/>
  <c r="U16" i="16" s="1"/>
  <c r="U17" i="16" s="1"/>
  <c r="P6" i="11" l="1"/>
  <c r="AE41" i="8"/>
  <c r="P21" i="11" s="1"/>
  <c r="P23" i="11" s="1"/>
  <c r="AE44" i="8"/>
  <c r="F15" i="20" s="1"/>
  <c r="AG39" i="8"/>
  <c r="AG40" i="8" s="1"/>
  <c r="T18" i="16"/>
  <c r="T20" i="16"/>
  <c r="T21" i="16" s="1"/>
  <c r="T26" i="16" s="1"/>
  <c r="AK38" i="8"/>
  <c r="AK36" i="8"/>
  <c r="O11" i="11"/>
  <c r="O28" i="11" s="1"/>
  <c r="D10" i="17" s="1"/>
  <c r="E13" i="20" s="1"/>
  <c r="D7" i="17"/>
  <c r="E7" i="20" s="1"/>
  <c r="U18" i="16"/>
  <c r="U20" i="16"/>
  <c r="N25" i="11"/>
  <c r="N27" i="11" s="1"/>
  <c r="D12" i="20" s="1"/>
  <c r="AI36" i="8"/>
  <c r="AI38" i="8"/>
  <c r="AC42" i="8"/>
  <c r="P34" i="9" s="1"/>
  <c r="P36" i="9" s="1"/>
  <c r="P37" i="9" s="1"/>
  <c r="E18" i="20" l="1"/>
  <c r="O25" i="11"/>
  <c r="O7" i="9"/>
  <c r="O10" i="9" s="1"/>
  <c r="O18" i="9" s="1"/>
  <c r="O26" i="11"/>
  <c r="AG44" i="8"/>
  <c r="G15" i="20" s="1"/>
  <c r="AG41" i="8"/>
  <c r="Q21" i="11" s="1"/>
  <c r="Q23" i="11" s="1"/>
  <c r="Q6" i="11"/>
  <c r="AE42" i="8"/>
  <c r="Q34" i="9" s="1"/>
  <c r="Q36" i="9" s="1"/>
  <c r="Q37" i="9" s="1"/>
  <c r="AI39" i="8"/>
  <c r="AI40" i="8" s="1"/>
  <c r="AK39" i="8"/>
  <c r="AK40" i="8" s="1"/>
  <c r="U21" i="16"/>
  <c r="U26" i="16" s="1"/>
  <c r="P11" i="11"/>
  <c r="P28" i="11" s="1"/>
  <c r="E10" i="17" s="1"/>
  <c r="F13" i="20" s="1"/>
  <c r="E7" i="17"/>
  <c r="F7" i="20" s="1"/>
  <c r="F18" i="20" l="1"/>
  <c r="O27" i="11"/>
  <c r="AG42" i="8"/>
  <c r="R34" i="9" s="1"/>
  <c r="R36" i="9" s="1"/>
  <c r="R37" i="9" s="1"/>
  <c r="AI44" i="8"/>
  <c r="H15" i="20" s="1"/>
  <c r="R6" i="11"/>
  <c r="AI41" i="8"/>
  <c r="R21" i="11" s="1"/>
  <c r="R23" i="11" s="1"/>
  <c r="AK41" i="8"/>
  <c r="S21" i="11" s="1"/>
  <c r="S23" i="11" s="1"/>
  <c r="AK44" i="8"/>
  <c r="I15" i="20" s="1"/>
  <c r="S6" i="11"/>
  <c r="F7" i="17"/>
  <c r="G7" i="20" s="1"/>
  <c r="Q11" i="11"/>
  <c r="Q28" i="11" s="1"/>
  <c r="F10" i="17" s="1"/>
  <c r="G13" i="20" s="1"/>
  <c r="O39" i="9"/>
  <c r="C8" i="17"/>
  <c r="D9" i="20" s="1"/>
  <c r="C9" i="17"/>
  <c r="D11" i="20" s="1"/>
  <c r="P25" i="11"/>
  <c r="G18" i="20" l="1"/>
  <c r="P7" i="9"/>
  <c r="P10" i="9" s="1"/>
  <c r="P18" i="9" s="1"/>
  <c r="D8" i="17" s="1"/>
  <c r="E9" i="20" s="1"/>
  <c r="E12" i="20"/>
  <c r="Q25" i="11"/>
  <c r="P26" i="11"/>
  <c r="P27" i="11" s="1"/>
  <c r="F12" i="20" s="1"/>
  <c r="AI42" i="8"/>
  <c r="S34" i="9" s="1"/>
  <c r="S36" i="9" s="1"/>
  <c r="S37" i="9" s="1"/>
  <c r="G7" i="17"/>
  <c r="H7" i="20" s="1"/>
  <c r="H18" i="20" s="1"/>
  <c r="R11" i="11"/>
  <c r="R28" i="11" s="1"/>
  <c r="G10" i="17" s="1"/>
  <c r="H13" i="20" s="1"/>
  <c r="S11" i="11"/>
  <c r="S28" i="11" s="1"/>
  <c r="H10" i="17" s="1"/>
  <c r="H7" i="17"/>
  <c r="D9" i="17" l="1"/>
  <c r="E11" i="20" s="1"/>
  <c r="I7" i="17"/>
  <c r="I7" i="20"/>
  <c r="J10" i="17"/>
  <c r="I21" i="20" s="1"/>
  <c r="I13" i="20"/>
  <c r="J13" i="20" s="1"/>
  <c r="P39" i="9"/>
  <c r="Q7" i="9"/>
  <c r="Q10" i="9" s="1"/>
  <c r="Q18" i="9" s="1"/>
  <c r="E9" i="17" s="1"/>
  <c r="F11" i="20" s="1"/>
  <c r="Q26" i="11"/>
  <c r="Q27" i="11" s="1"/>
  <c r="AK42" i="8"/>
  <c r="T34" i="9" s="1"/>
  <c r="T36" i="9" s="1"/>
  <c r="T37" i="9" s="1"/>
  <c r="S25" i="11"/>
  <c r="J7" i="17"/>
  <c r="I20" i="20" s="1"/>
  <c r="R25" i="11"/>
  <c r="B12" i="17"/>
  <c r="I19" i="20" s="1"/>
  <c r="J7" i="20" l="1"/>
  <c r="I18" i="20"/>
  <c r="R7" i="9"/>
  <c r="R10" i="9" s="1"/>
  <c r="R18" i="9" s="1"/>
  <c r="F8" i="17" s="1"/>
  <c r="G9" i="20" s="1"/>
  <c r="G12" i="20"/>
  <c r="R26" i="11"/>
  <c r="R27" i="11" s="1"/>
  <c r="Q39" i="9"/>
  <c r="E8" i="17"/>
  <c r="F9" i="20" s="1"/>
  <c r="R39" i="9" l="1"/>
  <c r="F9" i="17"/>
  <c r="G11" i="20" s="1"/>
  <c r="S7" i="9"/>
  <c r="S10" i="9" s="1"/>
  <c r="S18" i="9" s="1"/>
  <c r="G9" i="17" s="1"/>
  <c r="H11" i="20" s="1"/>
  <c r="H12" i="20"/>
  <c r="S26" i="11"/>
  <c r="S27" i="11" s="1"/>
  <c r="G8" i="17" l="1"/>
  <c r="H9" i="20" s="1"/>
  <c r="S39" i="9"/>
  <c r="T7" i="9"/>
  <c r="T10" i="9" s="1"/>
  <c r="T18" i="9" s="1"/>
  <c r="H8" i="17" s="1"/>
  <c r="I9" i="20" s="1"/>
  <c r="J9" i="20" s="1"/>
  <c r="I12" i="20"/>
  <c r="J12" i="20" s="1"/>
  <c r="T39" i="9" l="1"/>
  <c r="H9" i="17"/>
  <c r="J9" i="17" l="1"/>
  <c r="I11" i="20"/>
  <c r="J11" i="20" s="1"/>
</calcChain>
</file>

<file path=xl/comments1.xml><?xml version="1.0" encoding="utf-8"?>
<comments xmlns="http://schemas.openxmlformats.org/spreadsheetml/2006/main">
  <authors>
    <author>Omar</author>
  </authors>
  <commentList>
    <comment ref="C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O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Q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S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U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W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  <comment ref="Y47" authorId="0" shapeId="0">
      <text>
        <r>
          <rPr>
            <b/>
            <sz val="9"/>
            <color indexed="81"/>
            <rFont val="Tahoma"/>
            <family val="2"/>
          </rPr>
          <t>Omar:</t>
        </r>
        <r>
          <rPr>
            <sz val="9"/>
            <color indexed="81"/>
            <rFont val="Tahoma"/>
            <family val="2"/>
          </rPr>
          <t xml:space="preserve">
NEED TO BE ADJUSTED IF HISTORICL DATA  I</t>
        </r>
      </text>
    </comment>
  </commentList>
</comments>
</file>

<file path=xl/sharedStrings.xml><?xml version="1.0" encoding="utf-8"?>
<sst xmlns="http://schemas.openxmlformats.org/spreadsheetml/2006/main" count="422" uniqueCount="245">
  <si>
    <t>SHAREHOLDERS’ EQUITY</t>
  </si>
  <si>
    <t>Total Liabilities</t>
  </si>
  <si>
    <t>Total Non Current Liabilities</t>
  </si>
  <si>
    <t>Long-term debt</t>
  </si>
  <si>
    <t>Non Current Liabilities:</t>
  </si>
  <si>
    <t>Total Current Liabilities</t>
  </si>
  <si>
    <t>Current liabilities :</t>
  </si>
  <si>
    <t>Liabilities:</t>
  </si>
  <si>
    <t>Total Assets</t>
  </si>
  <si>
    <t>Property, plant and equipment</t>
  </si>
  <si>
    <t>Non Current Assets:</t>
  </si>
  <si>
    <t>Total Current Assets</t>
  </si>
  <si>
    <t>Current Assets:</t>
  </si>
  <si>
    <t>Assets:</t>
  </si>
  <si>
    <t>BALANCE SHEET</t>
  </si>
  <si>
    <t>INCOME STATEMENT</t>
  </si>
  <si>
    <t>Total Revenues</t>
  </si>
  <si>
    <t>EBITDA</t>
  </si>
  <si>
    <t>EBITDA Margin</t>
  </si>
  <si>
    <t>EBIT</t>
  </si>
  <si>
    <t>EBIT Margin</t>
  </si>
  <si>
    <t>Finance Costs</t>
  </si>
  <si>
    <t>EBT</t>
  </si>
  <si>
    <t>Tax Expenses</t>
  </si>
  <si>
    <t>Net Income</t>
  </si>
  <si>
    <t>Net Income Margin</t>
  </si>
  <si>
    <t>PRIMARY ASSUMPTIONS</t>
  </si>
  <si>
    <t>COGS (as a % of Revenues)</t>
  </si>
  <si>
    <t>CASH FLOW STATEMENT</t>
  </si>
  <si>
    <t>Operating activities:</t>
  </si>
  <si>
    <t>Net income</t>
  </si>
  <si>
    <t>Cash flow from operations:</t>
  </si>
  <si>
    <t>Cash flow from investing:</t>
  </si>
  <si>
    <t>Financing activities:</t>
  </si>
  <si>
    <t>Issuance of long term debt</t>
  </si>
  <si>
    <t>(Repayment of long term debt)</t>
  </si>
  <si>
    <t>Net change in cash:</t>
  </si>
  <si>
    <t>Beginning cash balance</t>
  </si>
  <si>
    <t>Ending cash balance</t>
  </si>
  <si>
    <t xml:space="preserve">Voulme </t>
  </si>
  <si>
    <t xml:space="preserve">Cost of Goods Sold </t>
  </si>
  <si>
    <t>Total COGS</t>
  </si>
  <si>
    <t xml:space="preserve">Operating Expenses </t>
  </si>
  <si>
    <t xml:space="preserve">Salaries </t>
  </si>
  <si>
    <t xml:space="preserve">Rent </t>
  </si>
  <si>
    <t>Marketing</t>
  </si>
  <si>
    <t>Utilities</t>
  </si>
  <si>
    <t>Miscellaneous</t>
  </si>
  <si>
    <t xml:space="preserve">Total  operating expense </t>
  </si>
  <si>
    <t>Salaries  (as a % of Revenues)</t>
  </si>
  <si>
    <t>Rent  (as a % of Revenues)</t>
  </si>
  <si>
    <t>Marketing (as a % of Revenues)</t>
  </si>
  <si>
    <t>Utilities (as a % of Revenues)</t>
  </si>
  <si>
    <t>legal, insurance, license (as a % of Revenues)</t>
  </si>
  <si>
    <t>Miscellaneous (as a % of Revenues)</t>
  </si>
  <si>
    <t xml:space="preserve">Retained Earnings </t>
  </si>
  <si>
    <t>Additional Paid in Capital</t>
  </si>
  <si>
    <t>Revenue</t>
  </si>
  <si>
    <t xml:space="preserve">Investing activities: LONG TERM ASSETS </t>
  </si>
  <si>
    <t xml:space="preserve">CHANGE Accounts receivable </t>
  </si>
  <si>
    <t>CHANGE Accounts payable</t>
  </si>
  <si>
    <t>Blalnce Check</t>
  </si>
  <si>
    <t xml:space="preserve">ACUM DEP </t>
  </si>
  <si>
    <t xml:space="preserve">NET    </t>
  </si>
  <si>
    <t xml:space="preserve">Cash and cash equivalents </t>
  </si>
  <si>
    <t>Total long term Assets</t>
  </si>
  <si>
    <t xml:space="preserve">Cash flow from financing activities: 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</si>
  <si>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</si>
  <si>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</si>
  <si>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</si>
  <si>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</si>
  <si>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</si>
  <si>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</si>
  <si>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</si>
  <si>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</si>
  <si>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</si>
  <si>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</si>
  <si>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</si>
  <si>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</si>
  <si>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JAN </t>
  </si>
  <si>
    <t xml:space="preserve">NET LONG TERM DEBT </t>
  </si>
  <si>
    <t>Total</t>
  </si>
  <si>
    <t>Unit Price</t>
  </si>
  <si>
    <t>Unit Cost</t>
  </si>
  <si>
    <t>ANNUAL INCOME STATEMENT</t>
  </si>
  <si>
    <t>Annual Cost</t>
  </si>
  <si>
    <t>Admisrtation costs</t>
  </si>
  <si>
    <t>YoY Growth</t>
  </si>
  <si>
    <t>GROSS PROFIT</t>
  </si>
  <si>
    <t>Legal, insurance, license</t>
  </si>
  <si>
    <t>Depreciation and Amortisation</t>
  </si>
  <si>
    <t>Revenues Growth</t>
  </si>
  <si>
    <t>Full Year</t>
  </si>
  <si>
    <t>2019</t>
  </si>
  <si>
    <t>2020</t>
  </si>
  <si>
    <t>2021</t>
  </si>
  <si>
    <t>Depreciation</t>
  </si>
  <si>
    <t>Period</t>
  </si>
  <si>
    <t>ANNUAL CASHFLOW STATEMENTS</t>
  </si>
  <si>
    <t>2016 MONTHLY CASHFLOW</t>
  </si>
  <si>
    <t>Capital expenditure - PPE</t>
  </si>
  <si>
    <t>Property, Plant &amp; Equipment Schedule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</si>
  <si>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</si>
  <si>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</si>
  <si>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</si>
  <si>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</si>
  <si>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</si>
  <si>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</si>
  <si>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</si>
  <si>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</si>
  <si>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</si>
  <si>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</si>
  <si>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</si>
  <si>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</si>
  <si>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PPE at Cost</t>
  </si>
  <si>
    <t>Opening Balance</t>
  </si>
  <si>
    <t>Additions during the period</t>
  </si>
  <si>
    <t>Disposals duing the period</t>
  </si>
  <si>
    <t>Total PPE at Cost</t>
  </si>
  <si>
    <t>Charge for the period</t>
  </si>
  <si>
    <t>Accum. depr'n on disposals</t>
  </si>
  <si>
    <t>Accumulated Depreciation</t>
  </si>
  <si>
    <t>Written Down Value of PPE</t>
  </si>
  <si>
    <t>Property, Plant and Equipment Workings</t>
  </si>
  <si>
    <t>Item #</t>
  </si>
  <si>
    <t>Item Description</t>
  </si>
  <si>
    <t>Purchase Price</t>
  </si>
  <si>
    <t>Year Purchased</t>
  </si>
  <si>
    <t>Month Purchased</t>
  </si>
  <si>
    <t>Useful Life</t>
  </si>
  <si>
    <t>Residual Value</t>
  </si>
  <si>
    <t>Depreciable Value</t>
  </si>
  <si>
    <t>Capex</t>
  </si>
  <si>
    <t>2016 Monthly Additions</t>
  </si>
  <si>
    <t>2016 Monthly Depreciation Charge</t>
  </si>
  <si>
    <t>Years</t>
  </si>
  <si>
    <t>Months</t>
  </si>
  <si>
    <t>Depr'n</t>
  </si>
  <si>
    <t>Cost</t>
  </si>
  <si>
    <t>TOTAL</t>
  </si>
  <si>
    <t>Accounts payable (% of COGS &amp; Opex)</t>
  </si>
  <si>
    <t>Accounts receivable (% of Sales)</t>
  </si>
  <si>
    <t>Repayment</t>
  </si>
  <si>
    <t>Year Borrowed</t>
  </si>
  <si>
    <t>Month Borrowed</t>
  </si>
  <si>
    <t>Loan Life</t>
  </si>
  <si>
    <t>2016 Monthly Pricipal Repayments</t>
  </si>
  <si>
    <t>2016 Monthly Commission Charge</t>
  </si>
  <si>
    <t>Commission</t>
  </si>
  <si>
    <t>Rate</t>
  </si>
  <si>
    <t>Amount</t>
  </si>
  <si>
    <t>Repay</t>
  </si>
  <si>
    <t>Comm</t>
  </si>
  <si>
    <t>Loan Schedule</t>
  </si>
  <si>
    <t>Total Borrowing</t>
  </si>
  <si>
    <t>Free Cash Flow</t>
  </si>
  <si>
    <t>Inputs From Income Statement:</t>
  </si>
  <si>
    <t>Cost of sales</t>
  </si>
  <si>
    <t>Inputs From Balance Sheet:</t>
  </si>
  <si>
    <t>Accounts receivable</t>
  </si>
  <si>
    <t>Inventories</t>
  </si>
  <si>
    <t>Other current assets</t>
  </si>
  <si>
    <t>Non-Interest Bearing Current Liabilities:</t>
  </si>
  <si>
    <t>Accounts payable</t>
  </si>
  <si>
    <t>Accrued expenses</t>
  </si>
  <si>
    <t>Accrued royalties</t>
  </si>
  <si>
    <t>Other accrued liabilities</t>
  </si>
  <si>
    <t>Working Capital Analysis</t>
  </si>
  <si>
    <t>A/R</t>
  </si>
  <si>
    <t>Inventory</t>
  </si>
  <si>
    <t>Current operating assets</t>
  </si>
  <si>
    <t>Current operating liabilities</t>
  </si>
  <si>
    <t>Net working capital</t>
  </si>
  <si>
    <t>Incremental working capital</t>
  </si>
  <si>
    <t>Sales</t>
  </si>
  <si>
    <t>Incremental sales</t>
  </si>
  <si>
    <t>Incremental working capital (% of sales)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</si>
  <si>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</si>
  <si>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</si>
  <si>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</si>
  <si>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</si>
  <si>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</si>
  <si>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</si>
  <si>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</si>
  <si>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</si>
  <si>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</si>
  <si>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</si>
  <si>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</si>
  <si>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Sales Revenue</t>
  </si>
  <si>
    <t>Free Cash Flow to Business</t>
  </si>
  <si>
    <t>Terminal</t>
  </si>
  <si>
    <t>Business Value</t>
  </si>
  <si>
    <t>Change in Net Working Capital</t>
  </si>
  <si>
    <t>Initial Investment</t>
  </si>
  <si>
    <t>Net Assets</t>
  </si>
  <si>
    <t xml:space="preserve">CHANGE in Inventory </t>
  </si>
  <si>
    <t>Working Capital Inputs Schedule (No Manual Inputs)</t>
  </si>
  <si>
    <t>Dividends Declared</t>
  </si>
  <si>
    <t>Dividends Paid</t>
  </si>
  <si>
    <t>Retained Income</t>
  </si>
  <si>
    <t>Required cash (% of sales)</t>
  </si>
  <si>
    <t>Required Return on Equity</t>
  </si>
  <si>
    <t>IRR</t>
  </si>
  <si>
    <t>Free Cashflow in Year 5 at Required Rate of Return</t>
  </si>
  <si>
    <t>Name of Company/Business</t>
  </si>
  <si>
    <t>Number format</t>
  </si>
  <si>
    <t>SAR</t>
  </si>
  <si>
    <t>SAR 000's</t>
  </si>
  <si>
    <t>SAR Millions</t>
  </si>
  <si>
    <t>BUSINESS VALUATION</t>
  </si>
  <si>
    <t>Loan</t>
  </si>
  <si>
    <t>Month</t>
  </si>
  <si>
    <t>#</t>
  </si>
  <si>
    <t>Grace</t>
  </si>
  <si>
    <t>Repaymen</t>
  </si>
  <si>
    <t>Start Year</t>
  </si>
  <si>
    <t>Annual Principal Repayment</t>
  </si>
  <si>
    <t>No</t>
  </si>
  <si>
    <t>Total Equity</t>
  </si>
  <si>
    <t>TOTAL LIABILITIES AND SHAREHOLDERS' EQUITY</t>
  </si>
  <si>
    <t xml:space="preserve">Common Stock </t>
  </si>
  <si>
    <t>NPV of Net Income over 5 Years plus Terminal Value</t>
  </si>
  <si>
    <t>Inventory (RM &amp; FG) (% of COGS)</t>
  </si>
  <si>
    <t>Plant</t>
  </si>
  <si>
    <t>KPI's</t>
  </si>
  <si>
    <t>CAGR</t>
  </si>
  <si>
    <t>Loan Outstanding</t>
  </si>
  <si>
    <t>Net Cashflow</t>
  </si>
  <si>
    <t>COGS as a % of Sales</t>
  </si>
  <si>
    <t>Net Profit Margin</t>
  </si>
  <si>
    <t>Capital Required</t>
  </si>
  <si>
    <t>ROI</t>
  </si>
  <si>
    <t>IRR over 6 Years</t>
  </si>
  <si>
    <t>Value of Business Based on Free Cash Flow</t>
  </si>
  <si>
    <t>Health</t>
  </si>
  <si>
    <t>Solar Plane</t>
  </si>
  <si>
    <t>Police car</t>
  </si>
  <si>
    <t>Bus</t>
  </si>
  <si>
    <t>Sport</t>
  </si>
  <si>
    <t>NEOM car (luxury)</t>
  </si>
  <si>
    <t>2022</t>
  </si>
  <si>
    <t>2023</t>
  </si>
  <si>
    <t>2024</t>
  </si>
  <si>
    <t>Lahab Automotive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</si>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</sst>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_);_(* \(#,##0\);_(* &quot;-&quot;??_);_(@_)"/>
    <numFmt numFmtId="167" formatCode="[$-F800]dddd\,\ mmmm\ dd\,\ yyyy"/>
    <numFmt numFmtId="168" formatCode="#,##0.0_);\(#,##0.0\)"/>
    <numFmt numFmtId="169" formatCode="_(* #,##0.0_);_(* \(#,##0.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rgb="FFC00000"/>
      <name val="Arial"/>
      <family val="2"/>
    </font>
    <font>
      <b/>
      <sz val="16"/>
      <color theme="0"/>
      <name val="Arial"/>
      <family val="2"/>
    </font>
    <font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487E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1B50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528">
    <xf numFmtId="0" fontId="0" fillId="0" borderId="0" xfId="0"/>
    <xf numFmtId="0" fontId="7" fillId="3" borderId="0" xfId="0" applyFont="1" applyFill="1"/>
    <xf numFmtId="0" fontId="7" fillId="3" borderId="0" xfId="0" applyFont="1" applyFill="1" applyBorder="1"/>
    <xf numFmtId="0" fontId="6" fillId="3" borderId="0" xfId="0" applyFont="1" applyFill="1" applyBorder="1"/>
    <xf numFmtId="0" fontId="7" fillId="0" borderId="0" xfId="0" applyFont="1" applyFill="1"/>
    <xf numFmtId="0" fontId="10" fillId="0" borderId="0" xfId="0" applyFont="1" applyFill="1"/>
    <xf numFmtId="164" fontId="7" fillId="0" borderId="0" xfId="0" applyNumberFormat="1" applyFont="1" applyFill="1"/>
    <xf numFmtId="9" fontId="10" fillId="0" borderId="0" xfId="3" applyFont="1" applyFill="1"/>
    <xf numFmtId="0" fontId="10" fillId="5" borderId="19" xfId="0" applyFont="1" applyFill="1" applyBorder="1" applyAlignment="1"/>
    <xf numFmtId="0" fontId="10" fillId="5" borderId="1" xfId="0" applyFont="1" applyFill="1" applyBorder="1" applyAlignment="1"/>
    <xf numFmtId="0" fontId="10" fillId="5" borderId="20" xfId="0" applyFont="1" applyFill="1" applyBorder="1" applyAlignment="1"/>
    <xf numFmtId="166" fontId="10" fillId="5" borderId="19" xfId="1" applyNumberFormat="1" applyFont="1" applyFill="1" applyBorder="1"/>
    <xf numFmtId="166" fontId="10" fillId="5" borderId="23" xfId="1" applyNumberFormat="1" applyFont="1" applyFill="1" applyBorder="1"/>
    <xf numFmtId="166" fontId="10" fillId="5" borderId="13" xfId="1" applyNumberFormat="1" applyFont="1" applyFill="1" applyBorder="1"/>
    <xf numFmtId="166" fontId="10" fillId="5" borderId="24" xfId="1" applyNumberFormat="1" applyFont="1" applyFill="1" applyBorder="1"/>
    <xf numFmtId="43" fontId="10" fillId="5" borderId="13" xfId="1" applyFont="1" applyFill="1" applyBorder="1"/>
    <xf numFmtId="165" fontId="10" fillId="5" borderId="19" xfId="3" applyNumberFormat="1" applyFont="1" applyFill="1" applyBorder="1"/>
    <xf numFmtId="165" fontId="10" fillId="5" borderId="1" xfId="3" applyNumberFormat="1" applyFont="1" applyFill="1" applyBorder="1"/>
    <xf numFmtId="165" fontId="10" fillId="5" borderId="20" xfId="3" applyNumberFormat="1" applyFont="1" applyFill="1" applyBorder="1"/>
    <xf numFmtId="0" fontId="6" fillId="4" borderId="17" xfId="0" applyFont="1" applyFill="1" applyBorder="1" applyAlignment="1"/>
    <xf numFmtId="0" fontId="6" fillId="4" borderId="7" xfId="0" applyFont="1" applyFill="1" applyBorder="1" applyAlignment="1"/>
    <xf numFmtId="0" fontId="6" fillId="4" borderId="18" xfId="0" applyFont="1" applyFill="1" applyBorder="1" applyAlignment="1"/>
    <xf numFmtId="0" fontId="7" fillId="4" borderId="19" xfId="0" applyFont="1" applyFill="1" applyBorder="1" applyAlignment="1"/>
    <xf numFmtId="0" fontId="7" fillId="4" borderId="0" xfId="0" applyFont="1" applyFill="1" applyBorder="1" applyAlignment="1"/>
    <xf numFmtId="0" fontId="7" fillId="4" borderId="20" xfId="0" applyFont="1" applyFill="1" applyBorder="1" applyAlignment="1"/>
    <xf numFmtId="0" fontId="12" fillId="4" borderId="19" xfId="0" applyFont="1" applyFill="1" applyBorder="1" applyAlignment="1">
      <alignment horizontal="centerContinuous"/>
    </xf>
    <xf numFmtId="0" fontId="8" fillId="4" borderId="0" xfId="0" applyFont="1" applyFill="1" applyBorder="1" applyAlignment="1">
      <alignment horizontal="centerContinuous"/>
    </xf>
    <xf numFmtId="0" fontId="8" fillId="4" borderId="20" xfId="0" applyFont="1" applyFill="1" applyBorder="1" applyAlignment="1">
      <alignment horizontal="centerContinuous"/>
    </xf>
    <xf numFmtId="166" fontId="6" fillId="2" borderId="23" xfId="1" applyNumberFormat="1" applyFont="1" applyFill="1" applyBorder="1"/>
    <xf numFmtId="166" fontId="6" fillId="2" borderId="13" xfId="1" applyNumberFormat="1" applyFont="1" applyFill="1" applyBorder="1"/>
    <xf numFmtId="166" fontId="6" fillId="2" borderId="24" xfId="1" applyNumberFormat="1" applyFont="1" applyFill="1" applyBorder="1"/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Border="1"/>
    <xf numFmtId="0" fontId="15" fillId="0" borderId="0" xfId="0" applyFont="1" applyFill="1" applyBorder="1" applyAlignment="1"/>
    <xf numFmtId="166" fontId="15" fillId="0" borderId="0" xfId="1" applyNumberFormat="1" applyFont="1" applyFill="1"/>
    <xf numFmtId="9" fontId="15" fillId="0" borderId="0" xfId="3" applyFont="1" applyFill="1" applyBorder="1" applyAlignment="1"/>
    <xf numFmtId="43" fontId="16" fillId="0" borderId="0" xfId="1" applyFont="1" applyFill="1" applyBorder="1"/>
    <xf numFmtId="9" fontId="15" fillId="0" borderId="0" xfId="3" applyFont="1" applyFill="1" applyBorder="1"/>
    <xf numFmtId="43" fontId="15" fillId="0" borderId="0" xfId="1" applyFont="1" applyFill="1" applyBorder="1"/>
    <xf numFmtId="44" fontId="16" fillId="0" borderId="0" xfId="2" applyFont="1" applyFill="1" applyBorder="1"/>
    <xf numFmtId="0" fontId="16" fillId="0" borderId="0" xfId="0" applyFont="1" applyFill="1" applyAlignment="1"/>
    <xf numFmtId="10" fontId="15" fillId="0" borderId="0" xfId="0" applyNumberFormat="1" applyFont="1" applyFill="1"/>
    <xf numFmtId="164" fontId="15" fillId="0" borderId="0" xfId="0" applyNumberFormat="1" applyFont="1" applyFill="1"/>
    <xf numFmtId="0" fontId="18" fillId="0" borderId="0" xfId="0" applyFont="1"/>
    <xf numFmtId="166" fontId="14" fillId="5" borderId="0" xfId="1" applyNumberFormat="1" applyFont="1" applyFill="1" applyBorder="1"/>
    <xf numFmtId="166" fontId="15" fillId="0" borderId="27" xfId="1" applyNumberFormat="1" applyFont="1" applyFill="1" applyBorder="1"/>
    <xf numFmtId="166" fontId="13" fillId="2" borderId="0" xfId="1" applyNumberFormat="1" applyFont="1" applyFill="1" applyBorder="1"/>
    <xf numFmtId="166" fontId="13" fillId="2" borderId="19" xfId="1" applyNumberFormat="1" applyFont="1" applyFill="1" applyBorder="1"/>
    <xf numFmtId="166" fontId="13" fillId="2" borderId="20" xfId="1" applyNumberFormat="1" applyFont="1" applyFill="1" applyBorder="1"/>
    <xf numFmtId="0" fontId="13" fillId="2" borderId="19" xfId="0" applyFont="1" applyFill="1" applyBorder="1"/>
    <xf numFmtId="0" fontId="15" fillId="5" borderId="19" xfId="0" applyFont="1" applyFill="1" applyBorder="1"/>
    <xf numFmtId="0" fontId="15" fillId="5" borderId="0" xfId="0" applyFont="1" applyFill="1" applyBorder="1"/>
    <xf numFmtId="0" fontId="15" fillId="5" borderId="20" xfId="0" applyFont="1" applyFill="1" applyBorder="1"/>
    <xf numFmtId="166" fontId="15" fillId="5" borderId="19" xfId="1" applyNumberFormat="1" applyFont="1" applyFill="1" applyBorder="1"/>
    <xf numFmtId="166" fontId="15" fillId="5" borderId="0" xfId="1" applyNumberFormat="1" applyFont="1" applyFill="1" applyBorder="1"/>
    <xf numFmtId="166" fontId="15" fillId="5" borderId="20" xfId="1" applyNumberFormat="1" applyFont="1" applyFill="1" applyBorder="1"/>
    <xf numFmtId="0" fontId="21" fillId="0" borderId="0" xfId="0" applyFont="1"/>
    <xf numFmtId="0" fontId="14" fillId="7" borderId="14" xfId="0" applyFont="1" applyFill="1" applyBorder="1"/>
    <xf numFmtId="166" fontId="14" fillId="7" borderId="14" xfId="1" applyNumberFormat="1" applyFont="1" applyFill="1" applyBorder="1"/>
    <xf numFmtId="166" fontId="14" fillId="7" borderId="0" xfId="1" applyNumberFormat="1" applyFont="1" applyFill="1" applyBorder="1"/>
    <xf numFmtId="166" fontId="14" fillId="7" borderId="1" xfId="1" applyNumberFormat="1" applyFont="1" applyFill="1" applyBorder="1"/>
    <xf numFmtId="0" fontId="18" fillId="8" borderId="5" xfId="0" applyFont="1" applyFill="1" applyBorder="1" applyAlignment="1" applyProtection="1">
      <alignment horizontal="center"/>
      <protection hidden="1"/>
    </xf>
    <xf numFmtId="0" fontId="18" fillId="0" borderId="5" xfId="0" applyFont="1" applyFill="1" applyBorder="1" applyProtection="1">
      <protection locked="0"/>
    </xf>
    <xf numFmtId="166" fontId="18" fillId="0" borderId="5" xfId="1" applyNumberFormat="1" applyFont="1" applyFill="1" applyBorder="1" applyProtection="1">
      <protection locked="0"/>
    </xf>
    <xf numFmtId="0" fontId="18" fillId="0" borderId="5" xfId="0" applyNumberFormat="1" applyFont="1" applyFill="1" applyBorder="1" applyProtection="1">
      <protection locked="0"/>
    </xf>
    <xf numFmtId="0" fontId="18" fillId="0" borderId="5" xfId="0" applyFont="1" applyFill="1" applyBorder="1" applyAlignment="1" applyProtection="1">
      <alignment horizontal="center"/>
      <protection locked="0"/>
    </xf>
    <xf numFmtId="166" fontId="18" fillId="8" borderId="5" xfId="1" applyNumberFormat="1" applyFont="1" applyFill="1" applyBorder="1" applyProtection="1">
      <protection hidden="1"/>
    </xf>
    <xf numFmtId="166" fontId="18" fillId="0" borderId="0" xfId="0" applyNumberFormat="1" applyFont="1"/>
    <xf numFmtId="0" fontId="22" fillId="0" borderId="0" xfId="0" applyFont="1" applyFill="1" applyProtection="1">
      <protection hidden="1"/>
    </xf>
    <xf numFmtId="0" fontId="23" fillId="0" borderId="0" xfId="0" applyFont="1" applyFill="1" applyAlignment="1" applyProtection="1">
      <protection hidden="1"/>
    </xf>
    <xf numFmtId="0" fontId="18" fillId="0" borderId="0" xfId="0" applyFont="1" applyFill="1" applyAlignment="1" applyProtection="1">
      <protection hidden="1"/>
    </xf>
    <xf numFmtId="0" fontId="18" fillId="0" borderId="0" xfId="0" applyFont="1" applyFill="1" applyProtection="1">
      <protection hidden="1"/>
    </xf>
    <xf numFmtId="166" fontId="18" fillId="0" borderId="11" xfId="0" applyNumberFormat="1" applyFont="1" applyFill="1" applyBorder="1" applyProtection="1">
      <protection hidden="1"/>
    </xf>
    <xf numFmtId="166" fontId="18" fillId="0" borderId="0" xfId="0" applyNumberFormat="1" applyFont="1" applyFill="1" applyBorder="1" applyProtection="1">
      <protection hidden="1"/>
    </xf>
    <xf numFmtId="166" fontId="18" fillId="0" borderId="0" xfId="0" applyNumberFormat="1" applyFont="1" applyFill="1" applyProtection="1">
      <protection hidden="1"/>
    </xf>
    <xf numFmtId="0" fontId="18" fillId="0" borderId="0" xfId="0" applyFont="1" applyFill="1"/>
    <xf numFmtId="0" fontId="18" fillId="6" borderId="0" xfId="0" applyFont="1" applyFill="1"/>
    <xf numFmtId="166" fontId="16" fillId="5" borderId="0" xfId="1" applyNumberFormat="1" applyFont="1" applyFill="1" applyBorder="1"/>
    <xf numFmtId="0" fontId="16" fillId="7" borderId="0" xfId="0" applyFont="1" applyFill="1"/>
    <xf numFmtId="166" fontId="16" fillId="7" borderId="0" xfId="1" applyNumberFormat="1" applyFont="1" applyFill="1"/>
    <xf numFmtId="166" fontId="15" fillId="7" borderId="0" xfId="1" applyNumberFormat="1" applyFont="1" applyFill="1"/>
    <xf numFmtId="0" fontId="16" fillId="7" borderId="0" xfId="0" applyFont="1" applyFill="1" applyBorder="1"/>
    <xf numFmtId="166" fontId="15" fillId="7" borderId="19" xfId="1" applyNumberFormat="1" applyFont="1" applyFill="1" applyBorder="1"/>
    <xf numFmtId="166" fontId="15" fillId="7" borderId="0" xfId="1" applyNumberFormat="1" applyFont="1" applyFill="1" applyBorder="1"/>
    <xf numFmtId="166" fontId="15" fillId="7" borderId="20" xfId="1" applyNumberFormat="1" applyFont="1" applyFill="1" applyBorder="1"/>
    <xf numFmtId="0" fontId="10" fillId="7" borderId="14" xfId="0" applyFont="1" applyFill="1" applyBorder="1" applyAlignment="1"/>
    <xf numFmtId="166" fontId="10" fillId="7" borderId="16" xfId="1" applyNumberFormat="1" applyFont="1" applyFill="1" applyBorder="1"/>
    <xf numFmtId="166" fontId="10" fillId="7" borderId="11" xfId="1" applyNumberFormat="1" applyFont="1" applyFill="1" applyBorder="1"/>
    <xf numFmtId="43" fontId="10" fillId="7" borderId="16" xfId="1" applyFont="1" applyFill="1" applyBorder="1"/>
    <xf numFmtId="165" fontId="10" fillId="7" borderId="14" xfId="3" applyNumberFormat="1" applyFont="1" applyFill="1" applyBorder="1"/>
    <xf numFmtId="166" fontId="10" fillId="3" borderId="5" xfId="1" applyNumberFormat="1" applyFont="1" applyFill="1" applyBorder="1"/>
    <xf numFmtId="43" fontId="10" fillId="3" borderId="5" xfId="1" applyFont="1" applyFill="1" applyBorder="1"/>
    <xf numFmtId="0" fontId="10" fillId="3" borderId="9" xfId="0" applyFont="1" applyFill="1" applyBorder="1" applyAlignment="1"/>
    <xf numFmtId="165" fontId="10" fillId="3" borderId="9" xfId="3" applyNumberFormat="1" applyFont="1" applyFill="1" applyBorder="1"/>
    <xf numFmtId="165" fontId="10" fillId="3" borderId="10" xfId="3" applyNumberFormat="1" applyFont="1" applyFill="1" applyBorder="1"/>
    <xf numFmtId="0" fontId="6" fillId="4" borderId="19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Continuous" vertical="center"/>
    </xf>
    <xf numFmtId="0" fontId="6" fillId="4" borderId="1" xfId="0" applyFont="1" applyFill="1" applyBorder="1" applyAlignment="1">
      <alignment horizontal="centerContinuous" vertical="center"/>
    </xf>
    <xf numFmtId="0" fontId="6" fillId="4" borderId="0" xfId="0" applyFont="1" applyFill="1" applyBorder="1" applyAlignment="1">
      <alignment horizontal="centerContinuous" vertical="center"/>
    </xf>
    <xf numFmtId="0" fontId="6" fillId="4" borderId="20" xfId="0" applyFont="1" applyFill="1" applyBorder="1" applyAlignment="1">
      <alignment horizontal="centerContinuous" vertical="center"/>
    </xf>
    <xf numFmtId="0" fontId="10" fillId="3" borderId="33" xfId="0" applyFont="1" applyFill="1" applyBorder="1" applyAlignment="1">
      <alignment horizontal="center" vertical="center" wrapText="1"/>
    </xf>
    <xf numFmtId="0" fontId="6" fillId="4" borderId="0" xfId="0" applyFont="1" applyFill="1" applyAlignment="1"/>
    <xf numFmtId="0" fontId="6" fillId="4" borderId="0" xfId="0" applyFont="1" applyFill="1"/>
    <xf numFmtId="0" fontId="6" fillId="4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/>
    </xf>
    <xf numFmtId="0" fontId="10" fillId="2" borderId="16" xfId="0" applyFont="1" applyFill="1" applyBorder="1"/>
    <xf numFmtId="0" fontId="10" fillId="2" borderId="5" xfId="0" applyFont="1" applyFill="1" applyBorder="1"/>
    <xf numFmtId="0" fontId="10" fillId="2" borderId="16" xfId="3" applyNumberFormat="1" applyFont="1" applyFill="1" applyBorder="1"/>
    <xf numFmtId="0" fontId="10" fillId="2" borderId="11" xfId="3" applyNumberFormat="1" applyFont="1" applyFill="1" applyBorder="1"/>
    <xf numFmtId="0" fontId="10" fillId="2" borderId="13" xfId="3" applyNumberFormat="1" applyFont="1" applyFill="1" applyBorder="1"/>
    <xf numFmtId="0" fontId="10" fillId="2" borderId="23" xfId="3" applyNumberFormat="1" applyFont="1" applyFill="1" applyBorder="1"/>
    <xf numFmtId="0" fontId="13" fillId="4" borderId="0" xfId="0" applyFont="1" applyFill="1" applyAlignment="1"/>
    <xf numFmtId="0" fontId="13" fillId="4" borderId="7" xfId="0" applyFont="1" applyFill="1" applyBorder="1" applyAlignment="1"/>
    <xf numFmtId="0" fontId="13" fillId="4" borderId="18" xfId="0" applyFont="1" applyFill="1" applyBorder="1" applyAlignment="1"/>
    <xf numFmtId="0" fontId="13" fillId="4" borderId="0" xfId="0" applyFont="1" applyFill="1" applyBorder="1" applyAlignment="1"/>
    <xf numFmtId="0" fontId="13" fillId="4" borderId="20" xfId="0" applyFont="1" applyFill="1" applyBorder="1" applyAlignment="1"/>
    <xf numFmtId="167" fontId="13" fillId="4" borderId="27" xfId="0" quotePrefix="1" applyNumberFormat="1" applyFont="1" applyFill="1" applyBorder="1" applyAlignment="1">
      <alignment horizontal="center"/>
    </xf>
    <xf numFmtId="0" fontId="13" fillId="4" borderId="5" xfId="0" applyFont="1" applyFill="1" applyBorder="1"/>
    <xf numFmtId="0" fontId="13" fillId="4" borderId="8" xfId="0" applyFont="1" applyFill="1" applyBorder="1"/>
    <xf numFmtId="167" fontId="13" fillId="4" borderId="5" xfId="0" applyNumberFormat="1" applyFont="1" applyFill="1" applyBorder="1" applyAlignment="1">
      <alignment horizontal="center"/>
    </xf>
    <xf numFmtId="167" fontId="13" fillId="4" borderId="16" xfId="0" applyNumberFormat="1" applyFont="1" applyFill="1" applyBorder="1" applyAlignment="1">
      <alignment horizontal="center"/>
    </xf>
    <xf numFmtId="49" fontId="15" fillId="4" borderId="0" xfId="4" applyNumberFormat="1" applyFont="1" applyFill="1" applyAlignment="1">
      <alignment horizontal="left"/>
    </xf>
    <xf numFmtId="166" fontId="15" fillId="4" borderId="0" xfId="1" applyNumberFormat="1" applyFont="1" applyFill="1"/>
    <xf numFmtId="166" fontId="16" fillId="4" borderId="19" xfId="1" applyNumberFormat="1" applyFont="1" applyFill="1" applyBorder="1"/>
    <xf numFmtId="166" fontId="16" fillId="4" borderId="0" xfId="1" applyNumberFormat="1" applyFont="1" applyFill="1" applyBorder="1"/>
    <xf numFmtId="166" fontId="16" fillId="4" borderId="20" xfId="1" applyNumberFormat="1" applyFont="1" applyFill="1" applyBorder="1"/>
    <xf numFmtId="49" fontId="13" fillId="4" borderId="11" xfId="4" applyNumberFormat="1" applyFont="1" applyFill="1" applyBorder="1" applyAlignment="1">
      <alignment horizontal="left"/>
    </xf>
    <xf numFmtId="43" fontId="13" fillId="4" borderId="11" xfId="1" applyFont="1" applyFill="1" applyBorder="1"/>
    <xf numFmtId="166" fontId="13" fillId="4" borderId="11" xfId="1" applyNumberFormat="1" applyFont="1" applyFill="1" applyBorder="1"/>
    <xf numFmtId="166" fontId="13" fillId="4" borderId="28" xfId="1" applyNumberFormat="1" applyFont="1" applyFill="1" applyBorder="1"/>
    <xf numFmtId="166" fontId="13" fillId="4" borderId="6" xfId="1" applyNumberFormat="1" applyFont="1" applyFill="1" applyBorder="1"/>
    <xf numFmtId="166" fontId="13" fillId="4" borderId="29" xfId="1" applyNumberFormat="1" applyFont="1" applyFill="1" applyBorder="1"/>
    <xf numFmtId="0" fontId="15" fillId="7" borderId="19" xfId="0" applyFont="1" applyFill="1" applyBorder="1"/>
    <xf numFmtId="0" fontId="15" fillId="7" borderId="0" xfId="0" applyFont="1" applyFill="1" applyBorder="1"/>
    <xf numFmtId="0" fontId="15" fillId="7" borderId="20" xfId="0" applyFont="1" applyFill="1" applyBorder="1"/>
    <xf numFmtId="49" fontId="16" fillId="7" borderId="19" xfId="4" applyNumberFormat="1" applyFont="1" applyFill="1" applyBorder="1"/>
    <xf numFmtId="49" fontId="16" fillId="7" borderId="19" xfId="4" applyNumberFormat="1" applyFont="1" applyFill="1" applyBorder="1" applyAlignment="1">
      <alignment horizontal="left"/>
    </xf>
    <xf numFmtId="0" fontId="20" fillId="7" borderId="19" xfId="0" applyFont="1" applyFill="1" applyBorder="1"/>
    <xf numFmtId="166" fontId="20" fillId="7" borderId="19" xfId="1" applyNumberFormat="1" applyFont="1" applyFill="1" applyBorder="1"/>
    <xf numFmtId="166" fontId="20" fillId="7" borderId="0" xfId="1" applyNumberFormat="1" applyFont="1" applyFill="1" applyBorder="1"/>
    <xf numFmtId="166" fontId="20" fillId="7" borderId="20" xfId="1" applyNumberFormat="1" applyFont="1" applyFill="1" applyBorder="1"/>
    <xf numFmtId="49" fontId="16" fillId="7" borderId="0" xfId="4" applyNumberFormat="1" applyFont="1" applyFill="1"/>
    <xf numFmtId="43" fontId="15" fillId="7" borderId="0" xfId="1" applyFont="1" applyFill="1"/>
    <xf numFmtId="43" fontId="15" fillId="7" borderId="0" xfId="0" applyNumberFormat="1" applyFont="1" applyFill="1"/>
    <xf numFmtId="0" fontId="15" fillId="7" borderId="0" xfId="0" applyFont="1" applyFill="1"/>
    <xf numFmtId="49" fontId="16" fillId="7" borderId="0" xfId="4" applyNumberFormat="1" applyFont="1" applyFill="1" applyAlignment="1">
      <alignment horizontal="left"/>
    </xf>
    <xf numFmtId="49" fontId="15" fillId="7" borderId="0" xfId="4" applyNumberFormat="1" applyFont="1" applyFill="1" applyAlignment="1">
      <alignment horizontal="left"/>
    </xf>
    <xf numFmtId="43" fontId="16" fillId="5" borderId="19" xfId="1" applyFont="1" applyFill="1" applyBorder="1"/>
    <xf numFmtId="43" fontId="16" fillId="5" borderId="0" xfId="1" applyFont="1" applyFill="1" applyBorder="1"/>
    <xf numFmtId="43" fontId="16" fillId="5" borderId="20" xfId="1" applyFont="1" applyFill="1" applyBorder="1"/>
    <xf numFmtId="0" fontId="16" fillId="5" borderId="19" xfId="0" applyFont="1" applyFill="1" applyBorder="1"/>
    <xf numFmtId="0" fontId="16" fillId="5" borderId="0" xfId="0" applyFont="1" applyFill="1" applyBorder="1"/>
    <xf numFmtId="0" fontId="16" fillId="5" borderId="20" xfId="0" applyFont="1" applyFill="1" applyBorder="1"/>
    <xf numFmtId="166" fontId="16" fillId="5" borderId="19" xfId="1" applyNumberFormat="1" applyFont="1" applyFill="1" applyBorder="1"/>
    <xf numFmtId="166" fontId="16" fillId="5" borderId="20" xfId="1" applyNumberFormat="1" applyFont="1" applyFill="1" applyBorder="1"/>
    <xf numFmtId="0" fontId="13" fillId="4" borderId="23" xfId="0" applyFont="1" applyFill="1" applyBorder="1"/>
    <xf numFmtId="0" fontId="13" fillId="4" borderId="23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3" fillId="4" borderId="7" xfId="0" applyFont="1" applyFill="1" applyBorder="1"/>
    <xf numFmtId="0" fontId="13" fillId="4" borderId="18" xfId="0" applyFont="1" applyFill="1" applyBorder="1"/>
    <xf numFmtId="0" fontId="15" fillId="4" borderId="21" xfId="0" applyFont="1" applyFill="1" applyBorder="1"/>
    <xf numFmtId="0" fontId="15" fillId="4" borderId="2" xfId="0" applyFont="1" applyFill="1" applyBorder="1"/>
    <xf numFmtId="0" fontId="15" fillId="4" borderId="22" xfId="0" applyFont="1" applyFill="1" applyBorder="1"/>
    <xf numFmtId="0" fontId="13" fillId="2" borderId="11" xfId="0" applyFont="1" applyFill="1" applyBorder="1"/>
    <xf numFmtId="43" fontId="13" fillId="2" borderId="32" xfId="1" applyFont="1" applyFill="1" applyBorder="1"/>
    <xf numFmtId="166" fontId="13" fillId="2" borderId="11" xfId="1" applyNumberFormat="1" applyFont="1" applyFill="1" applyBorder="1"/>
    <xf numFmtId="166" fontId="13" fillId="2" borderId="23" xfId="1" applyNumberFormat="1" applyFont="1" applyFill="1" applyBorder="1"/>
    <xf numFmtId="166" fontId="13" fillId="2" borderId="24" xfId="1" applyNumberFormat="1" applyFont="1" applyFill="1" applyBorder="1"/>
    <xf numFmtId="0" fontId="10" fillId="7" borderId="0" xfId="0" applyFont="1" applyFill="1"/>
    <xf numFmtId="0" fontId="10" fillId="7" borderId="11" xfId="0" applyFont="1" applyFill="1" applyBorder="1"/>
    <xf numFmtId="0" fontId="7" fillId="7" borderId="0" xfId="0" applyFont="1" applyFill="1" applyAlignment="1"/>
    <xf numFmtId="0" fontId="10" fillId="7" borderId="11" xfId="1" applyNumberFormat="1" applyFont="1" applyFill="1" applyBorder="1" applyAlignment="1"/>
    <xf numFmtId="43" fontId="10" fillId="7" borderId="11" xfId="1" applyFont="1" applyFill="1" applyBorder="1"/>
    <xf numFmtId="0" fontId="11" fillId="7" borderId="16" xfId="0" applyFont="1" applyFill="1" applyBorder="1"/>
    <xf numFmtId="0" fontId="11" fillId="7" borderId="0" xfId="0" applyFont="1" applyFill="1" applyAlignment="1"/>
    <xf numFmtId="0" fontId="10" fillId="7" borderId="0" xfId="0" applyFont="1" applyFill="1" applyAlignment="1"/>
    <xf numFmtId="165" fontId="10" fillId="7" borderId="0" xfId="3" applyNumberFormat="1" applyFont="1" applyFill="1"/>
    <xf numFmtId="43" fontId="10" fillId="5" borderId="23" xfId="1" applyFont="1" applyFill="1" applyBorder="1"/>
    <xf numFmtId="166" fontId="10" fillId="3" borderId="5" xfId="1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6" fillId="2" borderId="11" xfId="0" applyFont="1" applyFill="1" applyBorder="1"/>
    <xf numFmtId="0" fontId="6" fillId="2" borderId="5" xfId="0" applyFont="1" applyFill="1" applyBorder="1" applyAlignment="1">
      <alignment horizontal="center" vertical="center"/>
    </xf>
    <xf numFmtId="166" fontId="6" fillId="2" borderId="16" xfId="1" applyNumberFormat="1" applyFont="1" applyFill="1" applyBorder="1"/>
    <xf numFmtId="166" fontId="6" fillId="2" borderId="11" xfId="1" applyNumberFormat="1" applyFont="1" applyFill="1" applyBorder="1"/>
    <xf numFmtId="166" fontId="6" fillId="2" borderId="5" xfId="1" applyNumberFormat="1" applyFont="1" applyFill="1" applyBorder="1"/>
    <xf numFmtId="0" fontId="6" fillId="2" borderId="11" xfId="1" applyNumberFormat="1" applyFont="1" applyFill="1" applyBorder="1"/>
    <xf numFmtId="43" fontId="6" fillId="2" borderId="5" xfId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0" fontId="6" fillId="2" borderId="16" xfId="3" applyNumberFormat="1" applyFont="1" applyFill="1" applyBorder="1"/>
    <xf numFmtId="10" fontId="6" fillId="2" borderId="11" xfId="3" applyNumberFormat="1" applyFont="1" applyFill="1" applyBorder="1"/>
    <xf numFmtId="10" fontId="6" fillId="2" borderId="13" xfId="3" applyNumberFormat="1" applyFont="1" applyFill="1" applyBorder="1"/>
    <xf numFmtId="10" fontId="6" fillId="2" borderId="5" xfId="3" applyNumberFormat="1" applyFont="1" applyFill="1" applyBorder="1"/>
    <xf numFmtId="10" fontId="6" fillId="2" borderId="23" xfId="3" applyNumberFormat="1" applyFont="1" applyFill="1" applyBorder="1"/>
    <xf numFmtId="10" fontId="6" fillId="2" borderId="24" xfId="3" applyNumberFormat="1" applyFont="1" applyFill="1" applyBorder="1"/>
    <xf numFmtId="43" fontId="6" fillId="2" borderId="5" xfId="1" applyFont="1" applyFill="1" applyBorder="1"/>
    <xf numFmtId="0" fontId="24" fillId="4" borderId="0" xfId="0" applyFont="1" applyFill="1"/>
    <xf numFmtId="0" fontId="5" fillId="4" borderId="12" xfId="0" applyFont="1" applyFill="1" applyBorder="1"/>
    <xf numFmtId="0" fontId="24" fillId="4" borderId="15" xfId="0" applyFont="1" applyFill="1" applyBorder="1"/>
    <xf numFmtId="0" fontId="24" fillId="4" borderId="12" xfId="0" applyFont="1" applyFill="1" applyBorder="1"/>
    <xf numFmtId="0" fontId="24" fillId="4" borderId="25" xfId="0" applyFont="1" applyFill="1" applyBorder="1"/>
    <xf numFmtId="0" fontId="13" fillId="4" borderId="16" xfId="0" applyFont="1" applyFill="1" applyBorder="1"/>
    <xf numFmtId="17" fontId="6" fillId="4" borderId="5" xfId="0" applyNumberFormat="1" applyFont="1" applyFill="1" applyBorder="1" applyAlignment="1" applyProtection="1">
      <alignment horizontal="center" vertical="center"/>
      <protection hidden="1"/>
    </xf>
    <xf numFmtId="0" fontId="14" fillId="5" borderId="14" xfId="0" applyFont="1" applyFill="1" applyBorder="1"/>
    <xf numFmtId="0" fontId="14" fillId="5" borderId="0" xfId="0" applyFont="1" applyFill="1" applyBorder="1"/>
    <xf numFmtId="0" fontId="14" fillId="5" borderId="1" xfId="0" applyFont="1" applyFill="1" applyBorder="1"/>
    <xf numFmtId="166" fontId="14" fillId="5" borderId="14" xfId="1" applyNumberFormat="1" applyFont="1" applyFill="1" applyBorder="1"/>
    <xf numFmtId="166" fontId="14" fillId="5" borderId="1" xfId="1" applyNumberFormat="1" applyFont="1" applyFill="1" applyBorder="1"/>
    <xf numFmtId="166" fontId="14" fillId="5" borderId="14" xfId="1" applyNumberFormat="1" applyFont="1" applyFill="1" applyBorder="1" applyProtection="1">
      <protection locked="0"/>
    </xf>
    <xf numFmtId="166" fontId="14" fillId="5" borderId="0" xfId="1" applyNumberFormat="1" applyFont="1" applyFill="1" applyBorder="1" applyProtection="1">
      <protection locked="0"/>
    </xf>
    <xf numFmtId="166" fontId="14" fillId="5" borderId="1" xfId="1" applyNumberFormat="1" applyFont="1" applyFill="1" applyBorder="1" applyProtection="1">
      <protection locked="0"/>
    </xf>
    <xf numFmtId="0" fontId="17" fillId="7" borderId="14" xfId="0" applyFont="1" applyFill="1" applyBorder="1"/>
    <xf numFmtId="166" fontId="17" fillId="7" borderId="0" xfId="1" applyNumberFormat="1" applyFont="1" applyFill="1" applyBorder="1"/>
    <xf numFmtId="0" fontId="13" fillId="2" borderId="16" xfId="0" applyFont="1" applyFill="1" applyBorder="1"/>
    <xf numFmtId="166" fontId="13" fillId="2" borderId="13" xfId="1" applyNumberFormat="1" applyFont="1" applyFill="1" applyBorder="1"/>
    <xf numFmtId="166" fontId="13" fillId="2" borderId="16" xfId="1" applyNumberFormat="1" applyFont="1" applyFill="1" applyBorder="1"/>
    <xf numFmtId="0" fontId="21" fillId="9" borderId="0" xfId="0" applyFont="1" applyFill="1"/>
    <xf numFmtId="0" fontId="18" fillId="4" borderId="0" xfId="0" applyFont="1" applyFill="1"/>
    <xf numFmtId="0" fontId="19" fillId="4" borderId="0" xfId="0" applyFont="1" applyFill="1"/>
    <xf numFmtId="0" fontId="25" fillId="4" borderId="0" xfId="0" applyFont="1" applyFill="1" applyProtection="1">
      <protection hidden="1"/>
    </xf>
    <xf numFmtId="0" fontId="26" fillId="4" borderId="0" xfId="0" applyFont="1" applyFill="1" applyAlignment="1" applyProtection="1">
      <protection hidden="1"/>
    </xf>
    <xf numFmtId="0" fontId="19" fillId="4" borderId="0" xfId="0" applyFont="1" applyFill="1" applyAlignment="1" applyProtection="1">
      <protection hidden="1"/>
    </xf>
    <xf numFmtId="0" fontId="19" fillId="4" borderId="0" xfId="0" applyFont="1" applyFill="1" applyProtection="1">
      <protection hidden="1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16" xfId="0" applyFont="1" applyFill="1" applyBorder="1" applyAlignment="1" applyProtection="1">
      <alignment horizontal="center" vertical="center" wrapText="1"/>
      <protection hidden="1"/>
    </xf>
    <xf numFmtId="0" fontId="6" fillId="4" borderId="5" xfId="0" applyFont="1" applyFill="1" applyBorder="1" applyAlignment="1" applyProtection="1">
      <alignment horizontal="centerContinuous" vertical="center" wrapText="1"/>
      <protection hidden="1"/>
    </xf>
    <xf numFmtId="0" fontId="6" fillId="4" borderId="5" xfId="0" applyFont="1" applyFill="1" applyBorder="1" applyAlignment="1" applyProtection="1">
      <alignment horizontal="centerContinuous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1" fontId="18" fillId="5" borderId="5" xfId="0" applyNumberFormat="1" applyFont="1" applyFill="1" applyBorder="1" applyAlignment="1" applyProtection="1">
      <alignment horizontal="center"/>
      <protection hidden="1"/>
    </xf>
    <xf numFmtId="166" fontId="18" fillId="5" borderId="5" xfId="1" applyNumberFormat="1" applyFont="1" applyFill="1" applyBorder="1" applyAlignment="1" applyProtection="1">
      <alignment horizontal="center"/>
      <protection hidden="1"/>
    </xf>
    <xf numFmtId="166" fontId="18" fillId="5" borderId="5" xfId="1" applyNumberFormat="1" applyFont="1" applyFill="1" applyBorder="1" applyProtection="1"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Protection="1">
      <protection locked="0"/>
    </xf>
    <xf numFmtId="0" fontId="6" fillId="2" borderId="5" xfId="0" applyNumberFormat="1" applyFont="1" applyFill="1" applyBorder="1" applyProtection="1"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166" fontId="6" fillId="2" borderId="5" xfId="1" applyNumberFormat="1" applyFont="1" applyFill="1" applyBorder="1" applyProtection="1">
      <protection hidden="1"/>
    </xf>
    <xf numFmtId="0" fontId="18" fillId="4" borderId="0" xfId="0" applyFont="1" applyFill="1" applyBorder="1" applyAlignment="1" applyProtection="1">
      <alignment horizontal="center"/>
      <protection hidden="1"/>
    </xf>
    <xf numFmtId="0" fontId="18" fillId="4" borderId="0" xfId="0" applyFont="1" applyFill="1" applyBorder="1" applyProtection="1">
      <protection locked="0"/>
    </xf>
    <xf numFmtId="0" fontId="18" fillId="4" borderId="0" xfId="0" applyNumberFormat="1" applyFont="1" applyFill="1" applyBorder="1" applyProtection="1">
      <protection locked="0"/>
    </xf>
    <xf numFmtId="0" fontId="18" fillId="4" borderId="0" xfId="0" applyFont="1" applyFill="1" applyBorder="1" applyAlignment="1" applyProtection="1">
      <alignment horizontal="center"/>
      <protection locked="0"/>
    </xf>
    <xf numFmtId="166" fontId="18" fillId="4" borderId="0" xfId="1" applyNumberFormat="1" applyFont="1" applyFill="1" applyBorder="1" applyProtection="1">
      <protection hidden="1"/>
    </xf>
    <xf numFmtId="166" fontId="18" fillId="4" borderId="11" xfId="1" applyNumberFormat="1" applyFont="1" applyFill="1" applyBorder="1" applyProtection="1">
      <protection hidden="1"/>
    </xf>
    <xf numFmtId="0" fontId="25" fillId="9" borderId="0" xfId="0" applyFont="1" applyFill="1" applyProtection="1">
      <protection hidden="1"/>
    </xf>
    <xf numFmtId="0" fontId="26" fillId="9" borderId="0" xfId="0" applyFont="1" applyFill="1" applyAlignment="1" applyProtection="1">
      <protection hidden="1"/>
    </xf>
    <xf numFmtId="0" fontId="19" fillId="9" borderId="0" xfId="0" applyFont="1" applyFill="1" applyAlignment="1" applyProtection="1">
      <protection hidden="1"/>
    </xf>
    <xf numFmtId="0" fontId="19" fillId="9" borderId="0" xfId="0" applyFont="1" applyFill="1" applyProtection="1">
      <protection hidden="1"/>
    </xf>
    <xf numFmtId="166" fontId="6" fillId="2" borderId="5" xfId="1" applyNumberFormat="1" applyFont="1" applyFill="1" applyBorder="1" applyProtection="1">
      <protection locked="0"/>
    </xf>
    <xf numFmtId="0" fontId="17" fillId="7" borderId="15" xfId="0" applyFont="1" applyFill="1" applyBorder="1"/>
    <xf numFmtId="0" fontId="17" fillId="7" borderId="12" xfId="0" applyFont="1" applyFill="1" applyBorder="1"/>
    <xf numFmtId="0" fontId="17" fillId="7" borderId="25" xfId="0" applyFont="1" applyFill="1" applyBorder="1"/>
    <xf numFmtId="166" fontId="17" fillId="7" borderId="14" xfId="1" applyNumberFormat="1" applyFont="1" applyFill="1" applyBorder="1"/>
    <xf numFmtId="166" fontId="17" fillId="7" borderId="1" xfId="1" applyNumberFormat="1" applyFont="1" applyFill="1" applyBorder="1"/>
    <xf numFmtId="0" fontId="26" fillId="4" borderId="12" xfId="5" applyFont="1" applyFill="1" applyBorder="1"/>
    <xf numFmtId="0" fontId="29" fillId="4" borderId="12" xfId="5" applyFont="1" applyFill="1" applyBorder="1"/>
    <xf numFmtId="0" fontId="29" fillId="4" borderId="25" xfId="5" applyFont="1" applyFill="1" applyBorder="1"/>
    <xf numFmtId="0" fontId="30" fillId="0" borderId="0" xfId="5" applyFont="1"/>
    <xf numFmtId="0" fontId="29" fillId="4" borderId="0" xfId="5" applyFont="1" applyFill="1" applyBorder="1"/>
    <xf numFmtId="0" fontId="29" fillId="4" borderId="1" xfId="5" applyFont="1" applyFill="1" applyBorder="1"/>
    <xf numFmtId="0" fontId="26" fillId="4" borderId="14" xfId="5" applyFont="1" applyFill="1" applyBorder="1"/>
    <xf numFmtId="0" fontId="26" fillId="4" borderId="8" xfId="5" applyFont="1" applyFill="1" applyBorder="1"/>
    <xf numFmtId="0" fontId="26" fillId="4" borderId="5" xfId="5" applyFont="1" applyFill="1" applyBorder="1" applyAlignment="1" applyProtection="1">
      <alignment horizontal="center"/>
    </xf>
    <xf numFmtId="0" fontId="30" fillId="7" borderId="14" xfId="5" applyFont="1" applyFill="1" applyBorder="1" applyAlignment="1">
      <alignment horizontal="left" indent="1"/>
    </xf>
    <xf numFmtId="166" fontId="30" fillId="7" borderId="15" xfId="1" applyNumberFormat="1" applyFont="1" applyFill="1" applyBorder="1" applyAlignment="1">
      <alignment horizontal="right"/>
    </xf>
    <xf numFmtId="166" fontId="30" fillId="5" borderId="15" xfId="1" applyNumberFormat="1" applyFont="1" applyFill="1" applyBorder="1" applyAlignment="1">
      <alignment horizontal="right"/>
    </xf>
    <xf numFmtId="166" fontId="30" fillId="5" borderId="8" xfId="1" applyNumberFormat="1" applyFont="1" applyFill="1" applyBorder="1" applyAlignment="1">
      <alignment horizontal="right"/>
    </xf>
    <xf numFmtId="166" fontId="30" fillId="7" borderId="14" xfId="1" applyNumberFormat="1" applyFont="1" applyFill="1" applyBorder="1" applyAlignment="1">
      <alignment horizontal="right"/>
    </xf>
    <xf numFmtId="166" fontId="30" fillId="5" borderId="14" xfId="1" applyNumberFormat="1" applyFont="1" applyFill="1" applyBorder="1" applyAlignment="1">
      <alignment horizontal="right"/>
    </xf>
    <xf numFmtId="166" fontId="30" fillId="5" borderId="9" xfId="1" applyNumberFormat="1" applyFont="1" applyFill="1" applyBorder="1" applyAlignment="1">
      <alignment horizontal="right"/>
    </xf>
    <xf numFmtId="0" fontId="31" fillId="7" borderId="14" xfId="5" applyFont="1" applyFill="1" applyBorder="1" applyAlignment="1">
      <alignment horizontal="left" indent="1"/>
    </xf>
    <xf numFmtId="166" fontId="30" fillId="7" borderId="34" xfId="1" applyNumberFormat="1" applyFont="1" applyFill="1" applyBorder="1" applyAlignment="1">
      <alignment horizontal="right"/>
    </xf>
    <xf numFmtId="166" fontId="30" fillId="5" borderId="34" xfId="1" applyNumberFormat="1" applyFont="1" applyFill="1" applyBorder="1" applyAlignment="1">
      <alignment horizontal="right"/>
    </xf>
    <xf numFmtId="166" fontId="30" fillId="5" borderId="10" xfId="1" applyNumberFormat="1" applyFont="1" applyFill="1" applyBorder="1" applyAlignment="1">
      <alignment horizontal="right"/>
    </xf>
    <xf numFmtId="0" fontId="30" fillId="7" borderId="14" xfId="5" applyFont="1" applyFill="1" applyBorder="1"/>
    <xf numFmtId="166" fontId="30" fillId="7" borderId="16" xfId="1" applyNumberFormat="1" applyFont="1" applyFill="1" applyBorder="1" applyAlignment="1">
      <alignment horizontal="right"/>
    </xf>
    <xf numFmtId="166" fontId="30" fillId="5" borderId="16" xfId="1" applyNumberFormat="1" applyFont="1" applyFill="1" applyBorder="1" applyAlignment="1">
      <alignment horizontal="right"/>
    </xf>
    <xf numFmtId="166" fontId="30" fillId="5" borderId="5" xfId="1" applyNumberFormat="1" applyFont="1" applyFill="1" applyBorder="1" applyAlignment="1">
      <alignment horizontal="right"/>
    </xf>
    <xf numFmtId="166" fontId="30" fillId="7" borderId="14" xfId="1" applyNumberFormat="1" applyFont="1" applyFill="1" applyBorder="1"/>
    <xf numFmtId="166" fontId="30" fillId="5" borderId="14" xfId="1" applyNumberFormat="1" applyFont="1" applyFill="1" applyBorder="1"/>
    <xf numFmtId="166" fontId="30" fillId="5" borderId="9" xfId="1" applyNumberFormat="1" applyFont="1" applyFill="1" applyBorder="1"/>
    <xf numFmtId="0" fontId="26" fillId="2" borderId="14" xfId="5" applyFont="1" applyFill="1" applyBorder="1"/>
    <xf numFmtId="0" fontId="26" fillId="2" borderId="10" xfId="5" applyFont="1" applyFill="1" applyBorder="1"/>
    <xf numFmtId="166" fontId="26" fillId="2" borderId="34" xfId="1" applyNumberFormat="1" applyFont="1" applyFill="1" applyBorder="1" applyAlignment="1">
      <alignment horizontal="right"/>
    </xf>
    <xf numFmtId="166" fontId="26" fillId="2" borderId="10" xfId="1" applyNumberFormat="1" applyFont="1" applyFill="1" applyBorder="1" applyAlignment="1">
      <alignment horizontal="right"/>
    </xf>
    <xf numFmtId="0" fontId="30" fillId="4" borderId="14" xfId="5" applyFont="1" applyFill="1" applyBorder="1"/>
    <xf numFmtId="0" fontId="30" fillId="4" borderId="0" xfId="5" applyFont="1" applyFill="1" applyBorder="1"/>
    <xf numFmtId="0" fontId="30" fillId="4" borderId="1" xfId="5" applyFont="1" applyFill="1" applyBorder="1"/>
    <xf numFmtId="0" fontId="30" fillId="7" borderId="0" xfId="5" applyFont="1" applyFill="1" applyBorder="1"/>
    <xf numFmtId="166" fontId="30" fillId="7" borderId="8" xfId="1" applyNumberFormat="1" applyFont="1" applyFill="1" applyBorder="1"/>
    <xf numFmtId="166" fontId="30" fillId="5" borderId="8" xfId="1" applyNumberFormat="1" applyFont="1" applyFill="1" applyBorder="1"/>
    <xf numFmtId="0" fontId="26" fillId="2" borderId="16" xfId="5" applyFont="1" applyFill="1" applyBorder="1"/>
    <xf numFmtId="0" fontId="26" fillId="2" borderId="11" xfId="5" applyFont="1" applyFill="1" applyBorder="1"/>
    <xf numFmtId="166" fontId="26" fillId="2" borderId="5" xfId="1" applyNumberFormat="1" applyFont="1" applyFill="1" applyBorder="1"/>
    <xf numFmtId="0" fontId="30" fillId="0" borderId="0" xfId="5" applyFont="1" applyBorder="1"/>
    <xf numFmtId="166" fontId="30" fillId="7" borderId="9" xfId="1" applyNumberFormat="1" applyFont="1" applyFill="1" applyBorder="1"/>
    <xf numFmtId="166" fontId="30" fillId="7" borderId="10" xfId="1" applyNumberFormat="1" applyFont="1" applyFill="1" applyBorder="1"/>
    <xf numFmtId="166" fontId="30" fillId="5" borderId="10" xfId="1" applyNumberFormat="1" applyFont="1" applyFill="1" applyBorder="1"/>
    <xf numFmtId="0" fontId="26" fillId="2" borderId="0" xfId="5" applyFont="1" applyFill="1" applyBorder="1"/>
    <xf numFmtId="166" fontId="26" fillId="2" borderId="10" xfId="1" applyNumberFormat="1" applyFont="1" applyFill="1" applyBorder="1"/>
    <xf numFmtId="0" fontId="30" fillId="4" borderId="34" xfId="5" applyFont="1" applyFill="1" applyBorder="1"/>
    <xf numFmtId="0" fontId="30" fillId="4" borderId="35" xfId="5" applyFont="1" applyFill="1" applyBorder="1"/>
    <xf numFmtId="0" fontId="30" fillId="4" borderId="36" xfId="5" applyFont="1" applyFill="1" applyBorder="1"/>
    <xf numFmtId="0" fontId="30" fillId="0" borderId="0" xfId="5" applyFont="1" applyFill="1" applyBorder="1"/>
    <xf numFmtId="9" fontId="26" fillId="2" borderId="10" xfId="3" applyFont="1" applyFill="1" applyBorder="1"/>
    <xf numFmtId="0" fontId="10" fillId="7" borderId="6" xfId="0" applyFont="1" applyFill="1" applyBorder="1" applyAlignment="1">
      <alignment vertical="center"/>
    </xf>
    <xf numFmtId="0" fontId="10" fillId="7" borderId="3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3" fillId="10" borderId="3" xfId="0" applyFont="1" applyFill="1" applyBorder="1" applyAlignment="1"/>
    <xf numFmtId="0" fontId="13" fillId="10" borderId="3" xfId="0" applyFont="1" applyFill="1" applyBorder="1" applyAlignment="1">
      <alignment horizontal="centerContinuous"/>
    </xf>
    <xf numFmtId="0" fontId="13" fillId="10" borderId="4" xfId="0" applyFont="1" applyFill="1" applyBorder="1" applyAlignment="1">
      <alignment horizontal="centerContinuous"/>
    </xf>
    <xf numFmtId="0" fontId="13" fillId="10" borderId="26" xfId="0" applyFont="1" applyFill="1" applyBorder="1" applyAlignment="1">
      <alignment horizontal="centerContinuous"/>
    </xf>
    <xf numFmtId="165" fontId="15" fillId="5" borderId="19" xfId="3" applyNumberFormat="1" applyFont="1" applyFill="1" applyBorder="1"/>
    <xf numFmtId="165" fontId="15" fillId="5" borderId="0" xfId="3" applyNumberFormat="1" applyFont="1" applyFill="1" applyBorder="1"/>
    <xf numFmtId="165" fontId="15" fillId="5" borderId="20" xfId="3" applyNumberFormat="1" applyFont="1" applyFill="1" applyBorder="1"/>
    <xf numFmtId="49" fontId="16" fillId="7" borderId="19" xfId="4" applyNumberFormat="1" applyFont="1" applyFill="1" applyBorder="1" applyAlignment="1">
      <alignment horizontal="center"/>
    </xf>
    <xf numFmtId="0" fontId="13" fillId="11" borderId="19" xfId="0" applyFont="1" applyFill="1" applyBorder="1"/>
    <xf numFmtId="166" fontId="13" fillId="11" borderId="19" xfId="1" applyNumberFormat="1" applyFont="1" applyFill="1" applyBorder="1"/>
    <xf numFmtId="0" fontId="26" fillId="11" borderId="14" xfId="5" applyFont="1" applyFill="1" applyBorder="1"/>
    <xf numFmtId="0" fontId="26" fillId="11" borderId="0" xfId="5" applyFont="1" applyFill="1" applyBorder="1"/>
    <xf numFmtId="166" fontId="26" fillId="11" borderId="0" xfId="1" applyNumberFormat="1" applyFont="1" applyFill="1" applyBorder="1" applyAlignment="1">
      <alignment horizontal="right"/>
    </xf>
    <xf numFmtId="0" fontId="16" fillId="7" borderId="19" xfId="4" applyNumberFormat="1" applyFont="1" applyFill="1" applyBorder="1"/>
    <xf numFmtId="166" fontId="18" fillId="0" borderId="0" xfId="1" applyNumberFormat="1" applyFont="1"/>
    <xf numFmtId="0" fontId="19" fillId="0" borderId="0" xfId="0" applyFont="1" applyFill="1"/>
    <xf numFmtId="165" fontId="11" fillId="3" borderId="5" xfId="0" applyNumberFormat="1" applyFont="1" applyFill="1" applyBorder="1" applyAlignment="1">
      <alignment horizontal="center" vertical="center"/>
    </xf>
    <xf numFmtId="0" fontId="5" fillId="4" borderId="0" xfId="0" applyFont="1" applyFill="1" applyAlignment="1"/>
    <xf numFmtId="0" fontId="35" fillId="4" borderId="0" xfId="0" applyFont="1" applyFill="1" applyAlignment="1"/>
    <xf numFmtId="0" fontId="35" fillId="4" borderId="39" xfId="0" applyFont="1" applyFill="1" applyBorder="1" applyAlignment="1"/>
    <xf numFmtId="0" fontId="13" fillId="4" borderId="35" xfId="0" applyFont="1" applyFill="1" applyBorder="1" applyAlignment="1"/>
    <xf numFmtId="0" fontId="13" fillId="4" borderId="40" xfId="0" applyFont="1" applyFill="1" applyBorder="1" applyAlignment="1"/>
    <xf numFmtId="0" fontId="13" fillId="4" borderId="39" xfId="0" applyFont="1" applyFill="1" applyBorder="1"/>
    <xf numFmtId="17" fontId="13" fillId="4" borderId="39" xfId="0" applyNumberFormat="1" applyFont="1" applyFill="1" applyBorder="1" applyAlignment="1">
      <alignment horizontal="center"/>
    </xf>
    <xf numFmtId="17" fontId="13" fillId="4" borderId="35" xfId="0" applyNumberFormat="1" applyFont="1" applyFill="1" applyBorder="1" applyAlignment="1">
      <alignment horizontal="center"/>
    </xf>
    <xf numFmtId="17" fontId="13" fillId="4" borderId="40" xfId="0" applyNumberFormat="1" applyFont="1" applyFill="1" applyBorder="1" applyAlignment="1">
      <alignment horizontal="center"/>
    </xf>
    <xf numFmtId="0" fontId="13" fillId="4" borderId="39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Continuous"/>
    </xf>
    <xf numFmtId="0" fontId="13" fillId="4" borderId="0" xfId="0" applyFont="1" applyFill="1" applyBorder="1" applyAlignment="1">
      <alignment horizontal="centerContinuous"/>
    </xf>
    <xf numFmtId="0" fontId="13" fillId="4" borderId="20" xfId="0" applyFont="1" applyFill="1" applyBorder="1" applyAlignment="1">
      <alignment horizontal="centerContinuous"/>
    </xf>
    <xf numFmtId="0" fontId="13" fillId="4" borderId="35" xfId="0" applyFont="1" applyFill="1" applyBorder="1"/>
    <xf numFmtId="0" fontId="13" fillId="4" borderId="35" xfId="0" applyFont="1" applyFill="1" applyBorder="1" applyAlignment="1">
      <alignment horizontal="centerContinuous"/>
    </xf>
    <xf numFmtId="0" fontId="13" fillId="4" borderId="40" xfId="0" applyFont="1" applyFill="1" applyBorder="1" applyAlignment="1">
      <alignment horizontal="centerContinuous"/>
    </xf>
    <xf numFmtId="0" fontId="13" fillId="4" borderId="41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30" fillId="7" borderId="9" xfId="5" applyFont="1" applyFill="1" applyBorder="1" applyAlignment="1">
      <alignment horizontal="left" indent="1"/>
    </xf>
    <xf numFmtId="0" fontId="31" fillId="7" borderId="9" xfId="5" applyFont="1" applyFill="1" applyBorder="1" applyAlignment="1">
      <alignment horizontal="left" indent="1"/>
    </xf>
    <xf numFmtId="0" fontId="30" fillId="7" borderId="9" xfId="5" applyFont="1" applyFill="1" applyBorder="1"/>
    <xf numFmtId="166" fontId="30" fillId="7" borderId="12" xfId="1" applyNumberFormat="1" applyFont="1" applyFill="1" applyBorder="1" applyAlignment="1">
      <alignment horizontal="right"/>
    </xf>
    <xf numFmtId="0" fontId="28" fillId="10" borderId="3" xfId="5" applyFont="1" applyFill="1" applyBorder="1" applyAlignment="1">
      <alignment horizontal="left" indent="1"/>
    </xf>
    <xf numFmtId="9" fontId="37" fillId="0" borderId="42" xfId="5" applyNumberFormat="1" applyFont="1" applyFill="1" applyBorder="1" applyAlignment="1">
      <alignment horizontal="center"/>
    </xf>
    <xf numFmtId="9" fontId="16" fillId="7" borderId="19" xfId="3" applyFont="1" applyFill="1" applyBorder="1" applyAlignment="1">
      <alignment horizontal="center"/>
    </xf>
    <xf numFmtId="0" fontId="26" fillId="4" borderId="0" xfId="5" applyFont="1" applyFill="1" applyBorder="1"/>
    <xf numFmtId="0" fontId="13" fillId="4" borderId="2" xfId="0" applyFont="1" applyFill="1" applyBorder="1"/>
    <xf numFmtId="0" fontId="13" fillId="4" borderId="22" xfId="0" applyFont="1" applyFill="1" applyBorder="1"/>
    <xf numFmtId="0" fontId="36" fillId="10" borderId="3" xfId="0" applyFont="1" applyFill="1" applyBorder="1" applyAlignment="1"/>
    <xf numFmtId="0" fontId="35" fillId="4" borderId="0" xfId="0" applyFont="1" applyFill="1" applyProtection="1">
      <protection hidden="1"/>
    </xf>
    <xf numFmtId="0" fontId="19" fillId="12" borderId="0" xfId="0" applyFont="1" applyFill="1" applyProtection="1">
      <protection hidden="1"/>
    </xf>
    <xf numFmtId="0" fontId="35" fillId="12" borderId="0" xfId="0" applyFont="1" applyFill="1" applyProtection="1">
      <protection hidden="1"/>
    </xf>
    <xf numFmtId="0" fontId="6" fillId="12" borderId="5" xfId="0" applyFont="1" applyFill="1" applyBorder="1" applyAlignment="1" applyProtection="1">
      <alignment horizontal="center" vertical="center" wrapText="1"/>
      <protection hidden="1"/>
    </xf>
    <xf numFmtId="0" fontId="6" fillId="12" borderId="16" xfId="0" applyFont="1" applyFill="1" applyBorder="1" applyAlignment="1" applyProtection="1">
      <alignment horizontal="center" vertical="center" wrapText="1"/>
      <protection hidden="1"/>
    </xf>
    <xf numFmtId="0" fontId="6" fillId="12" borderId="5" xfId="0" applyFont="1" applyFill="1" applyBorder="1" applyAlignment="1" applyProtection="1">
      <alignment horizontal="centerContinuous" vertical="center" wrapText="1"/>
      <protection hidden="1"/>
    </xf>
    <xf numFmtId="0" fontId="6" fillId="12" borderId="5" xfId="0" applyFont="1" applyFill="1" applyBorder="1" applyAlignment="1" applyProtection="1">
      <alignment horizontal="centerContinuous" vertical="center"/>
      <protection hidden="1"/>
    </xf>
    <xf numFmtId="0" fontId="6" fillId="12" borderId="5" xfId="0" applyFont="1" applyFill="1" applyBorder="1" applyAlignment="1" applyProtection="1">
      <alignment horizontal="center" vertical="center"/>
      <protection hidden="1"/>
    </xf>
    <xf numFmtId="17" fontId="6" fillId="12" borderId="5" xfId="0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left" vertical="center"/>
    </xf>
    <xf numFmtId="0" fontId="26" fillId="12" borderId="0" xfId="0" applyFont="1" applyFill="1" applyAlignment="1" applyProtection="1">
      <alignment horizontal="left" vertical="center"/>
      <protection hidden="1"/>
    </xf>
    <xf numFmtId="0" fontId="19" fillId="12" borderId="0" xfId="0" applyFont="1" applyFill="1" applyAlignment="1" applyProtection="1">
      <alignment horizontal="left" vertical="center"/>
      <protection hidden="1"/>
    </xf>
    <xf numFmtId="0" fontId="13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33" fillId="4" borderId="0" xfId="0" applyFont="1" applyFill="1" applyAlignment="1">
      <alignment horizontal="left" vertical="center"/>
    </xf>
    <xf numFmtId="0" fontId="38" fillId="4" borderId="14" xfId="5" applyFont="1" applyFill="1" applyBorder="1"/>
    <xf numFmtId="0" fontId="35" fillId="4" borderId="15" xfId="0" applyFont="1" applyFill="1" applyBorder="1"/>
    <xf numFmtId="0" fontId="34" fillId="12" borderId="17" xfId="0" applyFont="1" applyFill="1" applyBorder="1" applyAlignment="1">
      <alignment horizontal="left" vertical="center"/>
    </xf>
    <xf numFmtId="0" fontId="29" fillId="12" borderId="7" xfId="5" applyFont="1" applyFill="1" applyBorder="1"/>
    <xf numFmtId="0" fontId="29" fillId="12" borderId="18" xfId="5" applyFont="1" applyFill="1" applyBorder="1"/>
    <xf numFmtId="0" fontId="33" fillId="12" borderId="19" xfId="0" applyFont="1" applyFill="1" applyBorder="1" applyAlignment="1">
      <alignment horizontal="left" vertical="center"/>
    </xf>
    <xf numFmtId="0" fontId="29" fillId="12" borderId="0" xfId="5" applyFont="1" applyFill="1" applyBorder="1"/>
    <xf numFmtId="0" fontId="29" fillId="12" borderId="20" xfId="5" applyFont="1" applyFill="1" applyBorder="1"/>
    <xf numFmtId="0" fontId="38" fillId="12" borderId="19" xfId="5" applyFont="1" applyFill="1" applyBorder="1"/>
    <xf numFmtId="0" fontId="28" fillId="12" borderId="21" xfId="5" applyFont="1" applyFill="1" applyBorder="1"/>
    <xf numFmtId="0" fontId="29" fillId="12" borderId="2" xfId="5" applyFont="1" applyFill="1" applyBorder="1"/>
    <xf numFmtId="0" fontId="26" fillId="12" borderId="33" xfId="5" applyFont="1" applyFill="1" applyBorder="1" applyAlignment="1" applyProtection="1">
      <alignment horizontal="center"/>
    </xf>
    <xf numFmtId="0" fontId="23" fillId="7" borderId="43" xfId="5" applyFont="1" applyFill="1" applyBorder="1" applyAlignment="1" applyProtection="1">
      <alignment horizontal="left"/>
    </xf>
    <xf numFmtId="0" fontId="23" fillId="7" borderId="7" xfId="5" applyFont="1" applyFill="1" applyBorder="1" applyAlignment="1" applyProtection="1">
      <alignment horizontal="left"/>
    </xf>
    <xf numFmtId="0" fontId="23" fillId="7" borderId="44" xfId="5" applyFont="1" applyFill="1" applyBorder="1" applyAlignment="1" applyProtection="1">
      <alignment horizontal="left"/>
    </xf>
    <xf numFmtId="0" fontId="30" fillId="7" borderId="44" xfId="5" applyFont="1" applyFill="1" applyBorder="1"/>
    <xf numFmtId="0" fontId="23" fillId="7" borderId="14" xfId="5" applyFont="1" applyFill="1" applyBorder="1"/>
    <xf numFmtId="0" fontId="23" fillId="7" borderId="0" xfId="5" applyFont="1" applyFill="1" applyBorder="1" applyAlignment="1" applyProtection="1">
      <alignment horizontal="center"/>
    </xf>
    <xf numFmtId="0" fontId="30" fillId="7" borderId="14" xfId="5" applyFont="1" applyFill="1" applyBorder="1" applyAlignment="1" applyProtection="1">
      <alignment horizontal="left"/>
    </xf>
    <xf numFmtId="166" fontId="30" fillId="7" borderId="0" xfId="1" applyNumberFormat="1" applyFont="1" applyFill="1" applyBorder="1"/>
    <xf numFmtId="0" fontId="30" fillId="7" borderId="34" xfId="5" applyFont="1" applyFill="1" applyBorder="1" applyAlignment="1" applyProtection="1">
      <alignment horizontal="left"/>
    </xf>
    <xf numFmtId="166" fontId="30" fillId="7" borderId="35" xfId="1" applyNumberFormat="1" applyFont="1" applyFill="1" applyBorder="1"/>
    <xf numFmtId="0" fontId="30" fillId="7" borderId="15" xfId="5" applyFont="1" applyFill="1" applyBorder="1" applyAlignment="1" applyProtection="1">
      <alignment horizontal="left"/>
    </xf>
    <xf numFmtId="168" fontId="30" fillId="7" borderId="12" xfId="5" applyNumberFormat="1" applyFont="1" applyFill="1" applyBorder="1" applyProtection="1"/>
    <xf numFmtId="168" fontId="30" fillId="7" borderId="8" xfId="5" applyNumberFormat="1" applyFont="1" applyFill="1" applyBorder="1" applyProtection="1"/>
    <xf numFmtId="0" fontId="23" fillId="7" borderId="14" xfId="5" applyFont="1" applyFill="1" applyBorder="1" applyAlignment="1" applyProtection="1">
      <alignment horizontal="left"/>
    </xf>
    <xf numFmtId="0" fontId="23" fillId="7" borderId="0" xfId="5" applyFont="1" applyFill="1" applyBorder="1" applyAlignment="1" applyProtection="1">
      <alignment horizontal="left"/>
    </xf>
    <xf numFmtId="0" fontId="23" fillId="7" borderId="9" xfId="5" applyFont="1" applyFill="1" applyBorder="1" applyAlignment="1" applyProtection="1">
      <alignment horizontal="left"/>
    </xf>
    <xf numFmtId="0" fontId="23" fillId="7" borderId="0" xfId="5" applyFont="1" applyFill="1" applyBorder="1" applyAlignment="1" applyProtection="1">
      <alignment horizontal="right"/>
    </xf>
    <xf numFmtId="0" fontId="23" fillId="7" borderId="9" xfId="5" applyFont="1" applyFill="1" applyBorder="1" applyAlignment="1" applyProtection="1">
      <alignment horizontal="right"/>
    </xf>
    <xf numFmtId="0" fontId="23" fillId="7" borderId="9" xfId="5" quotePrefix="1" applyFont="1" applyFill="1" applyBorder="1" applyAlignment="1" applyProtection="1">
      <alignment horizontal="right"/>
    </xf>
    <xf numFmtId="168" fontId="32" fillId="7" borderId="0" xfId="5" applyNumberFormat="1" applyFont="1" applyFill="1" applyBorder="1"/>
    <xf numFmtId="37" fontId="32" fillId="7" borderId="9" xfId="5" applyNumberFormat="1" applyFont="1" applyFill="1" applyBorder="1"/>
    <xf numFmtId="168" fontId="32" fillId="7" borderId="0" xfId="5" applyNumberFormat="1" applyFont="1" applyFill="1" applyBorder="1" applyProtection="1"/>
    <xf numFmtId="37" fontId="32" fillId="7" borderId="9" xfId="5" applyNumberFormat="1" applyFont="1" applyFill="1" applyBorder="1" applyProtection="1"/>
    <xf numFmtId="168" fontId="32" fillId="7" borderId="9" xfId="5" applyNumberFormat="1" applyFont="1" applyFill="1" applyBorder="1" applyProtection="1"/>
    <xf numFmtId="0" fontId="30" fillId="7" borderId="34" xfId="5" applyFont="1" applyFill="1" applyBorder="1" applyAlignment="1">
      <alignment horizontal="left" indent="1"/>
    </xf>
    <xf numFmtId="168" fontId="32" fillId="7" borderId="35" xfId="5" applyNumberFormat="1" applyFont="1" applyFill="1" applyBorder="1" applyProtection="1"/>
    <xf numFmtId="168" fontId="32" fillId="7" borderId="10" xfId="5" applyNumberFormat="1" applyFont="1" applyFill="1" applyBorder="1" applyProtection="1"/>
    <xf numFmtId="0" fontId="5" fillId="12" borderId="0" xfId="0" applyFont="1" applyFill="1"/>
    <xf numFmtId="0" fontId="36" fillId="12" borderId="0" xfId="0" applyFont="1" applyFill="1"/>
    <xf numFmtId="0" fontId="6" fillId="4" borderId="16" xfId="0" applyFont="1" applyFill="1" applyBorder="1" applyAlignment="1" applyProtection="1">
      <alignment horizontal="centerContinuous" vertical="center"/>
      <protection hidden="1"/>
    </xf>
    <xf numFmtId="166" fontId="6" fillId="2" borderId="5" xfId="0" applyNumberFormat="1" applyFont="1" applyFill="1" applyBorder="1" applyProtection="1">
      <protection locked="0"/>
    </xf>
    <xf numFmtId="166" fontId="18" fillId="6" borderId="5" xfId="1" applyNumberFormat="1" applyFont="1" applyFill="1" applyBorder="1" applyProtection="1">
      <protection hidden="1"/>
    </xf>
    <xf numFmtId="0" fontId="18" fillId="6" borderId="5" xfId="0" applyNumberFormat="1" applyFont="1" applyFill="1" applyBorder="1" applyProtection="1">
      <protection locked="0"/>
    </xf>
    <xf numFmtId="166" fontId="18" fillId="6" borderId="5" xfId="1" applyNumberFormat="1" applyFont="1" applyFill="1" applyBorder="1" applyProtection="1">
      <protection locked="0"/>
    </xf>
    <xf numFmtId="0" fontId="39" fillId="12" borderId="0" xfId="0" applyFont="1" applyFill="1"/>
    <xf numFmtId="0" fontId="40" fillId="0" borderId="42" xfId="0" applyFont="1" applyFill="1" applyBorder="1" applyProtection="1">
      <protection locked="0"/>
    </xf>
    <xf numFmtId="43" fontId="16" fillId="3" borderId="30" xfId="1" applyFont="1" applyFill="1" applyBorder="1" applyProtection="1">
      <protection locked="0"/>
    </xf>
    <xf numFmtId="43" fontId="16" fillId="3" borderId="31" xfId="1" applyFont="1" applyFill="1" applyBorder="1" applyProtection="1">
      <protection locked="0"/>
    </xf>
    <xf numFmtId="165" fontId="16" fillId="3" borderId="31" xfId="3" applyNumberFormat="1" applyFont="1" applyFill="1" applyBorder="1" applyProtection="1">
      <protection locked="0"/>
    </xf>
    <xf numFmtId="165" fontId="16" fillId="3" borderId="31" xfId="1" applyNumberFormat="1" applyFont="1" applyFill="1" applyBorder="1" applyProtection="1">
      <protection locked="0"/>
    </xf>
    <xf numFmtId="9" fontId="18" fillId="0" borderId="5" xfId="3" applyFont="1" applyFill="1" applyBorder="1" applyAlignment="1" applyProtection="1">
      <alignment horizontal="center" vertical="center"/>
      <protection locked="0"/>
    </xf>
    <xf numFmtId="43" fontId="10" fillId="3" borderId="9" xfId="1" applyFont="1" applyFill="1" applyBorder="1" applyAlignment="1" applyProtection="1">
      <alignment horizontal="center" vertical="center"/>
      <protection locked="0"/>
    </xf>
    <xf numFmtId="166" fontId="10" fillId="7" borderId="14" xfId="1" applyNumberFormat="1" applyFont="1" applyFill="1" applyBorder="1" applyProtection="1">
      <protection locked="0"/>
    </xf>
    <xf numFmtId="166" fontId="10" fillId="3" borderId="9" xfId="1" applyNumberFormat="1" applyFont="1" applyFill="1" applyBorder="1" applyAlignment="1" applyProtection="1">
      <alignment horizontal="center"/>
      <protection locked="0"/>
    </xf>
    <xf numFmtId="166" fontId="10" fillId="7" borderId="0" xfId="1" applyNumberFormat="1" applyFont="1" applyFill="1" applyBorder="1" applyProtection="1"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166" fontId="10" fillId="7" borderId="16" xfId="1" applyNumberFormat="1" applyFont="1" applyFill="1" applyBorder="1" applyProtection="1">
      <protection locked="0"/>
    </xf>
    <xf numFmtId="166" fontId="10" fillId="3" borderId="5" xfId="1" applyNumberFormat="1" applyFont="1" applyFill="1" applyBorder="1" applyProtection="1">
      <protection locked="0"/>
    </xf>
    <xf numFmtId="166" fontId="10" fillId="7" borderId="11" xfId="1" applyNumberFormat="1" applyFont="1" applyFill="1" applyBorder="1" applyProtection="1">
      <protection locked="0"/>
    </xf>
    <xf numFmtId="0" fontId="7" fillId="3" borderId="9" xfId="0" applyFont="1" applyFill="1" applyBorder="1" applyAlignment="1" applyProtection="1">
      <alignment horizontal="center" vertical="center"/>
      <protection locked="0"/>
    </xf>
    <xf numFmtId="166" fontId="7" fillId="7" borderId="14" xfId="1" applyNumberFormat="1" applyFont="1" applyFill="1" applyBorder="1" applyAlignment="1" applyProtection="1">
      <protection locked="0"/>
    </xf>
    <xf numFmtId="166" fontId="7" fillId="3" borderId="9" xfId="1" applyNumberFormat="1" applyFont="1" applyFill="1" applyBorder="1" applyAlignment="1" applyProtection="1">
      <protection locked="0"/>
    </xf>
    <xf numFmtId="166" fontId="7" fillId="7" borderId="0" xfId="1" applyNumberFormat="1" applyFont="1" applyFill="1" applyAlignment="1" applyProtection="1">
      <protection locked="0"/>
    </xf>
    <xf numFmtId="166" fontId="10" fillId="3" borderId="9" xfId="1" applyNumberFormat="1" applyFont="1" applyFill="1" applyBorder="1" applyProtection="1"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166" fontId="6" fillId="2" borderId="16" xfId="1" applyNumberFormat="1" applyFont="1" applyFill="1" applyBorder="1" applyProtection="1">
      <protection locked="0"/>
    </xf>
    <xf numFmtId="166" fontId="6" fillId="2" borderId="11" xfId="1" applyNumberFormat="1" applyFont="1" applyFill="1" applyBorder="1" applyProtection="1">
      <protection locked="0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0" fillId="7" borderId="14" xfId="0" applyFont="1" applyFill="1" applyBorder="1" applyAlignment="1" applyProtection="1">
      <protection locked="0"/>
    </xf>
    <xf numFmtId="0" fontId="10" fillId="3" borderId="9" xfId="0" applyFont="1" applyFill="1" applyBorder="1" applyAlignment="1" applyProtection="1">
      <protection locked="0"/>
    </xf>
    <xf numFmtId="0" fontId="10" fillId="7" borderId="0" xfId="0" applyFont="1" applyFill="1" applyAlignment="1" applyProtection="1">
      <protection locked="0"/>
    </xf>
    <xf numFmtId="44" fontId="10" fillId="7" borderId="14" xfId="3" applyNumberFormat="1" applyFont="1" applyFill="1" applyBorder="1" applyAlignment="1" applyProtection="1">
      <protection locked="0"/>
    </xf>
    <xf numFmtId="44" fontId="10" fillId="3" borderId="9" xfId="3" applyNumberFormat="1" applyFont="1" applyFill="1" applyBorder="1" applyAlignment="1" applyProtection="1">
      <alignment horizontal="center"/>
      <protection locked="0"/>
    </xf>
    <xf numFmtId="44" fontId="10" fillId="7" borderId="0" xfId="3" applyNumberFormat="1" applyFont="1" applyFill="1" applyBorder="1" applyAlignment="1" applyProtection="1">
      <alignment horizontal="center"/>
      <protection locked="0"/>
    </xf>
    <xf numFmtId="44" fontId="10" fillId="7" borderId="14" xfId="3" applyNumberFormat="1" applyFont="1" applyFill="1" applyBorder="1" applyAlignment="1" applyProtection="1">
      <alignment horizontal="center"/>
      <protection locked="0"/>
    </xf>
    <xf numFmtId="166" fontId="10" fillId="3" borderId="8" xfId="1" applyNumberFormat="1" applyFont="1" applyFill="1" applyBorder="1" applyAlignment="1" applyProtection="1">
      <alignment horizontal="center" vertical="center"/>
      <protection locked="0"/>
    </xf>
    <xf numFmtId="166" fontId="10" fillId="3" borderId="9" xfId="1" applyNumberFormat="1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6" fillId="4" borderId="14" xfId="0" applyFont="1" applyFill="1" applyBorder="1" applyAlignment="1" applyProtection="1">
      <alignment horizontal="center"/>
      <protection locked="0"/>
    </xf>
    <xf numFmtId="166" fontId="10" fillId="5" borderId="19" xfId="1" applyNumberFormat="1" applyFont="1" applyFill="1" applyBorder="1" applyProtection="1">
      <protection locked="0"/>
    </xf>
    <xf numFmtId="9" fontId="10" fillId="3" borderId="9" xfId="3" applyFont="1" applyFill="1" applyBorder="1" applyProtection="1">
      <protection locked="0"/>
    </xf>
    <xf numFmtId="166" fontId="10" fillId="5" borderId="23" xfId="1" applyNumberFormat="1" applyFont="1" applyFill="1" applyBorder="1" applyProtection="1">
      <protection locked="0"/>
    </xf>
    <xf numFmtId="9" fontId="10" fillId="3" borderId="5" xfId="3" applyFont="1" applyFill="1" applyBorder="1" applyProtection="1">
      <protection locked="0"/>
    </xf>
    <xf numFmtId="166" fontId="7" fillId="5" borderId="19" xfId="1" applyNumberFormat="1" applyFont="1" applyFill="1" applyBorder="1" applyAlignment="1" applyProtection="1">
      <protection locked="0"/>
    </xf>
    <xf numFmtId="9" fontId="7" fillId="3" borderId="9" xfId="3" applyFont="1" applyFill="1" applyBorder="1" applyAlignment="1" applyProtection="1">
      <protection locked="0"/>
    </xf>
    <xf numFmtId="166" fontId="6" fillId="2" borderId="23" xfId="1" applyNumberFormat="1" applyFont="1" applyFill="1" applyBorder="1" applyProtection="1">
      <protection locked="0"/>
    </xf>
    <xf numFmtId="9" fontId="6" fillId="2" borderId="5" xfId="3" applyFont="1" applyFill="1" applyBorder="1" applyProtection="1">
      <protection locked="0"/>
    </xf>
    <xf numFmtId="166" fontId="10" fillId="5" borderId="19" xfId="1" applyNumberFormat="1" applyFont="1" applyFill="1" applyBorder="1" applyAlignment="1" applyProtection="1">
      <protection locked="0"/>
    </xf>
    <xf numFmtId="9" fontId="10" fillId="3" borderId="9" xfId="3" applyFont="1" applyFill="1" applyBorder="1" applyAlignment="1" applyProtection="1">
      <protection locked="0"/>
    </xf>
    <xf numFmtId="9" fontId="10" fillId="3" borderId="10" xfId="3" applyFont="1" applyFill="1" applyBorder="1" applyProtection="1">
      <protection locked="0"/>
    </xf>
    <xf numFmtId="166" fontId="10" fillId="5" borderId="1" xfId="1" applyNumberFormat="1" applyFont="1" applyFill="1" applyBorder="1" applyProtection="1">
      <protection locked="0"/>
    </xf>
    <xf numFmtId="166" fontId="10" fillId="5" borderId="20" xfId="1" applyNumberFormat="1" applyFont="1" applyFill="1" applyBorder="1" applyProtection="1">
      <protection locked="0"/>
    </xf>
    <xf numFmtId="166" fontId="10" fillId="5" borderId="13" xfId="1" applyNumberFormat="1" applyFont="1" applyFill="1" applyBorder="1" applyProtection="1">
      <protection locked="0"/>
    </xf>
    <xf numFmtId="166" fontId="10" fillId="5" borderId="24" xfId="1" applyNumberFormat="1" applyFont="1" applyFill="1" applyBorder="1" applyProtection="1">
      <protection locked="0"/>
    </xf>
    <xf numFmtId="166" fontId="7" fillId="5" borderId="1" xfId="1" applyNumberFormat="1" applyFont="1" applyFill="1" applyBorder="1" applyAlignment="1" applyProtection="1">
      <protection locked="0"/>
    </xf>
    <xf numFmtId="166" fontId="7" fillId="5" borderId="20" xfId="1" applyNumberFormat="1" applyFont="1" applyFill="1" applyBorder="1" applyAlignment="1" applyProtection="1">
      <protection locked="0"/>
    </xf>
    <xf numFmtId="166" fontId="6" fillId="2" borderId="13" xfId="1" applyNumberFormat="1" applyFont="1" applyFill="1" applyBorder="1" applyProtection="1">
      <protection locked="0"/>
    </xf>
    <xf numFmtId="166" fontId="6" fillId="2" borderId="24" xfId="1" applyNumberFormat="1" applyFont="1" applyFill="1" applyBorder="1" applyProtection="1">
      <protection locked="0"/>
    </xf>
    <xf numFmtId="166" fontId="10" fillId="5" borderId="1" xfId="1" applyNumberFormat="1" applyFont="1" applyFill="1" applyBorder="1" applyAlignment="1" applyProtection="1">
      <protection locked="0"/>
    </xf>
    <xf numFmtId="166" fontId="10" fillId="5" borderId="20" xfId="1" applyNumberFormat="1" applyFont="1" applyFill="1" applyBorder="1" applyAlignment="1" applyProtection="1"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10" fontId="11" fillId="3" borderId="5" xfId="0" applyNumberFormat="1" applyFont="1" applyFill="1" applyBorder="1" applyAlignment="1" applyProtection="1">
      <alignment horizontal="center" vertical="center"/>
      <protection locked="0"/>
    </xf>
    <xf numFmtId="165" fontId="11" fillId="3" borderId="5" xfId="0" applyNumberFormat="1" applyFont="1" applyFill="1" applyBorder="1" applyAlignment="1" applyProtection="1">
      <alignment horizontal="center" vertical="center"/>
      <protection locked="0"/>
    </xf>
    <xf numFmtId="166" fontId="15" fillId="0" borderId="0" xfId="1" applyNumberFormat="1" applyFont="1" applyFill="1" applyAlignment="1">
      <alignment wrapText="1"/>
    </xf>
    <xf numFmtId="49" fontId="16" fillId="7" borderId="19" xfId="4" applyNumberFormat="1" applyFont="1" applyFill="1" applyBorder="1" applyAlignment="1">
      <alignment horizontal="left" vertical="center"/>
    </xf>
    <xf numFmtId="166" fontId="16" fillId="7" borderId="19" xfId="1" applyNumberFormat="1" applyFont="1" applyFill="1" applyBorder="1" applyAlignment="1">
      <alignment horizontal="center" vertical="center"/>
    </xf>
    <xf numFmtId="166" fontId="15" fillId="5" borderId="19" xfId="1" applyNumberFormat="1" applyFont="1" applyFill="1" applyBorder="1" applyAlignment="1">
      <alignment vertical="center"/>
    </xf>
    <xf numFmtId="166" fontId="15" fillId="5" borderId="0" xfId="1" applyNumberFormat="1" applyFont="1" applyFill="1" applyBorder="1" applyAlignment="1">
      <alignment vertical="center"/>
    </xf>
    <xf numFmtId="166" fontId="15" fillId="5" borderId="20" xfId="1" applyNumberFormat="1" applyFont="1" applyFill="1" applyBorder="1" applyAlignment="1">
      <alignment vertical="center"/>
    </xf>
    <xf numFmtId="49" fontId="16" fillId="7" borderId="23" xfId="4" applyNumberFormat="1" applyFont="1" applyFill="1" applyBorder="1" applyAlignment="1">
      <alignment vertical="center"/>
    </xf>
    <xf numFmtId="166" fontId="16" fillId="7" borderId="23" xfId="1" applyNumberFormat="1" applyFont="1" applyFill="1" applyBorder="1" applyAlignment="1">
      <alignment horizontal="center" vertical="center"/>
    </xf>
    <xf numFmtId="166" fontId="15" fillId="5" borderId="23" xfId="1" applyNumberFormat="1" applyFont="1" applyFill="1" applyBorder="1" applyAlignment="1">
      <alignment vertical="center"/>
    </xf>
    <xf numFmtId="166" fontId="15" fillId="5" borderId="11" xfId="1" applyNumberFormat="1" applyFont="1" applyFill="1" applyBorder="1" applyAlignment="1">
      <alignment vertical="center"/>
    </xf>
    <xf numFmtId="166" fontId="15" fillId="5" borderId="24" xfId="1" applyNumberFormat="1" applyFont="1" applyFill="1" applyBorder="1" applyAlignment="1">
      <alignment vertical="center"/>
    </xf>
    <xf numFmtId="49" fontId="16" fillId="7" borderId="19" xfId="4" applyNumberFormat="1" applyFont="1" applyFill="1" applyBorder="1" applyAlignment="1">
      <alignment vertical="center"/>
    </xf>
    <xf numFmtId="166" fontId="16" fillId="7" borderId="47" xfId="1" applyNumberFormat="1" applyFont="1" applyFill="1" applyBorder="1" applyAlignment="1">
      <alignment horizontal="center" vertical="center"/>
    </xf>
    <xf numFmtId="9" fontId="16" fillId="0" borderId="42" xfId="3" applyFont="1" applyFill="1" applyBorder="1" applyAlignment="1" applyProtection="1">
      <alignment horizontal="center" vertical="center"/>
      <protection locked="0"/>
    </xf>
    <xf numFmtId="165" fontId="15" fillId="5" borderId="19" xfId="3" applyNumberFormat="1" applyFont="1" applyFill="1" applyBorder="1" applyAlignment="1">
      <alignment vertical="center"/>
    </xf>
    <xf numFmtId="165" fontId="15" fillId="5" borderId="20" xfId="3" applyNumberFormat="1" applyFont="1" applyFill="1" applyBorder="1" applyAlignment="1">
      <alignment vertical="center"/>
    </xf>
    <xf numFmtId="0" fontId="16" fillId="7" borderId="19" xfId="0" applyFont="1" applyFill="1" applyBorder="1" applyAlignment="1">
      <alignment vertical="center"/>
    </xf>
    <xf numFmtId="9" fontId="16" fillId="7" borderId="19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right" vertical="center"/>
    </xf>
    <xf numFmtId="166" fontId="10" fillId="0" borderId="46" xfId="1" applyNumberFormat="1" applyFont="1" applyFill="1" applyBorder="1" applyProtection="1">
      <protection locked="0"/>
    </xf>
    <xf numFmtId="166" fontId="10" fillId="0" borderId="45" xfId="1" applyNumberFormat="1" applyFont="1" applyFill="1" applyBorder="1" applyProtection="1">
      <protection locked="0"/>
    </xf>
    <xf numFmtId="0" fontId="16" fillId="7" borderId="19" xfId="0" applyFont="1" applyFill="1" applyBorder="1"/>
    <xf numFmtId="0" fontId="34" fillId="12" borderId="0" xfId="0" applyFont="1" applyFill="1"/>
    <xf numFmtId="0" fontId="41" fillId="12" borderId="0" xfId="0" applyFont="1" applyFill="1"/>
    <xf numFmtId="0" fontId="41" fillId="12" borderId="0" xfId="0" applyFont="1" applyFill="1" applyAlignment="1">
      <alignment horizontal="center"/>
    </xf>
    <xf numFmtId="0" fontId="42" fillId="0" borderId="42" xfId="0" applyFont="1" applyFill="1" applyBorder="1" applyProtection="1">
      <protection locked="0"/>
    </xf>
    <xf numFmtId="0" fontId="25" fillId="12" borderId="0" xfId="0" applyFont="1" applyFill="1"/>
    <xf numFmtId="0" fontId="21" fillId="12" borderId="0" xfId="0" applyFont="1" applyFill="1"/>
    <xf numFmtId="0" fontId="21" fillId="12" borderId="0" xfId="0" applyFont="1" applyFill="1" applyAlignment="1">
      <alignment horizontal="center"/>
    </xf>
    <xf numFmtId="0" fontId="43" fillId="0" borderId="3" xfId="0" applyFont="1" applyFill="1" applyBorder="1"/>
    <xf numFmtId="0" fontId="21" fillId="0" borderId="4" xfId="0" applyFont="1" applyFill="1" applyBorder="1"/>
    <xf numFmtId="0" fontId="21" fillId="0" borderId="4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0" fontId="21" fillId="0" borderId="0" xfId="0" applyFont="1" applyFill="1" applyAlignment="1">
      <alignment horizontal="left" indent="1"/>
    </xf>
    <xf numFmtId="0" fontId="21" fillId="0" borderId="0" xfId="0" applyFont="1" applyFill="1"/>
    <xf numFmtId="169" fontId="21" fillId="0" borderId="0" xfId="1" applyNumberFormat="1" applyFont="1" applyFill="1"/>
    <xf numFmtId="165" fontId="21" fillId="0" borderId="0" xfId="3" applyNumberFormat="1" applyFont="1" applyFill="1" applyAlignment="1">
      <alignment horizontal="center"/>
    </xf>
    <xf numFmtId="0" fontId="21" fillId="0" borderId="0" xfId="0" applyFont="1" applyFill="1" applyBorder="1" applyAlignment="1">
      <alignment horizontal="left" indent="1"/>
    </xf>
    <xf numFmtId="165" fontId="21" fillId="0" borderId="0" xfId="3" applyNumberFormat="1" applyFont="1" applyFill="1"/>
    <xf numFmtId="0" fontId="21" fillId="0" borderId="0" xfId="0" applyFont="1" applyFill="1" applyAlignment="1">
      <alignment horizontal="center"/>
    </xf>
    <xf numFmtId="165" fontId="21" fillId="0" borderId="0" xfId="3" applyNumberFormat="1" applyFont="1" applyFill="1" applyAlignment="1">
      <alignment horizontal="right"/>
    </xf>
    <xf numFmtId="9" fontId="21" fillId="0" borderId="0" xfId="3" applyFont="1" applyFill="1"/>
    <xf numFmtId="9" fontId="21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12" borderId="0" xfId="0" applyFont="1" applyFill="1"/>
    <xf numFmtId="44" fontId="10" fillId="7" borderId="0" xfId="3" applyNumberFormat="1" applyFont="1" applyFill="1" applyBorder="1" applyAlignment="1" applyProtection="1">
      <protection locked="0"/>
    </xf>
  </cellXfs>
  <cellStyles count="8">
    <cellStyle name="Comma" xfId="1" builtinId="3"/>
    <cellStyle name="Comma 2" xfId="6"/>
    <cellStyle name="Currency" xfId="2" builtinId="4"/>
    <cellStyle name="Normal" xfId="0" builtinId="0"/>
    <cellStyle name="Normal 2" xfId="4"/>
    <cellStyle name="Normal 3" xfId="5"/>
    <cellStyle name="Percent" xfId="3" builtinId="5"/>
    <cellStyle name="Percent 2" xfId="7"/>
  </cellStyles>
  <dxfs count="0"/>
  <tableStyles count="0" defaultTableStyle="TableStyleMedium2" defaultPivotStyle="PivotStyleLight16"/>
  <colors>
    <mruColors>
      <color rgb="FF001B50"/>
      <color rgb="FF99CCFF"/>
      <color rgb="FFFFFFCC"/>
      <color rgb="FFFFFF99"/>
      <color rgb="FF0048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6" zoomScaleNormal="136" workbookViewId="0">
      <selection activeCell="D3" sqref="D3"/>
    </sheetView>
  </sheetViews>
  <sheetFormatPr defaultColWidth="9.1796875" defaultRowHeight="23.5" x14ac:dyDescent="0.55000000000000004"/>
  <cols>
    <col min="1" max="1" width="2.453125" style="420" customWidth="1"/>
    <col min="2" max="2" width="26.453125" style="420" bestFit="1" customWidth="1"/>
    <col min="3" max="3" width="3.54296875" style="420" customWidth="1"/>
    <col min="4" max="4" width="44.54296875" style="420" customWidth="1"/>
    <col min="5" max="5" width="1.81640625" style="420" customWidth="1"/>
    <col min="6" max="12" width="9.1796875" style="420"/>
    <col min="13" max="15" width="0" style="420" hidden="1" customWidth="1"/>
    <col min="16" max="16384" width="9.1796875" style="420"/>
  </cols>
  <sheetData>
    <row r="1" spans="1:14" ht="24" thickBot="1" x14ac:dyDescent="0.6">
      <c r="A1" s="414"/>
      <c r="B1" s="414"/>
      <c r="C1" s="414"/>
      <c r="D1" s="414"/>
      <c r="E1" s="414"/>
    </row>
    <row r="2" spans="1:14" ht="24" thickBot="1" x14ac:dyDescent="0.6">
      <c r="A2" s="414"/>
      <c r="B2" s="413" t="s">
        <v>204</v>
      </c>
      <c r="C2" s="414"/>
      <c r="D2" s="421" t="s">
        <v>243</v>
      </c>
      <c r="E2" s="414"/>
    </row>
    <row r="3" spans="1:14" ht="24" thickBot="1" x14ac:dyDescent="0.6">
      <c r="A3" s="414"/>
      <c r="B3" s="414"/>
      <c r="C3" s="414"/>
      <c r="D3" s="414"/>
      <c r="E3" s="414"/>
      <c r="N3" s="420" t="s">
        <v>206</v>
      </c>
    </row>
    <row r="4" spans="1:14" ht="24" thickBot="1" x14ac:dyDescent="0.6">
      <c r="A4" s="414"/>
      <c r="B4" s="413" t="s">
        <v>205</v>
      </c>
      <c r="C4" s="414"/>
      <c r="D4" s="421" t="s">
        <v>206</v>
      </c>
      <c r="E4" s="414"/>
      <c r="N4" s="420" t="s">
        <v>207</v>
      </c>
    </row>
    <row r="5" spans="1:14" x14ac:dyDescent="0.55000000000000004">
      <c r="A5" s="414"/>
      <c r="B5" s="414"/>
      <c r="C5" s="414"/>
      <c r="D5" s="414"/>
      <c r="E5" s="414"/>
      <c r="N5" s="420" t="s">
        <v>208</v>
      </c>
    </row>
  </sheetData>
  <dataValidations count="1">
    <dataValidation type="list" allowBlank="1" showInputMessage="1" showErrorMessage="1" promptTitle="Number Format" prompt="Select the Format of Numbers" sqref="D4">
      <formula1>N3:N5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27"/>
  <sheetViews>
    <sheetView showGridLines="0" zoomScale="136" zoomScaleNormal="136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P5" sqref="P5"/>
    </sheetView>
  </sheetViews>
  <sheetFormatPr defaultColWidth="9.1796875" defaultRowHeight="10" x14ac:dyDescent="0.2"/>
  <cols>
    <col min="1" max="1" width="2.7265625" style="258" customWidth="1"/>
    <col min="2" max="2" width="31.81640625" style="258" customWidth="1"/>
    <col min="3" max="3" width="7.1796875" style="258" customWidth="1"/>
    <col min="4" max="11" width="8.26953125" style="258" hidden="1" customWidth="1"/>
    <col min="12" max="14" width="8.7265625" style="258" hidden="1" customWidth="1"/>
    <col min="15" max="15" width="8.81640625" style="258" hidden="1" customWidth="1"/>
    <col min="16" max="16" width="8.7265625" style="258" bestFit="1" customWidth="1"/>
    <col min="17" max="17" width="9.81640625" style="258" bestFit="1" customWidth="1"/>
    <col min="18" max="18" width="10.453125" style="258" bestFit="1" customWidth="1"/>
    <col min="19" max="19" width="10.7265625" style="258" bestFit="1" customWidth="1"/>
    <col min="20" max="21" width="12" style="258" bestFit="1" customWidth="1"/>
    <col min="22" max="16384" width="9.1796875" style="258"/>
  </cols>
  <sheetData>
    <row r="2" spans="2:21" ht="18.5" x14ac:dyDescent="0.25">
      <c r="B2" s="372" t="str">
        <f>TitlePage!D2</f>
        <v>Lahab Automotive</v>
      </c>
      <c r="C2" s="255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7"/>
    </row>
    <row r="3" spans="2:21" ht="14.5" x14ac:dyDescent="0.25">
      <c r="B3" s="373" t="str">
        <f>"All Numbers are in "&amp;TEXT(TitlePage!D4,0)</f>
        <v>All Numbers are in SAR</v>
      </c>
      <c r="C3" s="355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60"/>
    </row>
    <row r="4" spans="2:21" ht="20" x14ac:dyDescent="0.4">
      <c r="B4" s="374" t="s">
        <v>167</v>
      </c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60"/>
    </row>
    <row r="5" spans="2:21" ht="11" thickBot="1" x14ac:dyDescent="0.3">
      <c r="B5" s="261"/>
      <c r="C5" s="262"/>
      <c r="D5" s="263" t="str">
        <f>WCInputs!C7</f>
        <v>Jan</v>
      </c>
      <c r="E5" s="263" t="str">
        <f>WCInputs!D7</f>
        <v>Feb</v>
      </c>
      <c r="F5" s="263" t="str">
        <f>WCInputs!E7</f>
        <v>Mar</v>
      </c>
      <c r="G5" s="263" t="str">
        <f>WCInputs!F7</f>
        <v>Apr</v>
      </c>
      <c r="H5" s="263" t="str">
        <f>WCInputs!G7</f>
        <v>May</v>
      </c>
      <c r="I5" s="263" t="str">
        <f>WCInputs!H7</f>
        <v>Jun</v>
      </c>
      <c r="J5" s="263" t="str">
        <f>WCInputs!I7</f>
        <v>Jul</v>
      </c>
      <c r="K5" s="263" t="str">
        <f>WCInputs!J7</f>
        <v>Aug</v>
      </c>
      <c r="L5" s="263" t="str">
        <f>WCInputs!K7</f>
        <v>Sep</v>
      </c>
      <c r="M5" s="263" t="str">
        <f>WCInputs!L7</f>
        <v>Oct</v>
      </c>
      <c r="N5" s="263" t="str">
        <f>WCInputs!M7</f>
        <v>Nov</v>
      </c>
      <c r="O5" s="263" t="str">
        <f>WCInputs!N7</f>
        <v>Dec</v>
      </c>
      <c r="P5" s="263">
        <f>WCInputs!O5</f>
        <v>2019</v>
      </c>
      <c r="Q5" s="263">
        <f>WCInputs!P5</f>
        <v>2020</v>
      </c>
      <c r="R5" s="263">
        <f>WCInputs!Q5</f>
        <v>2021</v>
      </c>
      <c r="S5" s="263">
        <f>WCInputs!R5</f>
        <v>2022</v>
      </c>
      <c r="T5" s="263">
        <f>WCInputs!S5</f>
        <v>2023</v>
      </c>
      <c r="U5" s="263">
        <f>WCInputs!T5</f>
        <v>2024</v>
      </c>
    </row>
    <row r="6" spans="2:21" ht="13.5" thickBot="1" x14ac:dyDescent="0.35">
      <c r="B6" s="352" t="s">
        <v>200</v>
      </c>
      <c r="C6" s="353">
        <v>0</v>
      </c>
      <c r="D6" s="351">
        <f>(WCInputs!C8*$C6)</f>
        <v>0</v>
      </c>
      <c r="E6" s="265">
        <f>(WCInputs!D8*$C6)+D6</f>
        <v>0</v>
      </c>
      <c r="F6" s="265">
        <f>(WCInputs!E8*$C6)+E6</f>
        <v>0</v>
      </c>
      <c r="G6" s="265">
        <f>(WCInputs!F8*$C6)+F6</f>
        <v>0</v>
      </c>
      <c r="H6" s="265">
        <f>(WCInputs!G8*$C6)+G6</f>
        <v>0</v>
      </c>
      <c r="I6" s="265">
        <f>(WCInputs!H8*$C6)+H6</f>
        <v>0</v>
      </c>
      <c r="J6" s="265">
        <f>(WCInputs!I8*$C6)+I6</f>
        <v>0</v>
      </c>
      <c r="K6" s="265">
        <f>(WCInputs!J8*$C6)+J6</f>
        <v>0</v>
      </c>
      <c r="L6" s="265">
        <f>(WCInputs!K8*$C6)+K6</f>
        <v>0</v>
      </c>
      <c r="M6" s="265">
        <f>(WCInputs!L8*$C6)+L6</f>
        <v>0</v>
      </c>
      <c r="N6" s="265">
        <f>(WCInputs!M8*$C6)+M6</f>
        <v>0</v>
      </c>
      <c r="O6" s="265">
        <f>(WCInputs!N8*$C6)+N6</f>
        <v>0</v>
      </c>
      <c r="P6" s="266">
        <f>(WCInputs!O8*$C6)</f>
        <v>0</v>
      </c>
      <c r="Q6" s="266">
        <f>(WCInputs!P8*$C6)</f>
        <v>0</v>
      </c>
      <c r="R6" s="266">
        <f>(WCInputs!Q8*$C6)</f>
        <v>0</v>
      </c>
      <c r="S6" s="266">
        <f>(WCInputs!R8*$C6)</f>
        <v>0</v>
      </c>
      <c r="T6" s="266">
        <f>(WCInputs!S8*$C6)</f>
        <v>0</v>
      </c>
      <c r="U6" s="267">
        <f>(WCInputs!T8*$C6)</f>
        <v>0</v>
      </c>
    </row>
    <row r="7" spans="2:21" x14ac:dyDescent="0.2">
      <c r="B7" s="264" t="s">
        <v>168</v>
      </c>
      <c r="C7" s="348"/>
      <c r="D7" s="268">
        <f>WCInputs!C13</f>
        <v>0</v>
      </c>
      <c r="E7" s="268">
        <f>WCInputs!D13</f>
        <v>0</v>
      </c>
      <c r="F7" s="268">
        <f>WCInputs!E13</f>
        <v>0</v>
      </c>
      <c r="G7" s="268">
        <f>WCInputs!F13</f>
        <v>0</v>
      </c>
      <c r="H7" s="268">
        <f>WCInputs!G13</f>
        <v>0</v>
      </c>
      <c r="I7" s="268">
        <f>WCInputs!H13</f>
        <v>0</v>
      </c>
      <c r="J7" s="268">
        <f>WCInputs!I13</f>
        <v>0</v>
      </c>
      <c r="K7" s="268">
        <f>WCInputs!J13</f>
        <v>0</v>
      </c>
      <c r="L7" s="268">
        <f>WCInputs!K13</f>
        <v>0</v>
      </c>
      <c r="M7" s="268">
        <f>WCInputs!L13</f>
        <v>0</v>
      </c>
      <c r="N7" s="268">
        <f>WCInputs!M13</f>
        <v>0</v>
      </c>
      <c r="O7" s="268">
        <f>WCInputs!N13</f>
        <v>250000</v>
      </c>
      <c r="P7" s="269">
        <f>WCInputs!O13</f>
        <v>250000</v>
      </c>
      <c r="Q7" s="269">
        <f>WCInputs!P13</f>
        <v>450000</v>
      </c>
      <c r="R7" s="269">
        <f>WCInputs!Q13</f>
        <v>495000.00000000006</v>
      </c>
      <c r="S7" s="269">
        <f>WCInputs!R13</f>
        <v>544500.00000000012</v>
      </c>
      <c r="T7" s="269">
        <f>WCInputs!S13</f>
        <v>598950.00000000023</v>
      </c>
      <c r="U7" s="270">
        <f>WCInputs!T13</f>
        <v>658845.00000000035</v>
      </c>
    </row>
    <row r="8" spans="2:21" x14ac:dyDescent="0.2">
      <c r="B8" s="264" t="s">
        <v>169</v>
      </c>
      <c r="C8" s="348"/>
      <c r="D8" s="268">
        <f>WCInputs!C14</f>
        <v>0</v>
      </c>
      <c r="E8" s="268">
        <f>WCInputs!D14</f>
        <v>0</v>
      </c>
      <c r="F8" s="268">
        <f>WCInputs!E14</f>
        <v>0</v>
      </c>
      <c r="G8" s="268">
        <f>WCInputs!F14</f>
        <v>0</v>
      </c>
      <c r="H8" s="268">
        <f>WCInputs!G14</f>
        <v>0</v>
      </c>
      <c r="I8" s="268">
        <f>WCInputs!H14</f>
        <v>0</v>
      </c>
      <c r="J8" s="268">
        <f>WCInputs!I14</f>
        <v>0</v>
      </c>
      <c r="K8" s="268">
        <f>WCInputs!J14</f>
        <v>0</v>
      </c>
      <c r="L8" s="268">
        <f>WCInputs!K14</f>
        <v>0</v>
      </c>
      <c r="M8" s="268">
        <f>WCInputs!L14</f>
        <v>0</v>
      </c>
      <c r="N8" s="268">
        <f>WCInputs!M14</f>
        <v>0</v>
      </c>
      <c r="O8" s="268">
        <f>WCInputs!N14</f>
        <v>0</v>
      </c>
      <c r="P8" s="269">
        <f>WCInputs!O14</f>
        <v>0</v>
      </c>
      <c r="Q8" s="269">
        <f>WCInputs!P14</f>
        <v>0</v>
      </c>
      <c r="R8" s="269">
        <f>WCInputs!Q14</f>
        <v>0</v>
      </c>
      <c r="S8" s="269">
        <f>WCInputs!R14</f>
        <v>0</v>
      </c>
      <c r="T8" s="269">
        <f>WCInputs!S14</f>
        <v>0</v>
      </c>
      <c r="U8" s="270">
        <f>WCInputs!T14</f>
        <v>0</v>
      </c>
    </row>
    <row r="9" spans="2:21" x14ac:dyDescent="0.2">
      <c r="B9" s="271" t="s">
        <v>161</v>
      </c>
      <c r="C9" s="349"/>
      <c r="D9" s="272">
        <f>WCInputs!C15</f>
        <v>0</v>
      </c>
      <c r="E9" s="272">
        <f>WCInputs!D15</f>
        <v>0</v>
      </c>
      <c r="F9" s="272">
        <f>WCInputs!E15</f>
        <v>0</v>
      </c>
      <c r="G9" s="272">
        <f>WCInputs!F15</f>
        <v>0</v>
      </c>
      <c r="H9" s="272">
        <f>WCInputs!G15</f>
        <v>0</v>
      </c>
      <c r="I9" s="272">
        <f>WCInputs!H15</f>
        <v>0</v>
      </c>
      <c r="J9" s="272">
        <f>WCInputs!I15</f>
        <v>0</v>
      </c>
      <c r="K9" s="272">
        <f>WCInputs!J15</f>
        <v>0</v>
      </c>
      <c r="L9" s="272">
        <f>WCInputs!K15</f>
        <v>0</v>
      </c>
      <c r="M9" s="272">
        <f>WCInputs!L15</f>
        <v>0</v>
      </c>
      <c r="N9" s="272">
        <f>WCInputs!M15</f>
        <v>0</v>
      </c>
      <c r="O9" s="272">
        <f>WCInputs!N15</f>
        <v>0</v>
      </c>
      <c r="P9" s="273">
        <f>WCInputs!O15</f>
        <v>0</v>
      </c>
      <c r="Q9" s="273">
        <f>WCInputs!P15</f>
        <v>0</v>
      </c>
      <c r="R9" s="273">
        <f>WCInputs!Q15</f>
        <v>0</v>
      </c>
      <c r="S9" s="273">
        <f>WCInputs!R15</f>
        <v>0</v>
      </c>
      <c r="T9" s="273">
        <f>WCInputs!S15</f>
        <v>0</v>
      </c>
      <c r="U9" s="274">
        <f>WCInputs!T15</f>
        <v>0</v>
      </c>
    </row>
    <row r="10" spans="2:21" x14ac:dyDescent="0.2">
      <c r="B10" s="275" t="s">
        <v>170</v>
      </c>
      <c r="C10" s="350"/>
      <c r="D10" s="276">
        <f>SUM(D6:D9)</f>
        <v>0</v>
      </c>
      <c r="E10" s="276">
        <f t="shared" ref="E10:U10" si="0">SUM(E6:E9)</f>
        <v>0</v>
      </c>
      <c r="F10" s="276">
        <f t="shared" si="0"/>
        <v>0</v>
      </c>
      <c r="G10" s="276">
        <f t="shared" si="0"/>
        <v>0</v>
      </c>
      <c r="H10" s="276">
        <f t="shared" si="0"/>
        <v>0</v>
      </c>
      <c r="I10" s="276">
        <f t="shared" si="0"/>
        <v>0</v>
      </c>
      <c r="J10" s="276">
        <f t="shared" si="0"/>
        <v>0</v>
      </c>
      <c r="K10" s="276">
        <f t="shared" si="0"/>
        <v>0</v>
      </c>
      <c r="L10" s="276">
        <f t="shared" si="0"/>
        <v>0</v>
      </c>
      <c r="M10" s="276">
        <f t="shared" si="0"/>
        <v>0</v>
      </c>
      <c r="N10" s="276">
        <f t="shared" si="0"/>
        <v>0</v>
      </c>
      <c r="O10" s="276">
        <f t="shared" si="0"/>
        <v>250000</v>
      </c>
      <c r="P10" s="277">
        <f t="shared" si="0"/>
        <v>250000</v>
      </c>
      <c r="Q10" s="277">
        <f t="shared" si="0"/>
        <v>450000</v>
      </c>
      <c r="R10" s="277">
        <f t="shared" si="0"/>
        <v>495000.00000000006</v>
      </c>
      <c r="S10" s="277">
        <f t="shared" si="0"/>
        <v>544500.00000000012</v>
      </c>
      <c r="T10" s="277">
        <f t="shared" si="0"/>
        <v>598950.00000000023</v>
      </c>
      <c r="U10" s="278">
        <f t="shared" si="0"/>
        <v>658845.00000000035</v>
      </c>
    </row>
    <row r="11" spans="2:21" x14ac:dyDescent="0.2">
      <c r="B11" s="275"/>
      <c r="C11" s="350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6"/>
      <c r="Q11" s="266"/>
      <c r="R11" s="266"/>
      <c r="S11" s="266"/>
      <c r="T11" s="266"/>
      <c r="U11" s="267"/>
    </row>
    <row r="12" spans="2:21" x14ac:dyDescent="0.2">
      <c r="B12" s="264" t="str">
        <f>WCInputs!B18</f>
        <v>Accounts payable</v>
      </c>
      <c r="C12" s="348"/>
      <c r="D12" s="279">
        <f>WCInputs!C18</f>
        <v>0</v>
      </c>
      <c r="E12" s="279">
        <f>WCInputs!D18</f>
        <v>0</v>
      </c>
      <c r="F12" s="279">
        <f>WCInputs!E18</f>
        <v>0</v>
      </c>
      <c r="G12" s="279">
        <f>WCInputs!F18</f>
        <v>0</v>
      </c>
      <c r="H12" s="279">
        <f>WCInputs!G18</f>
        <v>0</v>
      </c>
      <c r="I12" s="279">
        <f>WCInputs!H18</f>
        <v>0</v>
      </c>
      <c r="J12" s="279">
        <f>WCInputs!I18</f>
        <v>0</v>
      </c>
      <c r="K12" s="279">
        <f>WCInputs!J18</f>
        <v>0</v>
      </c>
      <c r="L12" s="279">
        <f>WCInputs!K18</f>
        <v>0</v>
      </c>
      <c r="M12" s="279">
        <f>WCInputs!L18</f>
        <v>0</v>
      </c>
      <c r="N12" s="279">
        <f>WCInputs!M18</f>
        <v>0</v>
      </c>
      <c r="O12" s="279">
        <f>WCInputs!N18</f>
        <v>0</v>
      </c>
      <c r="P12" s="280">
        <f>WCInputs!O18</f>
        <v>0</v>
      </c>
      <c r="Q12" s="280">
        <f>WCInputs!P18</f>
        <v>0</v>
      </c>
      <c r="R12" s="280">
        <f>WCInputs!Q18</f>
        <v>0</v>
      </c>
      <c r="S12" s="280">
        <f>WCInputs!R18</f>
        <v>0</v>
      </c>
      <c r="T12" s="280">
        <f>WCInputs!S18</f>
        <v>0</v>
      </c>
      <c r="U12" s="281">
        <f>WCInputs!T18</f>
        <v>0</v>
      </c>
    </row>
    <row r="13" spans="2:21" x14ac:dyDescent="0.2">
      <c r="B13" s="264" t="str">
        <f>WCInputs!B19</f>
        <v>Accrued expenses</v>
      </c>
      <c r="C13" s="348"/>
      <c r="D13" s="279">
        <f>WCInputs!C19</f>
        <v>0</v>
      </c>
      <c r="E13" s="279">
        <f>WCInputs!D19</f>
        <v>0</v>
      </c>
      <c r="F13" s="279">
        <f>WCInputs!E19</f>
        <v>0</v>
      </c>
      <c r="G13" s="279">
        <f>WCInputs!F19</f>
        <v>0</v>
      </c>
      <c r="H13" s="279">
        <f>WCInputs!G19</f>
        <v>0</v>
      </c>
      <c r="I13" s="279">
        <f>WCInputs!H19</f>
        <v>0</v>
      </c>
      <c r="J13" s="279">
        <f>WCInputs!I19</f>
        <v>0</v>
      </c>
      <c r="K13" s="279">
        <f>WCInputs!J19</f>
        <v>0</v>
      </c>
      <c r="L13" s="279">
        <f>WCInputs!K19</f>
        <v>0</v>
      </c>
      <c r="M13" s="279">
        <f>WCInputs!L19</f>
        <v>0</v>
      </c>
      <c r="N13" s="279">
        <f>WCInputs!M19</f>
        <v>0</v>
      </c>
      <c r="O13" s="279">
        <f>WCInputs!N19</f>
        <v>0</v>
      </c>
      <c r="P13" s="280">
        <f>WCInputs!O19</f>
        <v>0</v>
      </c>
      <c r="Q13" s="280">
        <f>WCInputs!P19</f>
        <v>0</v>
      </c>
      <c r="R13" s="280">
        <f>WCInputs!Q19</f>
        <v>0</v>
      </c>
      <c r="S13" s="280">
        <f>WCInputs!R19</f>
        <v>0</v>
      </c>
      <c r="T13" s="280">
        <f>WCInputs!S19</f>
        <v>0</v>
      </c>
      <c r="U13" s="281">
        <f>WCInputs!T19</f>
        <v>0</v>
      </c>
    </row>
    <row r="14" spans="2:21" x14ac:dyDescent="0.2">
      <c r="B14" s="264" t="str">
        <f>WCInputs!B20</f>
        <v>Accrued royalties</v>
      </c>
      <c r="C14" s="348"/>
      <c r="D14" s="279">
        <f>WCInputs!C20</f>
        <v>0</v>
      </c>
      <c r="E14" s="279">
        <f>WCInputs!D20</f>
        <v>0</v>
      </c>
      <c r="F14" s="279">
        <f>WCInputs!E20</f>
        <v>0</v>
      </c>
      <c r="G14" s="279">
        <f>WCInputs!F20</f>
        <v>0</v>
      </c>
      <c r="H14" s="279">
        <f>WCInputs!G20</f>
        <v>0</v>
      </c>
      <c r="I14" s="279">
        <f>WCInputs!H20</f>
        <v>0</v>
      </c>
      <c r="J14" s="279">
        <f>WCInputs!I20</f>
        <v>0</v>
      </c>
      <c r="K14" s="279">
        <f>WCInputs!J20</f>
        <v>0</v>
      </c>
      <c r="L14" s="279">
        <f>WCInputs!K20</f>
        <v>0</v>
      </c>
      <c r="M14" s="279">
        <f>WCInputs!L20</f>
        <v>0</v>
      </c>
      <c r="N14" s="279">
        <f>WCInputs!M20</f>
        <v>0</v>
      </c>
      <c r="O14" s="279">
        <f>WCInputs!N20</f>
        <v>0</v>
      </c>
      <c r="P14" s="280">
        <f>WCInputs!O20</f>
        <v>0</v>
      </c>
      <c r="Q14" s="280">
        <f>WCInputs!P20</f>
        <v>0</v>
      </c>
      <c r="R14" s="280">
        <f>WCInputs!Q20</f>
        <v>0</v>
      </c>
      <c r="S14" s="280">
        <f>WCInputs!R20</f>
        <v>0</v>
      </c>
      <c r="T14" s="280">
        <f>WCInputs!S20</f>
        <v>0</v>
      </c>
      <c r="U14" s="281">
        <f>WCInputs!T20</f>
        <v>0</v>
      </c>
    </row>
    <row r="15" spans="2:21" x14ac:dyDescent="0.2">
      <c r="B15" s="271" t="str">
        <f>WCInputs!B21</f>
        <v>Other accrued liabilities</v>
      </c>
      <c r="C15" s="349"/>
      <c r="D15" s="279">
        <f>WCInputs!C21</f>
        <v>0</v>
      </c>
      <c r="E15" s="279">
        <f>WCInputs!D21</f>
        <v>0</v>
      </c>
      <c r="F15" s="279">
        <f>WCInputs!E21</f>
        <v>0</v>
      </c>
      <c r="G15" s="279">
        <f>WCInputs!F21</f>
        <v>0</v>
      </c>
      <c r="H15" s="279">
        <f>WCInputs!G21</f>
        <v>0</v>
      </c>
      <c r="I15" s="279">
        <f>WCInputs!H21</f>
        <v>0</v>
      </c>
      <c r="J15" s="279">
        <f>WCInputs!I21</f>
        <v>0</v>
      </c>
      <c r="K15" s="279">
        <f>WCInputs!J21</f>
        <v>0</v>
      </c>
      <c r="L15" s="279">
        <f>WCInputs!K21</f>
        <v>0</v>
      </c>
      <c r="M15" s="279">
        <f>WCInputs!L21</f>
        <v>0</v>
      </c>
      <c r="N15" s="279">
        <f>WCInputs!M21</f>
        <v>0</v>
      </c>
      <c r="O15" s="279">
        <f>WCInputs!N21</f>
        <v>0</v>
      </c>
      <c r="P15" s="280">
        <f>WCInputs!O21</f>
        <v>0</v>
      </c>
      <c r="Q15" s="280">
        <f>WCInputs!P21</f>
        <v>0</v>
      </c>
      <c r="R15" s="280">
        <f>WCInputs!Q21</f>
        <v>0</v>
      </c>
      <c r="S15" s="280">
        <f>WCInputs!R21</f>
        <v>0</v>
      </c>
      <c r="T15" s="280">
        <f>WCInputs!S21</f>
        <v>0</v>
      </c>
      <c r="U15" s="281">
        <f>WCInputs!T21</f>
        <v>0</v>
      </c>
    </row>
    <row r="16" spans="2:21" x14ac:dyDescent="0.2">
      <c r="B16" s="275" t="s">
        <v>171</v>
      </c>
      <c r="C16" s="350"/>
      <c r="D16" s="272">
        <f>SUM(D12:D15)</f>
        <v>0</v>
      </c>
      <c r="E16" s="272">
        <f t="shared" ref="E16:U16" si="1">SUM(E12:E15)</f>
        <v>0</v>
      </c>
      <c r="F16" s="272">
        <f t="shared" si="1"/>
        <v>0</v>
      </c>
      <c r="G16" s="272">
        <f t="shared" si="1"/>
        <v>0</v>
      </c>
      <c r="H16" s="272">
        <f t="shared" si="1"/>
        <v>0</v>
      </c>
      <c r="I16" s="272">
        <f t="shared" si="1"/>
        <v>0</v>
      </c>
      <c r="J16" s="272">
        <f t="shared" si="1"/>
        <v>0</v>
      </c>
      <c r="K16" s="272">
        <f t="shared" si="1"/>
        <v>0</v>
      </c>
      <c r="L16" s="272">
        <f t="shared" si="1"/>
        <v>0</v>
      </c>
      <c r="M16" s="272">
        <f t="shared" si="1"/>
        <v>0</v>
      </c>
      <c r="N16" s="272">
        <f t="shared" si="1"/>
        <v>0</v>
      </c>
      <c r="O16" s="272">
        <f t="shared" si="1"/>
        <v>0</v>
      </c>
      <c r="P16" s="273">
        <f t="shared" si="1"/>
        <v>0</v>
      </c>
      <c r="Q16" s="273">
        <f t="shared" si="1"/>
        <v>0</v>
      </c>
      <c r="R16" s="273">
        <f t="shared" si="1"/>
        <v>0</v>
      </c>
      <c r="S16" s="273">
        <f t="shared" si="1"/>
        <v>0</v>
      </c>
      <c r="T16" s="273">
        <f t="shared" si="1"/>
        <v>0</v>
      </c>
      <c r="U16" s="274">
        <f t="shared" si="1"/>
        <v>0</v>
      </c>
    </row>
    <row r="17" spans="2:22" ht="10.5" x14ac:dyDescent="0.25">
      <c r="B17" s="282" t="s">
        <v>172</v>
      </c>
      <c r="C17" s="283"/>
      <c r="D17" s="284">
        <f t="shared" ref="D17:U17" si="2">D10-D16</f>
        <v>0</v>
      </c>
      <c r="E17" s="284">
        <f t="shared" si="2"/>
        <v>0</v>
      </c>
      <c r="F17" s="284">
        <f t="shared" si="2"/>
        <v>0</v>
      </c>
      <c r="G17" s="284">
        <f t="shared" si="2"/>
        <v>0</v>
      </c>
      <c r="H17" s="284">
        <f t="shared" si="2"/>
        <v>0</v>
      </c>
      <c r="I17" s="284">
        <f t="shared" si="2"/>
        <v>0</v>
      </c>
      <c r="J17" s="284">
        <f t="shared" si="2"/>
        <v>0</v>
      </c>
      <c r="K17" s="284">
        <f t="shared" si="2"/>
        <v>0</v>
      </c>
      <c r="L17" s="284">
        <f t="shared" si="2"/>
        <v>0</v>
      </c>
      <c r="M17" s="284">
        <f t="shared" si="2"/>
        <v>0</v>
      </c>
      <c r="N17" s="284">
        <f t="shared" si="2"/>
        <v>0</v>
      </c>
      <c r="O17" s="284">
        <f t="shared" si="2"/>
        <v>250000</v>
      </c>
      <c r="P17" s="284">
        <f t="shared" si="2"/>
        <v>250000</v>
      </c>
      <c r="Q17" s="284">
        <f t="shared" si="2"/>
        <v>450000</v>
      </c>
      <c r="R17" s="284">
        <f t="shared" si="2"/>
        <v>495000.00000000006</v>
      </c>
      <c r="S17" s="284">
        <f t="shared" si="2"/>
        <v>544500.00000000012</v>
      </c>
      <c r="T17" s="284">
        <f t="shared" si="2"/>
        <v>598950.00000000023</v>
      </c>
      <c r="U17" s="285">
        <f t="shared" si="2"/>
        <v>658845.00000000035</v>
      </c>
    </row>
    <row r="18" spans="2:22" ht="10.5" x14ac:dyDescent="0.25">
      <c r="B18" s="323" t="s">
        <v>192</v>
      </c>
      <c r="C18" s="324"/>
      <c r="D18" s="325">
        <f>D17</f>
        <v>0</v>
      </c>
      <c r="E18" s="325">
        <f>E17-D17</f>
        <v>0</v>
      </c>
      <c r="F18" s="325">
        <f t="shared" ref="F18:O18" si="3">F17-E17</f>
        <v>0</v>
      </c>
      <c r="G18" s="325">
        <f t="shared" si="3"/>
        <v>0</v>
      </c>
      <c r="H18" s="325">
        <f t="shared" si="3"/>
        <v>0</v>
      </c>
      <c r="I18" s="325">
        <f t="shared" si="3"/>
        <v>0</v>
      </c>
      <c r="J18" s="325">
        <f t="shared" si="3"/>
        <v>0</v>
      </c>
      <c r="K18" s="325">
        <f t="shared" si="3"/>
        <v>0</v>
      </c>
      <c r="L18" s="325">
        <f t="shared" si="3"/>
        <v>0</v>
      </c>
      <c r="M18" s="325">
        <f t="shared" si="3"/>
        <v>0</v>
      </c>
      <c r="N18" s="325">
        <f t="shared" si="3"/>
        <v>0</v>
      </c>
      <c r="O18" s="325">
        <f t="shared" si="3"/>
        <v>250000</v>
      </c>
      <c r="P18" s="325">
        <f>P17</f>
        <v>250000</v>
      </c>
      <c r="Q18" s="325">
        <f>Q17-P17</f>
        <v>200000</v>
      </c>
      <c r="R18" s="325">
        <f>R17-Q17</f>
        <v>45000.000000000058</v>
      </c>
      <c r="S18" s="325">
        <f>S17-R17</f>
        <v>49500.000000000058</v>
      </c>
      <c r="T18" s="325">
        <f>T17-S17</f>
        <v>54450.000000000116</v>
      </c>
      <c r="U18" s="325">
        <f>U17-T17</f>
        <v>59895.000000000116</v>
      </c>
    </row>
    <row r="19" spans="2:22" x14ac:dyDescent="0.2">
      <c r="B19" s="286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8"/>
    </row>
    <row r="20" spans="2:22" x14ac:dyDescent="0.2">
      <c r="B20" s="275" t="s">
        <v>172</v>
      </c>
      <c r="C20" s="289"/>
      <c r="D20" s="290">
        <f>D17</f>
        <v>0</v>
      </c>
      <c r="E20" s="290">
        <f>E17</f>
        <v>0</v>
      </c>
      <c r="F20" s="290">
        <f t="shared" ref="F20:U20" si="4">F17</f>
        <v>0</v>
      </c>
      <c r="G20" s="290">
        <f t="shared" si="4"/>
        <v>0</v>
      </c>
      <c r="H20" s="290">
        <f t="shared" si="4"/>
        <v>0</v>
      </c>
      <c r="I20" s="290">
        <f t="shared" si="4"/>
        <v>0</v>
      </c>
      <c r="J20" s="290">
        <f t="shared" si="4"/>
        <v>0</v>
      </c>
      <c r="K20" s="290">
        <f t="shared" si="4"/>
        <v>0</v>
      </c>
      <c r="L20" s="290">
        <f t="shared" si="4"/>
        <v>0</v>
      </c>
      <c r="M20" s="290">
        <f t="shared" si="4"/>
        <v>0</v>
      </c>
      <c r="N20" s="290">
        <f t="shared" si="4"/>
        <v>0</v>
      </c>
      <c r="O20" s="290">
        <f t="shared" si="4"/>
        <v>250000</v>
      </c>
      <c r="P20" s="291">
        <f t="shared" si="4"/>
        <v>250000</v>
      </c>
      <c r="Q20" s="291">
        <f t="shared" si="4"/>
        <v>450000</v>
      </c>
      <c r="R20" s="291">
        <f t="shared" si="4"/>
        <v>495000.00000000006</v>
      </c>
      <c r="S20" s="291">
        <f t="shared" si="4"/>
        <v>544500.00000000012</v>
      </c>
      <c r="T20" s="291">
        <f t="shared" si="4"/>
        <v>598950.00000000023</v>
      </c>
      <c r="U20" s="291">
        <f t="shared" si="4"/>
        <v>658845.00000000035</v>
      </c>
    </row>
    <row r="21" spans="2:22" ht="10.5" x14ac:dyDescent="0.25">
      <c r="B21" s="292" t="s">
        <v>173</v>
      </c>
      <c r="C21" s="293"/>
      <c r="D21" s="294"/>
      <c r="E21" s="294">
        <f>E20-D20</f>
        <v>0</v>
      </c>
      <c r="F21" s="294">
        <f t="shared" ref="F21:O21" si="5">F20-E20</f>
        <v>0</v>
      </c>
      <c r="G21" s="294">
        <f t="shared" si="5"/>
        <v>0</v>
      </c>
      <c r="H21" s="294">
        <f t="shared" si="5"/>
        <v>0</v>
      </c>
      <c r="I21" s="294">
        <f t="shared" si="5"/>
        <v>0</v>
      </c>
      <c r="J21" s="294">
        <f t="shared" si="5"/>
        <v>0</v>
      </c>
      <c r="K21" s="294">
        <f t="shared" si="5"/>
        <v>0</v>
      </c>
      <c r="L21" s="294">
        <f t="shared" si="5"/>
        <v>0</v>
      </c>
      <c r="M21" s="294">
        <f t="shared" si="5"/>
        <v>0</v>
      </c>
      <c r="N21" s="294">
        <f t="shared" si="5"/>
        <v>0</v>
      </c>
      <c r="O21" s="294">
        <f t="shared" si="5"/>
        <v>250000</v>
      </c>
      <c r="P21" s="294"/>
      <c r="Q21" s="294">
        <f>Q20-P20</f>
        <v>200000</v>
      </c>
      <c r="R21" s="294">
        <f>R20-Q20</f>
        <v>45000.000000000058</v>
      </c>
      <c r="S21" s="294">
        <f>S20-R20</f>
        <v>49500.000000000058</v>
      </c>
      <c r="T21" s="294">
        <f>T20-S20</f>
        <v>54450.000000000116</v>
      </c>
      <c r="U21" s="294">
        <f>U20-T20</f>
        <v>59895.000000000116</v>
      </c>
      <c r="V21" s="295"/>
    </row>
    <row r="22" spans="2:22" x14ac:dyDescent="0.2">
      <c r="B22" s="275"/>
      <c r="C22" s="289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81"/>
      <c r="Q22" s="281"/>
      <c r="R22" s="281"/>
      <c r="S22" s="281"/>
      <c r="T22" s="281"/>
      <c r="U22" s="281"/>
    </row>
    <row r="23" spans="2:22" x14ac:dyDescent="0.2">
      <c r="B23" s="275" t="s">
        <v>174</v>
      </c>
      <c r="C23" s="289"/>
      <c r="D23" s="297">
        <f>WCInputs!C8</f>
        <v>0</v>
      </c>
      <c r="E23" s="297">
        <f>WCInputs!D8+D23</f>
        <v>0</v>
      </c>
      <c r="F23" s="297">
        <f>WCInputs!E8+E23</f>
        <v>0</v>
      </c>
      <c r="G23" s="297">
        <f>WCInputs!F8+F23</f>
        <v>0</v>
      </c>
      <c r="H23" s="297">
        <f>WCInputs!G8+G23</f>
        <v>0</v>
      </c>
      <c r="I23" s="297">
        <f>WCInputs!H8+H23</f>
        <v>0</v>
      </c>
      <c r="J23" s="297">
        <f>WCInputs!I8+I23</f>
        <v>0</v>
      </c>
      <c r="K23" s="297">
        <f>WCInputs!J8+J23</f>
        <v>0</v>
      </c>
      <c r="L23" s="297">
        <f>WCInputs!K8+K23</f>
        <v>0</v>
      </c>
      <c r="M23" s="297">
        <f>WCInputs!L8+L23</f>
        <v>0</v>
      </c>
      <c r="N23" s="297">
        <f>WCInputs!M8+M23</f>
        <v>0</v>
      </c>
      <c r="O23" s="297">
        <f>WCInputs!N8+N23</f>
        <v>2000000</v>
      </c>
      <c r="P23" s="281">
        <f>WCInputs!O8</f>
        <v>2000000</v>
      </c>
      <c r="Q23" s="281">
        <f>WCInputs!P8</f>
        <v>3600000</v>
      </c>
      <c r="R23" s="281">
        <f>WCInputs!Q8</f>
        <v>3960000.0000000005</v>
      </c>
      <c r="S23" s="281">
        <f>WCInputs!R8</f>
        <v>4356000.0000000009</v>
      </c>
      <c r="T23" s="281">
        <f>WCInputs!S8</f>
        <v>4791600.0000000019</v>
      </c>
      <c r="U23" s="281">
        <f>WCInputs!T8</f>
        <v>5270760.0000000028</v>
      </c>
    </row>
    <row r="24" spans="2:22" x14ac:dyDescent="0.2">
      <c r="B24" s="275" t="s">
        <v>175</v>
      </c>
      <c r="C24" s="289"/>
      <c r="D24" s="297"/>
      <c r="E24" s="297">
        <f>E23-D23</f>
        <v>0</v>
      </c>
      <c r="F24" s="297">
        <f t="shared" ref="F24:O24" si="6">F23-E23</f>
        <v>0</v>
      </c>
      <c r="G24" s="297">
        <f t="shared" si="6"/>
        <v>0</v>
      </c>
      <c r="H24" s="297">
        <f t="shared" si="6"/>
        <v>0</v>
      </c>
      <c r="I24" s="297">
        <f t="shared" si="6"/>
        <v>0</v>
      </c>
      <c r="J24" s="297">
        <f t="shared" si="6"/>
        <v>0</v>
      </c>
      <c r="K24" s="297">
        <f t="shared" si="6"/>
        <v>0</v>
      </c>
      <c r="L24" s="297">
        <f t="shared" si="6"/>
        <v>0</v>
      </c>
      <c r="M24" s="297">
        <f t="shared" si="6"/>
        <v>0</v>
      </c>
      <c r="N24" s="297">
        <f t="shared" si="6"/>
        <v>0</v>
      </c>
      <c r="O24" s="297">
        <f t="shared" si="6"/>
        <v>2000000</v>
      </c>
      <c r="P24" s="298"/>
      <c r="Q24" s="298">
        <f>Q23-P23</f>
        <v>1600000</v>
      </c>
      <c r="R24" s="298">
        <f>R23-Q23</f>
        <v>360000.00000000047</v>
      </c>
      <c r="S24" s="298">
        <f>S23-R23</f>
        <v>396000.00000000047</v>
      </c>
      <c r="T24" s="298">
        <f>T23-S23</f>
        <v>435600.00000000093</v>
      </c>
      <c r="U24" s="298">
        <f>U23-T23</f>
        <v>479160.00000000093</v>
      </c>
    </row>
    <row r="25" spans="2:22" x14ac:dyDescent="0.2">
      <c r="B25" s="275"/>
      <c r="C25" s="289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1"/>
      <c r="Q25" s="291"/>
      <c r="R25" s="291"/>
      <c r="S25" s="291"/>
      <c r="T25" s="291"/>
      <c r="U25" s="291"/>
    </row>
    <row r="26" spans="2:22" ht="10.5" x14ac:dyDescent="0.25">
      <c r="B26" s="282" t="s">
        <v>176</v>
      </c>
      <c r="C26" s="299"/>
      <c r="D26" s="300"/>
      <c r="E26" s="305" t="e">
        <f>E21/E24</f>
        <v>#DIV/0!</v>
      </c>
      <c r="F26" s="305" t="e">
        <f t="shared" ref="F26:U26" si="7">F21/F24</f>
        <v>#DIV/0!</v>
      </c>
      <c r="G26" s="305" t="e">
        <f t="shared" si="7"/>
        <v>#DIV/0!</v>
      </c>
      <c r="H26" s="305" t="e">
        <f t="shared" si="7"/>
        <v>#DIV/0!</v>
      </c>
      <c r="I26" s="305" t="e">
        <f t="shared" si="7"/>
        <v>#DIV/0!</v>
      </c>
      <c r="J26" s="305" t="e">
        <f t="shared" si="7"/>
        <v>#DIV/0!</v>
      </c>
      <c r="K26" s="305" t="e">
        <f t="shared" si="7"/>
        <v>#DIV/0!</v>
      </c>
      <c r="L26" s="305" t="e">
        <f t="shared" si="7"/>
        <v>#DIV/0!</v>
      </c>
      <c r="M26" s="305" t="e">
        <f t="shared" si="7"/>
        <v>#DIV/0!</v>
      </c>
      <c r="N26" s="305" t="e">
        <f t="shared" si="7"/>
        <v>#DIV/0!</v>
      </c>
      <c r="O26" s="305">
        <f t="shared" si="7"/>
        <v>0.125</v>
      </c>
      <c r="P26" s="305"/>
      <c r="Q26" s="305">
        <f t="shared" si="7"/>
        <v>0.125</v>
      </c>
      <c r="R26" s="305">
        <f t="shared" si="7"/>
        <v>0.125</v>
      </c>
      <c r="S26" s="305">
        <f t="shared" si="7"/>
        <v>0.125</v>
      </c>
      <c r="T26" s="305">
        <f t="shared" si="7"/>
        <v>0.125</v>
      </c>
      <c r="U26" s="305">
        <f t="shared" si="7"/>
        <v>0.125</v>
      </c>
    </row>
    <row r="27" spans="2:22" x14ac:dyDescent="0.2">
      <c r="B27" s="301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3"/>
    </row>
  </sheetData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"/>
  <sheetViews>
    <sheetView showGridLines="0" zoomScale="136" zoomScaleNormal="136" workbookViewId="0">
      <selection activeCell="V11" sqref="V11"/>
    </sheetView>
  </sheetViews>
  <sheetFormatPr defaultColWidth="9.1796875" defaultRowHeight="10" x14ac:dyDescent="0.2"/>
  <cols>
    <col min="1" max="1" width="1.81640625" style="258" customWidth="1"/>
    <col min="2" max="2" width="27.81640625" style="295" customWidth="1"/>
    <col min="3" max="14" width="9" style="258" hidden="1" customWidth="1"/>
    <col min="15" max="15" width="9" style="258" customWidth="1"/>
    <col min="16" max="16" width="9.81640625" style="258" bestFit="1" customWidth="1"/>
    <col min="17" max="18" width="10.7265625" style="258" bestFit="1" customWidth="1"/>
    <col min="19" max="20" width="12" style="258" bestFit="1" customWidth="1"/>
    <col min="21" max="16384" width="9.1796875" style="258"/>
  </cols>
  <sheetData>
    <row r="1" spans="1:29" ht="10.5" thickBot="1" x14ac:dyDescent="0.25"/>
    <row r="2" spans="1:29" ht="18.5" x14ac:dyDescent="0.2">
      <c r="B2" s="376" t="str">
        <f>TitlePage!D2</f>
        <v>Lahab Automotive</v>
      </c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8"/>
    </row>
    <row r="3" spans="1:29" ht="14.5" x14ac:dyDescent="0.2">
      <c r="B3" s="379" t="str">
        <f>"All Numbers are in "&amp;TEXT(TitlePage!D4,0)</f>
        <v>All Numbers are in SAR</v>
      </c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1"/>
    </row>
    <row r="4" spans="1:29" ht="20" x14ac:dyDescent="0.4">
      <c r="B4" s="382" t="s">
        <v>196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1"/>
    </row>
    <row r="5" spans="1:29" ht="13.5" thickBot="1" x14ac:dyDescent="0.35">
      <c r="B5" s="383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5">
        <v>2019</v>
      </c>
      <c r="P5" s="385">
        <v>2020</v>
      </c>
      <c r="Q5" s="385">
        <v>2021</v>
      </c>
      <c r="R5" s="385">
        <v>2022</v>
      </c>
      <c r="S5" s="385">
        <v>2023</v>
      </c>
      <c r="T5" s="385">
        <v>2024</v>
      </c>
    </row>
    <row r="6" spans="1:29" ht="10.5" x14ac:dyDescent="0.25">
      <c r="B6" s="386" t="s">
        <v>156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8"/>
      <c r="P6" s="388"/>
      <c r="Q6" s="389"/>
      <c r="R6" s="389"/>
      <c r="S6" s="389"/>
      <c r="T6" s="389"/>
      <c r="U6" s="304"/>
      <c r="V6" s="295"/>
      <c r="W6" s="295"/>
      <c r="X6" s="295"/>
      <c r="Y6" s="295"/>
      <c r="Z6" s="295"/>
      <c r="AA6" s="295"/>
      <c r="AB6" s="295"/>
      <c r="AC6" s="295"/>
    </row>
    <row r="7" spans="1:29" ht="6.75" customHeight="1" x14ac:dyDescent="0.25">
      <c r="A7" s="295"/>
      <c r="B7" s="390"/>
      <c r="C7" s="391" t="s">
        <v>177</v>
      </c>
      <c r="D7" s="391" t="s">
        <v>178</v>
      </c>
      <c r="E7" s="391" t="s">
        <v>179</v>
      </c>
      <c r="F7" s="391" t="s">
        <v>180</v>
      </c>
      <c r="G7" s="391" t="s">
        <v>106</v>
      </c>
      <c r="H7" s="391" t="s">
        <v>181</v>
      </c>
      <c r="I7" s="391" t="s">
        <v>182</v>
      </c>
      <c r="J7" s="391" t="s">
        <v>183</v>
      </c>
      <c r="K7" s="391" t="s">
        <v>184</v>
      </c>
      <c r="L7" s="391" t="s">
        <v>185</v>
      </c>
      <c r="M7" s="391" t="s">
        <v>186</v>
      </c>
      <c r="N7" s="391" t="s">
        <v>187</v>
      </c>
      <c r="O7" s="350"/>
      <c r="P7" s="350"/>
      <c r="Q7" s="350"/>
      <c r="R7" s="350"/>
      <c r="S7" s="350"/>
      <c r="T7" s="350"/>
      <c r="U7" s="304"/>
    </row>
    <row r="8" spans="1:29" x14ac:dyDescent="0.2">
      <c r="B8" s="392" t="s">
        <v>188</v>
      </c>
      <c r="C8" s="393">
        <f>IS!C12</f>
        <v>0</v>
      </c>
      <c r="D8" s="393">
        <f>IS!E12</f>
        <v>0</v>
      </c>
      <c r="E8" s="393">
        <f>IS!G12</f>
        <v>0</v>
      </c>
      <c r="F8" s="393">
        <f>IS!I12</f>
        <v>0</v>
      </c>
      <c r="G8" s="393">
        <f>IS!K12</f>
        <v>0</v>
      </c>
      <c r="H8" s="393">
        <f>IS!M12</f>
        <v>0</v>
      </c>
      <c r="I8" s="393">
        <f>IS!O12</f>
        <v>0</v>
      </c>
      <c r="J8" s="393">
        <f>IS!Q12</f>
        <v>0</v>
      </c>
      <c r="K8" s="393">
        <f>IS!S12</f>
        <v>0</v>
      </c>
      <c r="L8" s="393">
        <f>IS!U12</f>
        <v>0</v>
      </c>
      <c r="M8" s="393">
        <f>IS!W12</f>
        <v>0</v>
      </c>
      <c r="N8" s="393">
        <f>IS!Y12</f>
        <v>2000000</v>
      </c>
      <c r="O8" s="296">
        <f>IS!AA12</f>
        <v>2000000</v>
      </c>
      <c r="P8" s="296">
        <f>IS!AC12</f>
        <v>3600000</v>
      </c>
      <c r="Q8" s="296">
        <f>IS!AE12</f>
        <v>3960000.0000000005</v>
      </c>
      <c r="R8" s="296">
        <f>IS!AG12</f>
        <v>4356000.0000000009</v>
      </c>
      <c r="S8" s="296">
        <f>IS!AI12</f>
        <v>4791600.0000000019</v>
      </c>
      <c r="T8" s="296">
        <f>IS!AK12</f>
        <v>5270760.0000000028</v>
      </c>
      <c r="U8" s="304"/>
    </row>
    <row r="9" spans="1:29" x14ac:dyDescent="0.2">
      <c r="B9" s="394" t="s">
        <v>157</v>
      </c>
      <c r="C9" s="395">
        <f>IS!C20</f>
        <v>0</v>
      </c>
      <c r="D9" s="395">
        <f>IS!E20</f>
        <v>0</v>
      </c>
      <c r="E9" s="395">
        <f>IS!G20</f>
        <v>0</v>
      </c>
      <c r="F9" s="395">
        <f>IS!I20</f>
        <v>0</v>
      </c>
      <c r="G9" s="395">
        <f>IS!K20</f>
        <v>0</v>
      </c>
      <c r="H9" s="395">
        <f>IS!M20</f>
        <v>0</v>
      </c>
      <c r="I9" s="395">
        <f>IS!O20</f>
        <v>0</v>
      </c>
      <c r="J9" s="395">
        <f>IS!Q20</f>
        <v>0</v>
      </c>
      <c r="K9" s="395">
        <f>IS!S20</f>
        <v>0</v>
      </c>
      <c r="L9" s="395">
        <f>IS!U20</f>
        <v>0</v>
      </c>
      <c r="M9" s="395">
        <f>IS!W20</f>
        <v>0</v>
      </c>
      <c r="N9" s="395">
        <f>IS!Y20</f>
        <v>600000</v>
      </c>
      <c r="O9" s="297">
        <f>IS!AA20</f>
        <v>600000</v>
      </c>
      <c r="P9" s="297">
        <f>IS!AC20</f>
        <v>1080000</v>
      </c>
      <c r="Q9" s="297">
        <f>IS!AE20</f>
        <v>1188000</v>
      </c>
      <c r="R9" s="297">
        <f>IS!AG20</f>
        <v>1306800</v>
      </c>
      <c r="S9" s="297">
        <f>IS!AI20</f>
        <v>1437480</v>
      </c>
      <c r="T9" s="297">
        <f>IS!AK20</f>
        <v>1581228.0000000002</v>
      </c>
      <c r="U9" s="304"/>
    </row>
    <row r="10" spans="1:29" ht="6" customHeight="1" x14ac:dyDescent="0.2">
      <c r="B10" s="396"/>
      <c r="C10" s="397"/>
      <c r="D10" s="397"/>
      <c r="E10" s="397"/>
      <c r="F10" s="397"/>
      <c r="G10" s="397"/>
      <c r="H10" s="397"/>
      <c r="I10" s="397"/>
      <c r="J10" s="397"/>
      <c r="K10" s="397"/>
      <c r="L10" s="397"/>
      <c r="M10" s="397"/>
      <c r="N10" s="397"/>
      <c r="O10" s="398"/>
      <c r="P10" s="398"/>
      <c r="Q10" s="398"/>
      <c r="R10" s="398"/>
      <c r="S10" s="398"/>
      <c r="T10" s="398"/>
      <c r="U10" s="304"/>
    </row>
    <row r="11" spans="1:29" ht="10.5" x14ac:dyDescent="0.25">
      <c r="B11" s="399" t="s">
        <v>158</v>
      </c>
      <c r="C11" s="400"/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401"/>
      <c r="P11" s="401"/>
      <c r="Q11" s="350"/>
      <c r="R11" s="350"/>
      <c r="S11" s="350"/>
      <c r="T11" s="350"/>
      <c r="U11" s="295"/>
    </row>
    <row r="12" spans="1:29" ht="10.5" x14ac:dyDescent="0.25">
      <c r="A12" s="295"/>
      <c r="B12" s="275" t="s">
        <v>12</v>
      </c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3"/>
      <c r="P12" s="403"/>
      <c r="Q12" s="403"/>
      <c r="R12" s="404"/>
      <c r="S12" s="403"/>
      <c r="T12" s="403"/>
      <c r="U12" s="304"/>
    </row>
    <row r="13" spans="1:29" x14ac:dyDescent="0.2">
      <c r="B13" s="264" t="s">
        <v>159</v>
      </c>
      <c r="C13" s="405">
        <f>BS!C8</f>
        <v>0</v>
      </c>
      <c r="D13" s="405">
        <f>BS!D8</f>
        <v>0</v>
      </c>
      <c r="E13" s="405">
        <f>BS!E8</f>
        <v>0</v>
      </c>
      <c r="F13" s="405">
        <f>BS!F8</f>
        <v>0</v>
      </c>
      <c r="G13" s="405">
        <f>BS!G8</f>
        <v>0</v>
      </c>
      <c r="H13" s="405">
        <f>BS!H8</f>
        <v>0</v>
      </c>
      <c r="I13" s="405">
        <f>BS!I8</f>
        <v>0</v>
      </c>
      <c r="J13" s="405">
        <f>BS!J8</f>
        <v>0</v>
      </c>
      <c r="K13" s="405">
        <f>BS!K8</f>
        <v>0</v>
      </c>
      <c r="L13" s="405">
        <f>BS!L8</f>
        <v>0</v>
      </c>
      <c r="M13" s="405">
        <f>BS!M8</f>
        <v>0</v>
      </c>
      <c r="N13" s="405">
        <f>BS!N8</f>
        <v>250000</v>
      </c>
      <c r="O13" s="406">
        <f>BS!O8</f>
        <v>250000</v>
      </c>
      <c r="P13" s="406">
        <f>BS!P8</f>
        <v>450000</v>
      </c>
      <c r="Q13" s="406">
        <f>BS!Q8</f>
        <v>495000.00000000006</v>
      </c>
      <c r="R13" s="406">
        <f>BS!R8</f>
        <v>544500.00000000012</v>
      </c>
      <c r="S13" s="406">
        <f>BS!S8</f>
        <v>598950.00000000023</v>
      </c>
      <c r="T13" s="406">
        <f>BS!T8</f>
        <v>658845.00000000035</v>
      </c>
      <c r="U13" s="295"/>
    </row>
    <row r="14" spans="1:29" x14ac:dyDescent="0.2">
      <c r="B14" s="264" t="s">
        <v>160</v>
      </c>
      <c r="C14" s="405">
        <f>BS!C9</f>
        <v>0</v>
      </c>
      <c r="D14" s="405">
        <f>BS!D9</f>
        <v>0</v>
      </c>
      <c r="E14" s="405">
        <f>BS!E9</f>
        <v>0</v>
      </c>
      <c r="F14" s="405">
        <f>BS!F9</f>
        <v>0</v>
      </c>
      <c r="G14" s="405">
        <f>BS!G9</f>
        <v>0</v>
      </c>
      <c r="H14" s="405">
        <f>BS!H9</f>
        <v>0</v>
      </c>
      <c r="I14" s="405">
        <f>BS!I9</f>
        <v>0</v>
      </c>
      <c r="J14" s="405">
        <f>BS!J9</f>
        <v>0</v>
      </c>
      <c r="K14" s="405">
        <f>BS!K9</f>
        <v>0</v>
      </c>
      <c r="L14" s="405">
        <f>BS!L9</f>
        <v>0</v>
      </c>
      <c r="M14" s="405">
        <f>BS!M9</f>
        <v>0</v>
      </c>
      <c r="N14" s="405">
        <f>BS!N9</f>
        <v>0</v>
      </c>
      <c r="O14" s="406">
        <f>BS!O9</f>
        <v>0</v>
      </c>
      <c r="P14" s="406">
        <f>BS!P9</f>
        <v>0</v>
      </c>
      <c r="Q14" s="406">
        <f>BS!Q9</f>
        <v>0</v>
      </c>
      <c r="R14" s="406">
        <f>BS!R9</f>
        <v>0</v>
      </c>
      <c r="S14" s="406">
        <f>BS!S9</f>
        <v>0</v>
      </c>
      <c r="T14" s="406">
        <f>BS!T9</f>
        <v>0</v>
      </c>
      <c r="U14" s="295"/>
    </row>
    <row r="15" spans="1:29" x14ac:dyDescent="0.2">
      <c r="B15" s="264" t="s">
        <v>161</v>
      </c>
      <c r="C15" s="405"/>
      <c r="D15" s="405"/>
      <c r="E15" s="405"/>
      <c r="F15" s="405"/>
      <c r="G15" s="405"/>
      <c r="H15" s="405"/>
      <c r="I15" s="405"/>
      <c r="J15" s="405"/>
      <c r="K15" s="405"/>
      <c r="L15" s="405"/>
      <c r="M15" s="405"/>
      <c r="N15" s="405"/>
      <c r="O15" s="406"/>
      <c r="P15" s="406"/>
      <c r="Q15" s="406"/>
      <c r="R15" s="406"/>
      <c r="S15" s="406"/>
      <c r="T15" s="406"/>
      <c r="U15" s="295"/>
    </row>
    <row r="16" spans="1:29" x14ac:dyDescent="0.2">
      <c r="B16" s="264"/>
      <c r="C16" s="405"/>
      <c r="D16" s="405"/>
      <c r="E16" s="405"/>
      <c r="F16" s="405"/>
      <c r="G16" s="405"/>
      <c r="H16" s="405"/>
      <c r="I16" s="405"/>
      <c r="J16" s="405"/>
      <c r="K16" s="405"/>
      <c r="L16" s="405"/>
      <c r="M16" s="405"/>
      <c r="N16" s="405"/>
      <c r="O16" s="406"/>
      <c r="P16" s="406"/>
      <c r="Q16" s="406"/>
      <c r="R16" s="406"/>
      <c r="S16" s="406"/>
      <c r="T16" s="406"/>
      <c r="U16" s="295"/>
    </row>
    <row r="17" spans="2:21" x14ac:dyDescent="0.2">
      <c r="B17" s="275" t="s">
        <v>162</v>
      </c>
      <c r="C17" s="405"/>
      <c r="D17" s="405"/>
      <c r="E17" s="405"/>
      <c r="F17" s="405"/>
      <c r="G17" s="405"/>
      <c r="H17" s="405"/>
      <c r="I17" s="405"/>
      <c r="J17" s="405"/>
      <c r="K17" s="405"/>
      <c r="L17" s="405"/>
      <c r="M17" s="405"/>
      <c r="N17" s="405"/>
      <c r="O17" s="406"/>
      <c r="P17" s="406"/>
      <c r="Q17" s="406"/>
      <c r="R17" s="406"/>
      <c r="S17" s="406"/>
      <c r="T17" s="406"/>
      <c r="U17" s="295"/>
    </row>
    <row r="18" spans="2:21" x14ac:dyDescent="0.2">
      <c r="B18" s="264" t="s">
        <v>163</v>
      </c>
      <c r="C18" s="407">
        <f>BS!C22</f>
        <v>0</v>
      </c>
      <c r="D18" s="407">
        <f>BS!D22</f>
        <v>0</v>
      </c>
      <c r="E18" s="407">
        <f>BS!E22</f>
        <v>0</v>
      </c>
      <c r="F18" s="407">
        <f>BS!F22</f>
        <v>0</v>
      </c>
      <c r="G18" s="407">
        <f>BS!G22</f>
        <v>0</v>
      </c>
      <c r="H18" s="407">
        <f>BS!H22</f>
        <v>0</v>
      </c>
      <c r="I18" s="407">
        <f>BS!I22</f>
        <v>0</v>
      </c>
      <c r="J18" s="407">
        <f>BS!J22</f>
        <v>0</v>
      </c>
      <c r="K18" s="407">
        <f>BS!K22</f>
        <v>0</v>
      </c>
      <c r="L18" s="407">
        <f>BS!L22</f>
        <v>0</v>
      </c>
      <c r="M18" s="407">
        <f>BS!M22</f>
        <v>0</v>
      </c>
      <c r="N18" s="407">
        <f>BS!N22</f>
        <v>0</v>
      </c>
      <c r="O18" s="408">
        <f>BS!O22</f>
        <v>0</v>
      </c>
      <c r="P18" s="408">
        <f>BS!P22</f>
        <v>0</v>
      </c>
      <c r="Q18" s="408">
        <f>BS!Q22</f>
        <v>0</v>
      </c>
      <c r="R18" s="408">
        <f>BS!R22</f>
        <v>0</v>
      </c>
      <c r="S18" s="408">
        <f>BS!S22</f>
        <v>0</v>
      </c>
      <c r="T18" s="408">
        <f>BS!T22</f>
        <v>0</v>
      </c>
      <c r="U18" s="295"/>
    </row>
    <row r="19" spans="2:21" x14ac:dyDescent="0.2">
      <c r="B19" s="264" t="s">
        <v>164</v>
      </c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9"/>
      <c r="P19" s="409"/>
      <c r="Q19" s="409"/>
      <c r="R19" s="409"/>
      <c r="S19" s="409"/>
      <c r="T19" s="409"/>
      <c r="U19" s="295"/>
    </row>
    <row r="20" spans="2:21" x14ac:dyDescent="0.2">
      <c r="B20" s="264" t="s">
        <v>165</v>
      </c>
      <c r="C20" s="407"/>
      <c r="D20" s="407"/>
      <c r="E20" s="407"/>
      <c r="F20" s="407"/>
      <c r="G20" s="407"/>
      <c r="H20" s="407"/>
      <c r="I20" s="407"/>
      <c r="J20" s="407"/>
      <c r="K20" s="407"/>
      <c r="L20" s="407"/>
      <c r="M20" s="407"/>
      <c r="N20" s="407"/>
      <c r="O20" s="409"/>
      <c r="P20" s="409"/>
      <c r="Q20" s="409"/>
      <c r="R20" s="409"/>
      <c r="S20" s="409"/>
      <c r="T20" s="409"/>
      <c r="U20" s="295"/>
    </row>
    <row r="21" spans="2:21" x14ac:dyDescent="0.2">
      <c r="B21" s="410" t="s">
        <v>166</v>
      </c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2"/>
      <c r="P21" s="412"/>
      <c r="Q21" s="412"/>
      <c r="R21" s="412"/>
      <c r="S21" s="412"/>
      <c r="T21" s="412"/>
      <c r="U21" s="295"/>
    </row>
    <row r="22" spans="2:21" x14ac:dyDescent="0.2"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36" zoomScaleNormal="136" workbookViewId="0">
      <selection activeCell="D7" sqref="D7"/>
    </sheetView>
  </sheetViews>
  <sheetFormatPr defaultColWidth="9.1796875" defaultRowHeight="18.5" x14ac:dyDescent="0.45"/>
  <cols>
    <col min="1" max="1" width="2.453125" style="504" customWidth="1"/>
    <col min="2" max="2" width="35.1796875" style="504" customWidth="1"/>
    <col min="3" max="3" width="1.81640625" style="504" customWidth="1"/>
    <col min="4" max="5" width="8" style="504" bestFit="1" customWidth="1"/>
    <col min="6" max="9" width="9" style="504" bestFit="1" customWidth="1"/>
    <col min="10" max="10" width="9" style="505" customWidth="1"/>
    <col min="11" max="11" width="9.1796875" style="504"/>
    <col min="12" max="14" width="0" style="504" hidden="1" customWidth="1"/>
    <col min="15" max="16384" width="9.1796875" style="504"/>
  </cols>
  <sheetData>
    <row r="1" spans="1:13" ht="19" thickBot="1" x14ac:dyDescent="0.5">
      <c r="A1" s="503"/>
      <c r="B1" s="503"/>
      <c r="C1" s="503"/>
    </row>
    <row r="2" spans="1:13" ht="19" thickBot="1" x14ac:dyDescent="0.5">
      <c r="A2" s="503"/>
      <c r="B2" s="506" t="str">
        <f>TitlePage!D2</f>
        <v>Lahab Automotive</v>
      </c>
      <c r="C2" s="503"/>
    </row>
    <row r="3" spans="1:13" s="508" customFormat="1" ht="13.5" thickBot="1" x14ac:dyDescent="0.35">
      <c r="A3" s="507"/>
      <c r="B3" s="507"/>
      <c r="C3" s="507"/>
      <c r="J3" s="509"/>
      <c r="M3" s="508" t="s">
        <v>206</v>
      </c>
    </row>
    <row r="4" spans="1:13" ht="19" thickBot="1" x14ac:dyDescent="0.5">
      <c r="A4" s="503"/>
      <c r="B4" s="506" t="s">
        <v>224</v>
      </c>
      <c r="C4" s="503"/>
      <c r="M4" s="504" t="s">
        <v>207</v>
      </c>
    </row>
    <row r="5" spans="1:13" ht="19" thickBot="1" x14ac:dyDescent="0.5">
      <c r="A5" s="503"/>
      <c r="B5" s="503"/>
      <c r="C5" s="503"/>
      <c r="M5" s="504" t="s">
        <v>208</v>
      </c>
    </row>
    <row r="6" spans="1:13" s="508" customFormat="1" ht="13.5" thickBot="1" x14ac:dyDescent="0.35">
      <c r="B6" s="510" t="str">
        <f>"All SAR Numbers are in "&amp;TEXT(TitlePage!D4,0)&amp;" x 1000"</f>
        <v>All SAR Numbers are in SAR x 1000</v>
      </c>
      <c r="C6" s="511"/>
      <c r="D6" s="512">
        <v>2016</v>
      </c>
      <c r="E6" s="512">
        <v>2017</v>
      </c>
      <c r="F6" s="512">
        <v>2018</v>
      </c>
      <c r="G6" s="512">
        <v>2019</v>
      </c>
      <c r="H6" s="512">
        <v>2020</v>
      </c>
      <c r="I6" s="512">
        <v>2021</v>
      </c>
      <c r="J6" s="513" t="s">
        <v>225</v>
      </c>
    </row>
    <row r="7" spans="1:13" s="508" customFormat="1" ht="13" x14ac:dyDescent="0.3">
      <c r="B7" s="514" t="s">
        <v>24</v>
      </c>
      <c r="C7" s="515"/>
      <c r="D7" s="516">
        <f>(Valuation!C7)/1000</f>
        <v>225.42</v>
      </c>
      <c r="E7" s="516">
        <f>(Valuation!D7)/1000</f>
        <v>1216.1175000000001</v>
      </c>
      <c r="F7" s="516">
        <f>(Valuation!E7)/1000</f>
        <v>1435.9536750000004</v>
      </c>
      <c r="G7" s="516">
        <f>(Valuation!F7)/1000</f>
        <v>1679.0745367500008</v>
      </c>
      <c r="H7" s="516">
        <f>(Valuation!G7)/1000</f>
        <v>1947.8728983675021</v>
      </c>
      <c r="I7" s="516">
        <f>(Valuation!H7)/1000</f>
        <v>2244.9840644136775</v>
      </c>
      <c r="J7" s="517">
        <f>IF(ISNUMBER(POWER(I7/ABS(D7),1/5)-1),POWER(I7/ABS(D7),1/5)-1,0)</f>
        <v>0.5835951516042388</v>
      </c>
    </row>
    <row r="8" spans="1:13" s="508" customFormat="1" ht="13" x14ac:dyDescent="0.3">
      <c r="B8" s="514" t="s">
        <v>174</v>
      </c>
      <c r="C8" s="515"/>
      <c r="D8" s="516">
        <f>IS!AA12/1000</f>
        <v>2000</v>
      </c>
      <c r="E8" s="516">
        <f>IS!AC12/1000</f>
        <v>3600</v>
      </c>
      <c r="F8" s="516">
        <f>IS!AE12/1000</f>
        <v>3960.0000000000005</v>
      </c>
      <c r="G8" s="516">
        <f>IS!AG12/1000</f>
        <v>4356.0000000000009</v>
      </c>
      <c r="H8" s="516">
        <f>IS!AI12/1000</f>
        <v>4791.6000000000022</v>
      </c>
      <c r="I8" s="516">
        <f>IS!AK12/1000</f>
        <v>5270.7600000000029</v>
      </c>
      <c r="J8" s="517">
        <f t="shared" ref="J8:J13" si="0">IF(ISNUMBER(POWER(I8/ABS(D8),1/5)-1),POWER(I8/ABS(D8),1/5)-1,0)</f>
        <v>0.21386013605992837</v>
      </c>
    </row>
    <row r="9" spans="1:13" s="508" customFormat="1" ht="13" x14ac:dyDescent="0.3">
      <c r="B9" s="514" t="s">
        <v>8</v>
      </c>
      <c r="C9" s="515"/>
      <c r="D9" s="516">
        <f>(Valuation!C8)/1000</f>
        <v>3396.3560000000002</v>
      </c>
      <c r="E9" s="516">
        <f>(Valuation!D8)/1000</f>
        <v>3040.3853749999998</v>
      </c>
      <c r="F9" s="516">
        <f>(Valuation!E8)/1000</f>
        <v>2739.37379375</v>
      </c>
      <c r="G9" s="516">
        <f>(Valuation!F8)/1000</f>
        <v>2499.1424279375005</v>
      </c>
      <c r="H9" s="516">
        <f>(Valuation!G8)/1000</f>
        <v>2326.1106525293762</v>
      </c>
      <c r="I9" s="516">
        <f>(Valuation!H8)/1000</f>
        <v>2227.3566686327954</v>
      </c>
      <c r="J9" s="517">
        <f t="shared" si="0"/>
        <v>-8.0915774759471981E-2</v>
      </c>
    </row>
    <row r="10" spans="1:13" s="508" customFormat="1" ht="13" x14ac:dyDescent="0.3">
      <c r="B10" s="514" t="s">
        <v>226</v>
      </c>
      <c r="C10" s="515"/>
      <c r="D10" s="516">
        <f>(BS!O27)/1000</f>
        <v>2640.0010000000002</v>
      </c>
      <c r="E10" s="516">
        <f>(BS!P27)/1000</f>
        <v>1980.001</v>
      </c>
      <c r="F10" s="516">
        <f>(BS!Q27)/1000</f>
        <v>1320.001</v>
      </c>
      <c r="G10" s="516">
        <f>(BS!R27)/1000</f>
        <v>660.00099999999998</v>
      </c>
      <c r="H10" s="516">
        <f>(BS!S27)/1000</f>
        <v>1E-3</v>
      </c>
      <c r="I10" s="516">
        <f>(BS!T27)/1000</f>
        <v>-659.99900000000002</v>
      </c>
      <c r="J10" s="517"/>
    </row>
    <row r="11" spans="1:13" s="508" customFormat="1" ht="13" x14ac:dyDescent="0.3">
      <c r="B11" s="514" t="s">
        <v>194</v>
      </c>
      <c r="C11" s="515"/>
      <c r="D11" s="516">
        <f>(Valuation!C9)/1000</f>
        <v>756.35500000000002</v>
      </c>
      <c r="E11" s="516">
        <f>(Valuation!D9)/1000</f>
        <v>1060.3843750000001</v>
      </c>
      <c r="F11" s="516">
        <f>(Valuation!E9)/1000</f>
        <v>1419.3727937500003</v>
      </c>
      <c r="G11" s="516">
        <f>(Valuation!F9)/1000</f>
        <v>1839.1414279375006</v>
      </c>
      <c r="H11" s="516">
        <f>(Valuation!G9)/1000</f>
        <v>2326.109652529376</v>
      </c>
      <c r="I11" s="516">
        <f>(Valuation!H9)/1000</f>
        <v>2887.3556686327956</v>
      </c>
      <c r="J11" s="517">
        <f t="shared" si="0"/>
        <v>0.30723877222927043</v>
      </c>
    </row>
    <row r="12" spans="1:13" s="508" customFormat="1" ht="13" x14ac:dyDescent="0.3">
      <c r="B12" s="518" t="s">
        <v>227</v>
      </c>
      <c r="C12" s="515"/>
      <c r="D12" s="516">
        <f>(CF!N27)/1000</f>
        <v>491.35599999999999</v>
      </c>
      <c r="E12" s="516">
        <f>(CF!O27)/1000</f>
        <v>230.38537500000001</v>
      </c>
      <c r="F12" s="516">
        <f>(CF!P27)/1000</f>
        <v>179.37379375000017</v>
      </c>
      <c r="G12" s="516">
        <f>(CF!Q27)/1000</f>
        <v>184.6424279375004</v>
      </c>
      <c r="H12" s="516">
        <f>(CF!R27)/1000</f>
        <v>252.16065252937585</v>
      </c>
      <c r="I12" s="516">
        <f>(CF!S27)/1000</f>
        <v>388.51166863279536</v>
      </c>
      <c r="J12" s="517">
        <f t="shared" si="0"/>
        <v>-4.5883161020534136E-2</v>
      </c>
    </row>
    <row r="13" spans="1:13" s="508" customFormat="1" ht="13" x14ac:dyDescent="0.3">
      <c r="B13" s="514" t="s">
        <v>155</v>
      </c>
      <c r="C13" s="515"/>
      <c r="D13" s="516">
        <f>(Valuation!C10)/1000</f>
        <v>2605.0383333333334</v>
      </c>
      <c r="E13" s="516">
        <f>(Valuation!D10)/1000</f>
        <v>745.73583333333329</v>
      </c>
      <c r="F13" s="516">
        <f>(Valuation!E10)/1000</f>
        <v>1275.5720083333338</v>
      </c>
      <c r="G13" s="516">
        <f>(Valuation!F10)/1000</f>
        <v>1509.6928700833341</v>
      </c>
      <c r="H13" s="516">
        <f>(Valuation!G10)/1000</f>
        <v>1768.5912317008349</v>
      </c>
      <c r="I13" s="516">
        <f>(Valuation!H10)/1000</f>
        <v>2019.8123977470104</v>
      </c>
      <c r="J13" s="517">
        <f t="shared" si="0"/>
        <v>-4.9615416089388686E-2</v>
      </c>
    </row>
    <row r="14" spans="1:13" s="508" customFormat="1" ht="13" x14ac:dyDescent="0.3">
      <c r="B14" s="514" t="s">
        <v>228</v>
      </c>
      <c r="C14" s="515"/>
      <c r="D14" s="519">
        <f>IS!AA48</f>
        <v>0.3</v>
      </c>
      <c r="E14" s="519">
        <f>IS!AC48</f>
        <v>0.3</v>
      </c>
      <c r="F14" s="519">
        <f>IS!AE48</f>
        <v>0.3</v>
      </c>
      <c r="G14" s="519">
        <f>IS!AG48</f>
        <v>0.29999999999999993</v>
      </c>
      <c r="H14" s="519">
        <f>IS!AI48</f>
        <v>0.29999999999999988</v>
      </c>
      <c r="I14" s="519">
        <f>IS!AK48</f>
        <v>0.29999999999999988</v>
      </c>
      <c r="J14" s="517"/>
    </row>
    <row r="15" spans="1:13" s="508" customFormat="1" ht="13" x14ac:dyDescent="0.3">
      <c r="B15" s="514" t="s">
        <v>229</v>
      </c>
      <c r="C15" s="515"/>
      <c r="D15" s="519">
        <f>IS!AA44</f>
        <v>0.11271</v>
      </c>
      <c r="E15" s="519">
        <f>IS!AC44</f>
        <v>0.33781041666666667</v>
      </c>
      <c r="F15" s="519">
        <f>IS!AE44</f>
        <v>0.36261456439393946</v>
      </c>
      <c r="G15" s="519">
        <f>IS!AG44</f>
        <v>0.38546247400137751</v>
      </c>
      <c r="H15" s="519">
        <f>IS!AI44</f>
        <v>0.40651826078293291</v>
      </c>
      <c r="I15" s="519">
        <f>IS!AK44</f>
        <v>0.42593175640964043</v>
      </c>
      <c r="J15" s="517"/>
    </row>
    <row r="16" spans="1:13" s="508" customFormat="1" ht="13" x14ac:dyDescent="0.3">
      <c r="B16" s="514"/>
      <c r="C16" s="515"/>
      <c r="D16" s="515"/>
      <c r="E16" s="515"/>
      <c r="F16" s="515"/>
      <c r="G16" s="515"/>
      <c r="H16" s="515"/>
      <c r="I16" s="515"/>
      <c r="J16" s="520"/>
    </row>
    <row r="17" spans="2:10" s="508" customFormat="1" ht="13" x14ac:dyDescent="0.3">
      <c r="B17" s="514" t="s">
        <v>230</v>
      </c>
      <c r="C17" s="515"/>
      <c r="D17" s="516">
        <f>CF!N19/1000</f>
        <v>3300</v>
      </c>
      <c r="E17" s="516">
        <f>CF!O19/1000</f>
        <v>0</v>
      </c>
      <c r="F17" s="516">
        <f>CF!P19/1000</f>
        <v>0</v>
      </c>
      <c r="G17" s="516">
        <f>CF!Q19/1000</f>
        <v>0</v>
      </c>
      <c r="H17" s="516">
        <f>CF!R19/1000</f>
        <v>0</v>
      </c>
      <c r="I17" s="516">
        <f>CF!S19/1000</f>
        <v>0</v>
      </c>
      <c r="J17" s="520"/>
    </row>
    <row r="18" spans="2:10" s="508" customFormat="1" ht="13" x14ac:dyDescent="0.3">
      <c r="B18" s="514" t="s">
        <v>231</v>
      </c>
      <c r="C18" s="515"/>
      <c r="D18" s="521">
        <f>IF(D7&gt;0,D7/(BS!O36/1000+D10),"Loss")</f>
        <v>6.6371134239166907E-2</v>
      </c>
      <c r="E18" s="522">
        <f>IF(E7&gt;0,E7/(BS!P36/1000+E10),"Loss")</f>
        <v>0.3999879456070598</v>
      </c>
      <c r="F18" s="522">
        <f>IF(F7&gt;0,F7/(BS!Q36/1000+F10),"Loss")</f>
        <v>0.52419048407201341</v>
      </c>
      <c r="G18" s="522">
        <f>IF(G7&gt;0,G7/(BS!R36/1000+G10),"Loss")</f>
        <v>0.67186028214314786</v>
      </c>
      <c r="H18" s="522">
        <f>IF(H7&gt;0,H7/(BS!S36/1000+H10),"Loss")</f>
        <v>0.83739477150384745</v>
      </c>
      <c r="I18" s="522">
        <f>IF(I7&gt;0,I7/(BS!T36/1000+I10),"Loss")</f>
        <v>1.0079140426987396</v>
      </c>
      <c r="J18" s="520"/>
    </row>
    <row r="19" spans="2:10" s="508" customFormat="1" ht="13" x14ac:dyDescent="0.3">
      <c r="B19" s="514" t="s">
        <v>232</v>
      </c>
      <c r="C19" s="515"/>
      <c r="D19" s="515"/>
      <c r="E19" s="515"/>
      <c r="F19" s="515"/>
      <c r="G19" s="515"/>
      <c r="H19" s="515"/>
      <c r="I19" s="523">
        <f>Valuation!B12</f>
        <v>0.28062893468194439</v>
      </c>
      <c r="J19" s="520"/>
    </row>
    <row r="20" spans="2:10" s="508" customFormat="1" ht="13" x14ac:dyDescent="0.3">
      <c r="B20" s="514" t="str">
        <f>"NPV based on Terminal Value of "&amp;Valuation!I5&amp;" Times Year 5 Net Income"</f>
        <v>NPV based on Terminal Value of 1 Times Year 5 Net Income</v>
      </c>
      <c r="C20" s="515"/>
      <c r="D20" s="515"/>
      <c r="E20" s="515"/>
      <c r="F20" s="515"/>
      <c r="G20" s="515"/>
      <c r="H20" s="515"/>
      <c r="I20" s="516">
        <f>Valuation!J7/1000</f>
        <v>7694.4067389448583</v>
      </c>
      <c r="J20" s="520"/>
    </row>
    <row r="21" spans="2:10" s="508" customFormat="1" ht="13" x14ac:dyDescent="0.3">
      <c r="B21" s="514" t="s">
        <v>233</v>
      </c>
      <c r="C21" s="515"/>
      <c r="D21" s="515"/>
      <c r="E21" s="515"/>
      <c r="F21" s="515"/>
      <c r="G21" s="515"/>
      <c r="H21" s="515"/>
      <c r="I21" s="516">
        <f>Valuation!J10/1000</f>
        <v>6732.7079924900354</v>
      </c>
      <c r="J21" s="520"/>
    </row>
    <row r="22" spans="2:10" s="526" customFormat="1" ht="14.5" x14ac:dyDescent="0.35">
      <c r="B22" s="524"/>
      <c r="C22" s="524"/>
      <c r="D22" s="524"/>
      <c r="E22" s="524"/>
      <c r="F22" s="524"/>
      <c r="G22" s="524"/>
      <c r="H22" s="524"/>
      <c r="I22" s="524"/>
      <c r="J22" s="525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3"/>
  <sheetViews>
    <sheetView tabSelected="1" zoomScale="134" zoomScaleNormal="134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1" sqref="A11"/>
    </sheetView>
  </sheetViews>
  <sheetFormatPr defaultColWidth="9.1796875" defaultRowHeight="10.5" x14ac:dyDescent="0.25"/>
  <cols>
    <col min="1" max="1" width="24.81640625" style="1" customWidth="1"/>
    <col min="2" max="2" width="8.81640625" style="1" bestFit="1" customWidth="1"/>
    <col min="3" max="3" width="8" style="3" customWidth="1"/>
    <col min="4" max="4" width="6.26953125" style="3" customWidth="1"/>
    <col min="5" max="5" width="8" style="3" customWidth="1"/>
    <col min="6" max="6" width="6.26953125" style="3" customWidth="1"/>
    <col min="7" max="7" width="8" style="3" customWidth="1"/>
    <col min="8" max="8" width="6.26953125" style="3" customWidth="1"/>
    <col min="9" max="9" width="8" style="3" customWidth="1"/>
    <col min="10" max="10" width="6.26953125" style="3" customWidth="1"/>
    <col min="11" max="11" width="8" style="3" customWidth="1"/>
    <col min="12" max="12" width="6.26953125" style="3" customWidth="1"/>
    <col min="13" max="13" width="8" style="3" customWidth="1"/>
    <col min="14" max="14" width="6.26953125" style="3" customWidth="1"/>
    <col min="15" max="15" width="8" style="3" customWidth="1"/>
    <col min="16" max="16" width="6.26953125" style="3" customWidth="1"/>
    <col min="17" max="17" width="8" style="3" customWidth="1"/>
    <col min="18" max="18" width="6.26953125" style="3" customWidth="1"/>
    <col min="19" max="19" width="8" style="3" customWidth="1"/>
    <col min="20" max="20" width="6.26953125" style="3" customWidth="1"/>
    <col min="21" max="21" width="8" style="3" customWidth="1"/>
    <col min="22" max="22" width="6.26953125" style="3" customWidth="1"/>
    <col min="23" max="23" width="8" style="3" customWidth="1"/>
    <col min="24" max="24" width="6.26953125" style="3" customWidth="1"/>
    <col min="25" max="25" width="8" style="3" customWidth="1"/>
    <col min="26" max="26" width="6.26953125" style="3" customWidth="1"/>
    <col min="27" max="27" width="9.26953125" style="2" customWidth="1"/>
    <col min="28" max="28" width="5.54296875" style="2" customWidth="1"/>
    <col min="29" max="29" width="9.26953125" style="2" customWidth="1"/>
    <col min="30" max="30" width="5.54296875" style="2" customWidth="1"/>
    <col min="31" max="31" width="10.453125" style="2" bestFit="1" customWidth="1"/>
    <col min="32" max="32" width="5.54296875" style="2" customWidth="1"/>
    <col min="33" max="33" width="10.453125" style="2" bestFit="1" customWidth="1"/>
    <col min="34" max="34" width="5.54296875" style="2" customWidth="1"/>
    <col min="35" max="35" width="11.7265625" style="2" bestFit="1" customWidth="1"/>
    <col min="36" max="36" width="5.54296875" style="2" customWidth="1"/>
    <col min="37" max="37" width="11.7265625" style="2" bestFit="1" customWidth="1"/>
    <col min="38" max="16384" width="9.1796875" style="4"/>
  </cols>
  <sheetData>
    <row r="1" spans="1:37" ht="15.5" x14ac:dyDescent="0.35">
      <c r="A1" s="330" t="str">
        <f>TitlePage!D2</f>
        <v>Lahab Automotive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9"/>
      <c r="AB1" s="20"/>
      <c r="AC1" s="20"/>
      <c r="AD1" s="20"/>
      <c r="AE1" s="20"/>
      <c r="AF1" s="20"/>
      <c r="AG1" s="20"/>
      <c r="AH1" s="20"/>
      <c r="AI1" s="20"/>
      <c r="AJ1" s="20"/>
      <c r="AK1" s="21"/>
    </row>
    <row r="2" spans="1:37" ht="12" x14ac:dyDescent="0.3">
      <c r="A2" s="112" t="str">
        <f>"All Numbers are in "&amp;TEXT(TitlePage!D4,0)</f>
        <v>All Numbers are in SAR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22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 spans="1:37" ht="21" x14ac:dyDescent="0.5">
      <c r="A3" s="331" t="s">
        <v>15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25" t="s">
        <v>84</v>
      </c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ht="15" customHeight="1" x14ac:dyDescent="0.25">
      <c r="A4" s="103"/>
      <c r="B4" s="104"/>
      <c r="C4" s="105"/>
      <c r="D4" s="453"/>
      <c r="E4" s="454"/>
      <c r="F4" s="455"/>
      <c r="G4" s="456"/>
      <c r="H4" s="455"/>
      <c r="I4" s="454"/>
      <c r="J4" s="455"/>
      <c r="K4" s="456"/>
      <c r="L4" s="455"/>
      <c r="M4" s="454"/>
      <c r="N4" s="455"/>
      <c r="O4" s="456"/>
      <c r="P4" s="455"/>
      <c r="Q4" s="454"/>
      <c r="R4" s="455"/>
      <c r="S4" s="456"/>
      <c r="T4" s="455"/>
      <c r="U4" s="454"/>
      <c r="V4" s="455"/>
      <c r="W4" s="456"/>
      <c r="X4" s="455"/>
      <c r="Y4" s="454"/>
      <c r="Z4" s="455"/>
      <c r="AA4" s="96">
        <v>2019</v>
      </c>
      <c r="AB4" s="97"/>
      <c r="AC4" s="98">
        <v>2020</v>
      </c>
      <c r="AD4" s="99"/>
      <c r="AE4" s="99">
        <v>2021</v>
      </c>
      <c r="AF4" s="97"/>
      <c r="AG4" s="98">
        <v>2020</v>
      </c>
      <c r="AH4" s="99"/>
      <c r="AI4" s="99">
        <v>2023</v>
      </c>
      <c r="AJ4" s="97"/>
      <c r="AK4" s="100">
        <v>2024</v>
      </c>
    </row>
    <row r="5" spans="1:37" ht="24" customHeight="1" thickBot="1" x14ac:dyDescent="0.3">
      <c r="A5" s="306" t="s">
        <v>57</v>
      </c>
      <c r="B5" s="182" t="s">
        <v>82</v>
      </c>
      <c r="C5" s="307" t="s">
        <v>67</v>
      </c>
      <c r="D5" s="182" t="s">
        <v>39</v>
      </c>
      <c r="E5" s="308" t="s">
        <v>68</v>
      </c>
      <c r="F5" s="182" t="s">
        <v>39</v>
      </c>
      <c r="G5" s="307" t="s">
        <v>69</v>
      </c>
      <c r="H5" s="182" t="s">
        <v>39</v>
      </c>
      <c r="I5" s="308" t="s">
        <v>70</v>
      </c>
      <c r="J5" s="182" t="s">
        <v>39</v>
      </c>
      <c r="K5" s="307" t="s">
        <v>71</v>
      </c>
      <c r="L5" s="182" t="s">
        <v>39</v>
      </c>
      <c r="M5" s="308" t="s">
        <v>72</v>
      </c>
      <c r="N5" s="182" t="s">
        <v>39</v>
      </c>
      <c r="O5" s="307" t="s">
        <v>73</v>
      </c>
      <c r="P5" s="182" t="s">
        <v>39</v>
      </c>
      <c r="Q5" s="308" t="s">
        <v>74</v>
      </c>
      <c r="R5" s="182" t="s">
        <v>39</v>
      </c>
      <c r="S5" s="307" t="s">
        <v>75</v>
      </c>
      <c r="T5" s="182" t="s">
        <v>39</v>
      </c>
      <c r="U5" s="308" t="s">
        <v>76</v>
      </c>
      <c r="V5" s="182" t="s">
        <v>39</v>
      </c>
      <c r="W5" s="307" t="s">
        <v>77</v>
      </c>
      <c r="X5" s="182" t="s">
        <v>39</v>
      </c>
      <c r="Y5" s="308" t="s">
        <v>78</v>
      </c>
      <c r="Z5" s="182" t="s">
        <v>39</v>
      </c>
      <c r="AA5" s="309" t="s">
        <v>92</v>
      </c>
      <c r="AB5" s="101" t="s">
        <v>87</v>
      </c>
      <c r="AC5" s="310">
        <v>2019</v>
      </c>
      <c r="AD5" s="101" t="s">
        <v>87</v>
      </c>
      <c r="AE5" s="311">
        <v>2020</v>
      </c>
      <c r="AF5" s="101" t="s">
        <v>87</v>
      </c>
      <c r="AG5" s="310">
        <v>2021</v>
      </c>
      <c r="AH5" s="101" t="s">
        <v>87</v>
      </c>
      <c r="AI5" s="311">
        <v>2022</v>
      </c>
      <c r="AJ5" s="101" t="s">
        <v>87</v>
      </c>
      <c r="AK5" s="312">
        <v>2023</v>
      </c>
    </row>
    <row r="6" spans="1:37" x14ac:dyDescent="0.25">
      <c r="A6" s="169" t="s">
        <v>234</v>
      </c>
      <c r="B6" s="427"/>
      <c r="C6" s="428">
        <f>D6*$B$6</f>
        <v>0</v>
      </c>
      <c r="D6" s="429"/>
      <c r="E6" s="430">
        <f>F6*$B$6</f>
        <v>0</v>
      </c>
      <c r="F6" s="429">
        <f t="shared" ref="F6:F11" si="0">D6*F$4</f>
        <v>0</v>
      </c>
      <c r="G6" s="428">
        <f>H6*$B$6</f>
        <v>0</v>
      </c>
      <c r="H6" s="429">
        <f t="shared" ref="H6:H11" si="1">F6*H$4</f>
        <v>0</v>
      </c>
      <c r="I6" s="430">
        <f>J6*$B$6</f>
        <v>0</v>
      </c>
      <c r="J6" s="429">
        <f t="shared" ref="J6:J11" si="2">H6*J$4</f>
        <v>0</v>
      </c>
      <c r="K6" s="428">
        <f>L6*$B$6</f>
        <v>0</v>
      </c>
      <c r="L6" s="429">
        <f t="shared" ref="L6:L11" si="3">J6*L$4</f>
        <v>0</v>
      </c>
      <c r="M6" s="430">
        <f>N6*$B$6</f>
        <v>0</v>
      </c>
      <c r="N6" s="429">
        <f t="shared" ref="N6:N11" si="4">L6*N$4</f>
        <v>0</v>
      </c>
      <c r="O6" s="428">
        <f>P6*$B$6</f>
        <v>0</v>
      </c>
      <c r="P6" s="429">
        <f t="shared" ref="P6:P11" si="5">N6*P$4</f>
        <v>0</v>
      </c>
      <c r="Q6" s="430">
        <f>R6*$B$6</f>
        <v>0</v>
      </c>
      <c r="R6" s="429">
        <f t="shared" ref="R6:R11" si="6">P6*R$4</f>
        <v>0</v>
      </c>
      <c r="S6" s="428">
        <f>T6*$B$6</f>
        <v>0</v>
      </c>
      <c r="T6" s="429">
        <f t="shared" ref="T6:T11" si="7">R6*T$4</f>
        <v>0</v>
      </c>
      <c r="U6" s="430">
        <f>V6*$B$6</f>
        <v>0</v>
      </c>
      <c r="V6" s="429">
        <f t="shared" ref="V6:V11" si="8">T6*V$4</f>
        <v>0</v>
      </c>
      <c r="W6" s="428">
        <f>X6*$B$6</f>
        <v>0</v>
      </c>
      <c r="X6" s="429">
        <f t="shared" ref="X6:X11" si="9">V6*X$4</f>
        <v>0</v>
      </c>
      <c r="Y6" s="430">
        <v>2000000</v>
      </c>
      <c r="Z6" s="429">
        <f t="shared" ref="Z6:Z11" si="10">X6*Z$4</f>
        <v>0</v>
      </c>
      <c r="AA6" s="457">
        <f t="shared" ref="AA6:AA11" si="11">Y6+W6+U6+S6+Q6+O6+M6+K6+I6+G6+E6+C6</f>
        <v>2000000</v>
      </c>
      <c r="AB6" s="458">
        <v>0.8</v>
      </c>
      <c r="AC6" s="468">
        <f>(AA6*(1+AB6))</f>
        <v>3600000</v>
      </c>
      <c r="AD6" s="458">
        <v>0.1</v>
      </c>
      <c r="AE6" s="468">
        <f>(AC6*(1+AD6))</f>
        <v>3960000.0000000005</v>
      </c>
      <c r="AF6" s="458">
        <v>0.1</v>
      </c>
      <c r="AG6" s="468">
        <f>(AE6*(1+AF6))</f>
        <v>4356000.0000000009</v>
      </c>
      <c r="AH6" s="458">
        <v>0.1</v>
      </c>
      <c r="AI6" s="468">
        <f>(AG6*(1+AH6))</f>
        <v>4791600.0000000019</v>
      </c>
      <c r="AJ6" s="458">
        <v>0.1</v>
      </c>
      <c r="AK6" s="469">
        <f>(AI6*(1+AJ6))</f>
        <v>5270760.0000000028</v>
      </c>
    </row>
    <row r="7" spans="1:37" x14ac:dyDescent="0.25">
      <c r="A7" s="169" t="s">
        <v>236</v>
      </c>
      <c r="B7" s="427"/>
      <c r="C7" s="428">
        <f>D7*$B$7</f>
        <v>0</v>
      </c>
      <c r="D7" s="429"/>
      <c r="E7" s="430">
        <f>F7*$B$7</f>
        <v>0</v>
      </c>
      <c r="F7" s="429">
        <f t="shared" si="0"/>
        <v>0</v>
      </c>
      <c r="G7" s="428">
        <f>H7*$B$7</f>
        <v>0</v>
      </c>
      <c r="H7" s="429">
        <f t="shared" si="1"/>
        <v>0</v>
      </c>
      <c r="I7" s="430">
        <f>J7*$B$7</f>
        <v>0</v>
      </c>
      <c r="J7" s="429">
        <f t="shared" si="2"/>
        <v>0</v>
      </c>
      <c r="K7" s="428">
        <f>L7*$B$7</f>
        <v>0</v>
      </c>
      <c r="L7" s="429">
        <f t="shared" si="3"/>
        <v>0</v>
      </c>
      <c r="M7" s="430">
        <f>N7*$B$7</f>
        <v>0</v>
      </c>
      <c r="N7" s="429">
        <f t="shared" si="4"/>
        <v>0</v>
      </c>
      <c r="O7" s="428">
        <f>P7*$B$7</f>
        <v>0</v>
      </c>
      <c r="P7" s="429">
        <f t="shared" si="5"/>
        <v>0</v>
      </c>
      <c r="Q7" s="430">
        <f>R7*$B$7</f>
        <v>0</v>
      </c>
      <c r="R7" s="429">
        <f t="shared" si="6"/>
        <v>0</v>
      </c>
      <c r="S7" s="428">
        <f>T7*$B$7</f>
        <v>0</v>
      </c>
      <c r="T7" s="429">
        <f t="shared" si="7"/>
        <v>0</v>
      </c>
      <c r="U7" s="430">
        <f>V7*$B$7</f>
        <v>0</v>
      </c>
      <c r="V7" s="429">
        <f t="shared" si="8"/>
        <v>0</v>
      </c>
      <c r="W7" s="428">
        <f>X7*$B$7</f>
        <v>0</v>
      </c>
      <c r="X7" s="429">
        <f t="shared" si="9"/>
        <v>0</v>
      </c>
      <c r="Y7" s="430">
        <f>Z7*$B$7</f>
        <v>0</v>
      </c>
      <c r="Z7" s="429">
        <f t="shared" si="10"/>
        <v>0</v>
      </c>
      <c r="AA7" s="457">
        <f t="shared" si="11"/>
        <v>0</v>
      </c>
      <c r="AB7" s="458"/>
      <c r="AC7" s="468">
        <f>(AA7*(1+AB7))</f>
        <v>0</v>
      </c>
      <c r="AD7" s="458"/>
      <c r="AE7" s="468">
        <f>(AC7*(1+AD7))</f>
        <v>0</v>
      </c>
      <c r="AF7" s="458"/>
      <c r="AG7" s="468">
        <f t="shared" ref="AC7:AK11" si="12">(AE7*(1+AF7))</f>
        <v>0</v>
      </c>
      <c r="AH7" s="458"/>
      <c r="AI7" s="468">
        <f t="shared" si="12"/>
        <v>0</v>
      </c>
      <c r="AJ7" s="458"/>
      <c r="AK7" s="469">
        <f t="shared" si="12"/>
        <v>0</v>
      </c>
    </row>
    <row r="8" spans="1:37" x14ac:dyDescent="0.25">
      <c r="A8" s="169" t="s">
        <v>237</v>
      </c>
      <c r="B8" s="427"/>
      <c r="C8" s="428">
        <f>D8*$B$8</f>
        <v>0</v>
      </c>
      <c r="D8" s="429"/>
      <c r="E8" s="430">
        <f>F8*$B$8</f>
        <v>0</v>
      </c>
      <c r="F8" s="429">
        <f t="shared" si="0"/>
        <v>0</v>
      </c>
      <c r="G8" s="428">
        <f>H8*$B$8</f>
        <v>0</v>
      </c>
      <c r="H8" s="429">
        <f t="shared" si="1"/>
        <v>0</v>
      </c>
      <c r="I8" s="430">
        <f>J8*$B$8</f>
        <v>0</v>
      </c>
      <c r="J8" s="429">
        <f t="shared" si="2"/>
        <v>0</v>
      </c>
      <c r="K8" s="428">
        <f>L8*$B$8</f>
        <v>0</v>
      </c>
      <c r="L8" s="429">
        <f t="shared" si="3"/>
        <v>0</v>
      </c>
      <c r="M8" s="430">
        <f>N8*$B$8</f>
        <v>0</v>
      </c>
      <c r="N8" s="429">
        <f t="shared" si="4"/>
        <v>0</v>
      </c>
      <c r="O8" s="428">
        <f>P8*$B$8</f>
        <v>0</v>
      </c>
      <c r="P8" s="429">
        <f t="shared" si="5"/>
        <v>0</v>
      </c>
      <c r="Q8" s="430">
        <f>R8*$B$8</f>
        <v>0</v>
      </c>
      <c r="R8" s="429">
        <f t="shared" si="6"/>
        <v>0</v>
      </c>
      <c r="S8" s="428">
        <f>T8*$B$8</f>
        <v>0</v>
      </c>
      <c r="T8" s="429">
        <f t="shared" si="7"/>
        <v>0</v>
      </c>
      <c r="U8" s="430">
        <f>V8*$B$8</f>
        <v>0</v>
      </c>
      <c r="V8" s="429">
        <f t="shared" si="8"/>
        <v>0</v>
      </c>
      <c r="W8" s="428">
        <f>X8*$B$8</f>
        <v>0</v>
      </c>
      <c r="X8" s="429">
        <f t="shared" si="9"/>
        <v>0</v>
      </c>
      <c r="Y8" s="430">
        <f>Z8*$B$8</f>
        <v>0</v>
      </c>
      <c r="Z8" s="429">
        <f t="shared" si="10"/>
        <v>0</v>
      </c>
      <c r="AA8" s="457">
        <f t="shared" si="11"/>
        <v>0</v>
      </c>
      <c r="AB8" s="458"/>
      <c r="AC8" s="468">
        <f t="shared" si="12"/>
        <v>0</v>
      </c>
      <c r="AD8" s="458"/>
      <c r="AE8" s="468">
        <f t="shared" si="12"/>
        <v>0</v>
      </c>
      <c r="AF8" s="458"/>
      <c r="AG8" s="468">
        <f t="shared" si="12"/>
        <v>0</v>
      </c>
      <c r="AH8" s="458"/>
      <c r="AI8" s="468">
        <f t="shared" si="12"/>
        <v>0</v>
      </c>
      <c r="AJ8" s="458"/>
      <c r="AK8" s="469">
        <f t="shared" si="12"/>
        <v>0</v>
      </c>
    </row>
    <row r="9" spans="1:37" x14ac:dyDescent="0.25">
      <c r="A9" s="169" t="s">
        <v>238</v>
      </c>
      <c r="B9" s="427"/>
      <c r="C9" s="428">
        <f>D9*$B$9</f>
        <v>0</v>
      </c>
      <c r="D9" s="429"/>
      <c r="E9" s="430">
        <f>F9*$B$9</f>
        <v>0</v>
      </c>
      <c r="F9" s="429">
        <f t="shared" si="0"/>
        <v>0</v>
      </c>
      <c r="G9" s="428">
        <f>H9*$B$9</f>
        <v>0</v>
      </c>
      <c r="H9" s="429">
        <f t="shared" si="1"/>
        <v>0</v>
      </c>
      <c r="I9" s="430">
        <f>J9*$B$9</f>
        <v>0</v>
      </c>
      <c r="J9" s="429">
        <f t="shared" si="2"/>
        <v>0</v>
      </c>
      <c r="K9" s="428">
        <f>L9*$B$9</f>
        <v>0</v>
      </c>
      <c r="L9" s="429">
        <f t="shared" si="3"/>
        <v>0</v>
      </c>
      <c r="M9" s="430">
        <f>N9*$B$9</f>
        <v>0</v>
      </c>
      <c r="N9" s="429">
        <f t="shared" si="4"/>
        <v>0</v>
      </c>
      <c r="O9" s="428">
        <f>P9*$B$9</f>
        <v>0</v>
      </c>
      <c r="P9" s="429">
        <f t="shared" si="5"/>
        <v>0</v>
      </c>
      <c r="Q9" s="430">
        <f>R9*$B$9</f>
        <v>0</v>
      </c>
      <c r="R9" s="429">
        <f t="shared" si="6"/>
        <v>0</v>
      </c>
      <c r="S9" s="428">
        <f>T9*$B$9</f>
        <v>0</v>
      </c>
      <c r="T9" s="429">
        <f t="shared" si="7"/>
        <v>0</v>
      </c>
      <c r="U9" s="430">
        <f>V9*$B$9</f>
        <v>0</v>
      </c>
      <c r="V9" s="429">
        <f t="shared" si="8"/>
        <v>0</v>
      </c>
      <c r="W9" s="428">
        <f>X9*$B$9</f>
        <v>0</v>
      </c>
      <c r="X9" s="429">
        <f t="shared" si="9"/>
        <v>0</v>
      </c>
      <c r="Y9" s="430">
        <f>Z9*$B$9</f>
        <v>0</v>
      </c>
      <c r="Z9" s="429">
        <f t="shared" si="10"/>
        <v>0</v>
      </c>
      <c r="AA9" s="457">
        <f t="shared" si="11"/>
        <v>0</v>
      </c>
      <c r="AB9" s="458"/>
      <c r="AC9" s="468">
        <f t="shared" si="12"/>
        <v>0</v>
      </c>
      <c r="AD9" s="458"/>
      <c r="AE9" s="468">
        <f t="shared" si="12"/>
        <v>0</v>
      </c>
      <c r="AF9" s="458"/>
      <c r="AG9" s="468">
        <f t="shared" si="12"/>
        <v>0</v>
      </c>
      <c r="AH9" s="458"/>
      <c r="AI9" s="468">
        <f t="shared" si="12"/>
        <v>0</v>
      </c>
      <c r="AJ9" s="458"/>
      <c r="AK9" s="469">
        <f t="shared" si="12"/>
        <v>0</v>
      </c>
    </row>
    <row r="10" spans="1:37" x14ac:dyDescent="0.25">
      <c r="A10" s="169" t="s">
        <v>235</v>
      </c>
      <c r="B10" s="427"/>
      <c r="C10" s="428">
        <f>D10*$B$10</f>
        <v>0</v>
      </c>
      <c r="D10" s="429"/>
      <c r="E10" s="430">
        <f>F10*$B$10</f>
        <v>0</v>
      </c>
      <c r="F10" s="429">
        <f t="shared" si="0"/>
        <v>0</v>
      </c>
      <c r="G10" s="428">
        <f>H10*$B$10</f>
        <v>0</v>
      </c>
      <c r="H10" s="429">
        <f t="shared" si="1"/>
        <v>0</v>
      </c>
      <c r="I10" s="430">
        <f>J10*$B$10</f>
        <v>0</v>
      </c>
      <c r="J10" s="429">
        <f t="shared" si="2"/>
        <v>0</v>
      </c>
      <c r="K10" s="428">
        <f>L10*$B$10</f>
        <v>0</v>
      </c>
      <c r="L10" s="429">
        <f t="shared" si="3"/>
        <v>0</v>
      </c>
      <c r="M10" s="430">
        <f>N10*$B$10</f>
        <v>0</v>
      </c>
      <c r="N10" s="429">
        <f t="shared" si="4"/>
        <v>0</v>
      </c>
      <c r="O10" s="428">
        <f>P10*$B$10</f>
        <v>0</v>
      </c>
      <c r="P10" s="429">
        <f t="shared" si="5"/>
        <v>0</v>
      </c>
      <c r="Q10" s="430">
        <f>R10*$B$10</f>
        <v>0</v>
      </c>
      <c r="R10" s="429">
        <f t="shared" si="6"/>
        <v>0</v>
      </c>
      <c r="S10" s="428">
        <f>T10*$B$10</f>
        <v>0</v>
      </c>
      <c r="T10" s="429">
        <f t="shared" si="7"/>
        <v>0</v>
      </c>
      <c r="U10" s="430">
        <f>V10*$B$10</f>
        <v>0</v>
      </c>
      <c r="V10" s="429">
        <f t="shared" si="8"/>
        <v>0</v>
      </c>
      <c r="W10" s="428">
        <f>X10*$B$10</f>
        <v>0</v>
      </c>
      <c r="X10" s="429">
        <f t="shared" si="9"/>
        <v>0</v>
      </c>
      <c r="Y10" s="430">
        <f>Z10*$B$10</f>
        <v>0</v>
      </c>
      <c r="Z10" s="429">
        <f t="shared" si="10"/>
        <v>0</v>
      </c>
      <c r="AA10" s="457">
        <f t="shared" si="11"/>
        <v>0</v>
      </c>
      <c r="AB10" s="458"/>
      <c r="AC10" s="468">
        <f t="shared" si="12"/>
        <v>0</v>
      </c>
      <c r="AD10" s="458"/>
      <c r="AE10" s="468">
        <f t="shared" si="12"/>
        <v>0</v>
      </c>
      <c r="AF10" s="458"/>
      <c r="AG10" s="468">
        <f t="shared" si="12"/>
        <v>0</v>
      </c>
      <c r="AH10" s="458"/>
      <c r="AI10" s="468">
        <f t="shared" si="12"/>
        <v>0</v>
      </c>
      <c r="AJ10" s="458"/>
      <c r="AK10" s="469">
        <f t="shared" si="12"/>
        <v>0</v>
      </c>
    </row>
    <row r="11" spans="1:37" x14ac:dyDescent="0.25">
      <c r="A11" s="169" t="s">
        <v>239</v>
      </c>
      <c r="B11" s="427"/>
      <c r="C11" s="428">
        <f>D11*$B$11</f>
        <v>0</v>
      </c>
      <c r="D11" s="429"/>
      <c r="E11" s="430">
        <f>F11*$B$11</f>
        <v>0</v>
      </c>
      <c r="F11" s="429">
        <f t="shared" si="0"/>
        <v>0</v>
      </c>
      <c r="G11" s="428">
        <f>H11*$B$11</f>
        <v>0</v>
      </c>
      <c r="H11" s="429">
        <f t="shared" si="1"/>
        <v>0</v>
      </c>
      <c r="I11" s="430">
        <f>J11*$B$11</f>
        <v>0</v>
      </c>
      <c r="J11" s="429">
        <f t="shared" si="2"/>
        <v>0</v>
      </c>
      <c r="K11" s="428">
        <f>L11*$B$11</f>
        <v>0</v>
      </c>
      <c r="L11" s="429">
        <f t="shared" si="3"/>
        <v>0</v>
      </c>
      <c r="M11" s="430">
        <f>N11*$B$11</f>
        <v>0</v>
      </c>
      <c r="N11" s="429">
        <f t="shared" si="4"/>
        <v>0</v>
      </c>
      <c r="O11" s="428">
        <f>P11*$B$11</f>
        <v>0</v>
      </c>
      <c r="P11" s="429">
        <f t="shared" si="5"/>
        <v>0</v>
      </c>
      <c r="Q11" s="430">
        <f>R11*$B$11</f>
        <v>0</v>
      </c>
      <c r="R11" s="429">
        <f t="shared" si="6"/>
        <v>0</v>
      </c>
      <c r="S11" s="428">
        <f>T11*$B$11</f>
        <v>0</v>
      </c>
      <c r="T11" s="429">
        <f t="shared" si="7"/>
        <v>0</v>
      </c>
      <c r="U11" s="430">
        <f>V11*$B$11</f>
        <v>0</v>
      </c>
      <c r="V11" s="429">
        <f t="shared" si="8"/>
        <v>0</v>
      </c>
      <c r="W11" s="428">
        <f>X11*$B$11</f>
        <v>0</v>
      </c>
      <c r="X11" s="429">
        <f t="shared" si="9"/>
        <v>0</v>
      </c>
      <c r="Y11" s="430">
        <f>Z11*$B$11</f>
        <v>0</v>
      </c>
      <c r="Z11" s="429">
        <f t="shared" si="10"/>
        <v>0</v>
      </c>
      <c r="AA11" s="457">
        <f t="shared" si="11"/>
        <v>0</v>
      </c>
      <c r="AB11" s="458"/>
      <c r="AC11" s="468">
        <f t="shared" si="12"/>
        <v>0</v>
      </c>
      <c r="AD11" s="458"/>
      <c r="AE11" s="468">
        <f t="shared" si="12"/>
        <v>0</v>
      </c>
      <c r="AF11" s="458"/>
      <c r="AG11" s="468">
        <f t="shared" si="12"/>
        <v>0</v>
      </c>
      <c r="AH11" s="458"/>
      <c r="AI11" s="468">
        <f t="shared" si="12"/>
        <v>0</v>
      </c>
      <c r="AJ11" s="458"/>
      <c r="AK11" s="469">
        <f t="shared" si="12"/>
        <v>0</v>
      </c>
    </row>
    <row r="12" spans="1:37" x14ac:dyDescent="0.25">
      <c r="A12" s="170" t="s">
        <v>16</v>
      </c>
      <c r="B12" s="431"/>
      <c r="C12" s="432">
        <f t="shared" ref="C12:AK12" si="13">SUM(C6:C11)</f>
        <v>0</v>
      </c>
      <c r="D12" s="433"/>
      <c r="E12" s="434">
        <f t="shared" si="13"/>
        <v>0</v>
      </c>
      <c r="F12" s="433"/>
      <c r="G12" s="432">
        <f t="shared" si="13"/>
        <v>0</v>
      </c>
      <c r="H12" s="433"/>
      <c r="I12" s="434">
        <f t="shared" si="13"/>
        <v>0</v>
      </c>
      <c r="J12" s="433"/>
      <c r="K12" s="432">
        <f t="shared" si="13"/>
        <v>0</v>
      </c>
      <c r="L12" s="433"/>
      <c r="M12" s="434">
        <f t="shared" si="13"/>
        <v>0</v>
      </c>
      <c r="N12" s="433"/>
      <c r="O12" s="432">
        <f t="shared" si="13"/>
        <v>0</v>
      </c>
      <c r="P12" s="433"/>
      <c r="Q12" s="434">
        <f t="shared" si="13"/>
        <v>0</v>
      </c>
      <c r="R12" s="433"/>
      <c r="S12" s="432">
        <f t="shared" si="13"/>
        <v>0</v>
      </c>
      <c r="T12" s="433"/>
      <c r="U12" s="434">
        <f t="shared" si="13"/>
        <v>0</v>
      </c>
      <c r="V12" s="433"/>
      <c r="W12" s="432">
        <f t="shared" si="13"/>
        <v>0</v>
      </c>
      <c r="X12" s="433"/>
      <c r="Y12" s="434">
        <f t="shared" si="13"/>
        <v>2000000</v>
      </c>
      <c r="Z12" s="433"/>
      <c r="AA12" s="459">
        <f t="shared" si="13"/>
        <v>2000000</v>
      </c>
      <c r="AB12" s="460"/>
      <c r="AC12" s="470">
        <f t="shared" si="13"/>
        <v>3600000</v>
      </c>
      <c r="AD12" s="460"/>
      <c r="AE12" s="470">
        <f t="shared" si="13"/>
        <v>3960000.0000000005</v>
      </c>
      <c r="AF12" s="460"/>
      <c r="AG12" s="470">
        <f t="shared" si="13"/>
        <v>4356000.0000000009</v>
      </c>
      <c r="AH12" s="460"/>
      <c r="AI12" s="470">
        <f t="shared" si="13"/>
        <v>4791600.0000000019</v>
      </c>
      <c r="AJ12" s="460"/>
      <c r="AK12" s="471">
        <f t="shared" si="13"/>
        <v>5270760.0000000028</v>
      </c>
    </row>
    <row r="13" spans="1:37" x14ac:dyDescent="0.25">
      <c r="A13" s="171" t="s">
        <v>40</v>
      </c>
      <c r="B13" s="435" t="s">
        <v>83</v>
      </c>
      <c r="C13" s="436"/>
      <c r="D13" s="437"/>
      <c r="E13" s="438"/>
      <c r="F13" s="437"/>
      <c r="G13" s="436"/>
      <c r="H13" s="437"/>
      <c r="I13" s="438"/>
      <c r="J13" s="437"/>
      <c r="K13" s="436"/>
      <c r="L13" s="437"/>
      <c r="M13" s="438"/>
      <c r="N13" s="437"/>
      <c r="O13" s="436"/>
      <c r="P13" s="437"/>
      <c r="Q13" s="438"/>
      <c r="R13" s="437"/>
      <c r="S13" s="436"/>
      <c r="T13" s="437"/>
      <c r="U13" s="438"/>
      <c r="V13" s="437"/>
      <c r="W13" s="436"/>
      <c r="X13" s="437"/>
      <c r="Y13" s="438"/>
      <c r="Z13" s="437"/>
      <c r="AA13" s="461"/>
      <c r="AB13" s="462"/>
      <c r="AC13" s="472"/>
      <c r="AD13" s="462"/>
      <c r="AE13" s="472"/>
      <c r="AF13" s="462"/>
      <c r="AG13" s="472"/>
      <c r="AH13" s="462"/>
      <c r="AI13" s="472"/>
      <c r="AJ13" s="462"/>
      <c r="AK13" s="473"/>
    </row>
    <row r="14" spans="1:37" s="5" customFormat="1" x14ac:dyDescent="0.25">
      <c r="A14" s="169" t="str">
        <f t="shared" ref="A14:A17" si="14">A6</f>
        <v>Health</v>
      </c>
      <c r="B14" s="427"/>
      <c r="C14" s="428">
        <f>D14*$B$14</f>
        <v>0</v>
      </c>
      <c r="D14" s="439">
        <f t="shared" ref="D14:D19" si="15">D6</f>
        <v>0</v>
      </c>
      <c r="E14" s="430">
        <f>F14*$B$14</f>
        <v>0</v>
      </c>
      <c r="F14" s="439">
        <f t="shared" ref="F14:F19" si="16">F6</f>
        <v>0</v>
      </c>
      <c r="G14" s="428">
        <f>H14*$B$14</f>
        <v>0</v>
      </c>
      <c r="H14" s="439">
        <f t="shared" ref="H14:H19" si="17">H6</f>
        <v>0</v>
      </c>
      <c r="I14" s="430">
        <f>J14*$B$14</f>
        <v>0</v>
      </c>
      <c r="J14" s="439">
        <f t="shared" ref="J14:J19" si="18">J6</f>
        <v>0</v>
      </c>
      <c r="K14" s="428">
        <f>L14*$B$14</f>
        <v>0</v>
      </c>
      <c r="L14" s="439">
        <f t="shared" ref="L14:L19" si="19">L6</f>
        <v>0</v>
      </c>
      <c r="M14" s="430">
        <f>N14*$B$14</f>
        <v>0</v>
      </c>
      <c r="N14" s="439">
        <f t="shared" ref="N14:N19" si="20">N6</f>
        <v>0</v>
      </c>
      <c r="O14" s="428">
        <f>P14*$B$14</f>
        <v>0</v>
      </c>
      <c r="P14" s="439">
        <f t="shared" ref="P14:P19" si="21">P6</f>
        <v>0</v>
      </c>
      <c r="Q14" s="430">
        <f>R14*$B$14</f>
        <v>0</v>
      </c>
      <c r="R14" s="439">
        <f t="shared" ref="R14:R19" si="22">R6</f>
        <v>0</v>
      </c>
      <c r="S14" s="428">
        <f>T14*$B$14</f>
        <v>0</v>
      </c>
      <c r="T14" s="439">
        <f t="shared" ref="T14:T19" si="23">T6</f>
        <v>0</v>
      </c>
      <c r="U14" s="430">
        <f>V14*$B$14</f>
        <v>0</v>
      </c>
      <c r="V14" s="439">
        <f t="shared" ref="V14:V19" si="24">V6</f>
        <v>0</v>
      </c>
      <c r="W14" s="428">
        <f>X14*$B$14</f>
        <v>0</v>
      </c>
      <c r="X14" s="439">
        <f t="shared" ref="X14:X19" si="25">X6</f>
        <v>0</v>
      </c>
      <c r="Y14" s="430">
        <v>600000</v>
      </c>
      <c r="Z14" s="439">
        <f t="shared" ref="Z14:Z19" si="26">Z6</f>
        <v>0</v>
      </c>
      <c r="AA14" s="457">
        <f t="shared" ref="AA14:AA19" si="27">Y14+W14+U14+S14+Q14+O14+M14+K14+I14+G14+E14+C14</f>
        <v>600000</v>
      </c>
      <c r="AB14" s="458">
        <f>AB6</f>
        <v>0.8</v>
      </c>
      <c r="AC14" s="468">
        <f t="shared" ref="AC14:AC19" si="28">(AA14*(1+AB14))</f>
        <v>1080000</v>
      </c>
      <c r="AD14" s="458">
        <f>AD6</f>
        <v>0.1</v>
      </c>
      <c r="AE14" s="468">
        <f t="shared" ref="AE14:AE19" si="29">(AC14*(1+AD14))</f>
        <v>1188000</v>
      </c>
      <c r="AF14" s="458">
        <f>AF6</f>
        <v>0.1</v>
      </c>
      <c r="AG14" s="468">
        <f t="shared" ref="AG14:AG19" si="30">(AE14*(1+AF14))</f>
        <v>1306800</v>
      </c>
      <c r="AH14" s="458">
        <f>AH6</f>
        <v>0.1</v>
      </c>
      <c r="AI14" s="468">
        <f t="shared" ref="AI14:AI19" si="31">(AG14*(1+AH14))</f>
        <v>1437480</v>
      </c>
      <c r="AJ14" s="458">
        <f>AJ6</f>
        <v>0.1</v>
      </c>
      <c r="AK14" s="469">
        <f t="shared" ref="AK14:AK19" si="32">(AI14*(1+AJ14))</f>
        <v>1581228.0000000002</v>
      </c>
    </row>
    <row r="15" spans="1:37" s="5" customFormat="1" x14ac:dyDescent="0.25">
      <c r="A15" s="169" t="str">
        <f>A7</f>
        <v>Police car</v>
      </c>
      <c r="B15" s="427"/>
      <c r="C15" s="428">
        <f>D15*$B$15</f>
        <v>0</v>
      </c>
      <c r="D15" s="439">
        <f t="shared" si="15"/>
        <v>0</v>
      </c>
      <c r="E15" s="430">
        <f>F15*$B$15</f>
        <v>0</v>
      </c>
      <c r="F15" s="439">
        <f t="shared" si="16"/>
        <v>0</v>
      </c>
      <c r="G15" s="428">
        <f>H15*$B$15</f>
        <v>0</v>
      </c>
      <c r="H15" s="439">
        <f t="shared" si="17"/>
        <v>0</v>
      </c>
      <c r="I15" s="430">
        <f>J15*$B$15</f>
        <v>0</v>
      </c>
      <c r="J15" s="439">
        <f t="shared" si="18"/>
        <v>0</v>
      </c>
      <c r="K15" s="428">
        <f>L15*$B$15</f>
        <v>0</v>
      </c>
      <c r="L15" s="439">
        <f t="shared" si="19"/>
        <v>0</v>
      </c>
      <c r="M15" s="430">
        <f>N15*$B$15</f>
        <v>0</v>
      </c>
      <c r="N15" s="439">
        <f t="shared" si="20"/>
        <v>0</v>
      </c>
      <c r="O15" s="428">
        <f>P15*$B$15</f>
        <v>0</v>
      </c>
      <c r="P15" s="439">
        <f t="shared" si="21"/>
        <v>0</v>
      </c>
      <c r="Q15" s="430">
        <f>R15*$B$15</f>
        <v>0</v>
      </c>
      <c r="R15" s="439">
        <f t="shared" si="22"/>
        <v>0</v>
      </c>
      <c r="S15" s="428">
        <f>T15*$B$15</f>
        <v>0</v>
      </c>
      <c r="T15" s="439">
        <f t="shared" si="23"/>
        <v>0</v>
      </c>
      <c r="U15" s="430">
        <f>V15*$B$15</f>
        <v>0</v>
      </c>
      <c r="V15" s="439">
        <f t="shared" si="24"/>
        <v>0</v>
      </c>
      <c r="W15" s="428">
        <f>X15*$B$15</f>
        <v>0</v>
      </c>
      <c r="X15" s="439">
        <f t="shared" si="25"/>
        <v>0</v>
      </c>
      <c r="Y15" s="430">
        <f>Z15*$B$15</f>
        <v>0</v>
      </c>
      <c r="Z15" s="439">
        <f t="shared" si="26"/>
        <v>0</v>
      </c>
      <c r="AA15" s="457">
        <f t="shared" si="27"/>
        <v>0</v>
      </c>
      <c r="AB15" s="458"/>
      <c r="AC15" s="468">
        <f t="shared" si="28"/>
        <v>0</v>
      </c>
      <c r="AD15" s="458"/>
      <c r="AE15" s="468">
        <f t="shared" si="29"/>
        <v>0</v>
      </c>
      <c r="AF15" s="458"/>
      <c r="AG15" s="468">
        <f t="shared" si="30"/>
        <v>0</v>
      </c>
      <c r="AH15" s="458"/>
      <c r="AI15" s="468">
        <f t="shared" si="31"/>
        <v>0</v>
      </c>
      <c r="AJ15" s="458"/>
      <c r="AK15" s="469">
        <f t="shared" si="32"/>
        <v>0</v>
      </c>
    </row>
    <row r="16" spans="1:37" s="5" customFormat="1" x14ac:dyDescent="0.25">
      <c r="A16" s="169" t="str">
        <f>A8</f>
        <v>Bus</v>
      </c>
      <c r="B16" s="427"/>
      <c r="C16" s="428">
        <f>D16*$B$16</f>
        <v>0</v>
      </c>
      <c r="D16" s="439">
        <f t="shared" si="15"/>
        <v>0</v>
      </c>
      <c r="E16" s="430">
        <f>F16*$B$16</f>
        <v>0</v>
      </c>
      <c r="F16" s="439">
        <f t="shared" si="16"/>
        <v>0</v>
      </c>
      <c r="G16" s="428">
        <f>H16*$B$16</f>
        <v>0</v>
      </c>
      <c r="H16" s="439">
        <f t="shared" si="17"/>
        <v>0</v>
      </c>
      <c r="I16" s="430">
        <f>J16*$B$16</f>
        <v>0</v>
      </c>
      <c r="J16" s="439">
        <f t="shared" si="18"/>
        <v>0</v>
      </c>
      <c r="K16" s="428">
        <f>L16*$B$16</f>
        <v>0</v>
      </c>
      <c r="L16" s="439">
        <f t="shared" si="19"/>
        <v>0</v>
      </c>
      <c r="M16" s="430">
        <f>N16*$B$16</f>
        <v>0</v>
      </c>
      <c r="N16" s="439">
        <f t="shared" si="20"/>
        <v>0</v>
      </c>
      <c r="O16" s="428">
        <f>P16*$B$16</f>
        <v>0</v>
      </c>
      <c r="P16" s="439">
        <f t="shared" si="21"/>
        <v>0</v>
      </c>
      <c r="Q16" s="430">
        <f>R16*$B$16</f>
        <v>0</v>
      </c>
      <c r="R16" s="439">
        <f t="shared" si="22"/>
        <v>0</v>
      </c>
      <c r="S16" s="428">
        <f>T16*$B$16</f>
        <v>0</v>
      </c>
      <c r="T16" s="439">
        <f t="shared" si="23"/>
        <v>0</v>
      </c>
      <c r="U16" s="430">
        <f>V16*$B$16</f>
        <v>0</v>
      </c>
      <c r="V16" s="439">
        <f t="shared" si="24"/>
        <v>0</v>
      </c>
      <c r="W16" s="428">
        <f>X16*$B$16</f>
        <v>0</v>
      </c>
      <c r="X16" s="439">
        <f t="shared" si="25"/>
        <v>0</v>
      </c>
      <c r="Y16" s="430">
        <f>Z16*$B$16</f>
        <v>0</v>
      </c>
      <c r="Z16" s="439">
        <f t="shared" si="26"/>
        <v>0</v>
      </c>
      <c r="AA16" s="457">
        <f t="shared" si="27"/>
        <v>0</v>
      </c>
      <c r="AB16" s="458"/>
      <c r="AC16" s="468">
        <f t="shared" si="28"/>
        <v>0</v>
      </c>
      <c r="AD16" s="458"/>
      <c r="AE16" s="468">
        <f t="shared" si="29"/>
        <v>0</v>
      </c>
      <c r="AF16" s="458"/>
      <c r="AG16" s="468">
        <f t="shared" si="30"/>
        <v>0</v>
      </c>
      <c r="AH16" s="458"/>
      <c r="AI16" s="468">
        <f t="shared" si="31"/>
        <v>0</v>
      </c>
      <c r="AJ16" s="458"/>
      <c r="AK16" s="469">
        <f t="shared" si="32"/>
        <v>0</v>
      </c>
    </row>
    <row r="17" spans="1:37" s="5" customFormat="1" x14ac:dyDescent="0.25">
      <c r="A17" s="169" t="str">
        <f t="shared" si="14"/>
        <v>Sport</v>
      </c>
      <c r="B17" s="427"/>
      <c r="C17" s="428">
        <f>D17*$B$17</f>
        <v>0</v>
      </c>
      <c r="D17" s="439">
        <f t="shared" si="15"/>
        <v>0</v>
      </c>
      <c r="E17" s="430">
        <f>F17*$B$17</f>
        <v>0</v>
      </c>
      <c r="F17" s="439">
        <f t="shared" si="16"/>
        <v>0</v>
      </c>
      <c r="G17" s="428">
        <f>H17*$B$17</f>
        <v>0</v>
      </c>
      <c r="H17" s="439">
        <f t="shared" si="17"/>
        <v>0</v>
      </c>
      <c r="I17" s="430">
        <f>J17*$B$17</f>
        <v>0</v>
      </c>
      <c r="J17" s="439">
        <f t="shared" si="18"/>
        <v>0</v>
      </c>
      <c r="K17" s="428">
        <f>L17*$B$17</f>
        <v>0</v>
      </c>
      <c r="L17" s="439">
        <f t="shared" si="19"/>
        <v>0</v>
      </c>
      <c r="M17" s="430">
        <f>N17*$B$17</f>
        <v>0</v>
      </c>
      <c r="N17" s="439">
        <f t="shared" si="20"/>
        <v>0</v>
      </c>
      <c r="O17" s="428">
        <f>P17*$B$17</f>
        <v>0</v>
      </c>
      <c r="P17" s="439">
        <f t="shared" si="21"/>
        <v>0</v>
      </c>
      <c r="Q17" s="430">
        <f>R17*$B$17</f>
        <v>0</v>
      </c>
      <c r="R17" s="439">
        <f t="shared" si="22"/>
        <v>0</v>
      </c>
      <c r="S17" s="428">
        <f>T17*$B$17</f>
        <v>0</v>
      </c>
      <c r="T17" s="439">
        <f t="shared" si="23"/>
        <v>0</v>
      </c>
      <c r="U17" s="430">
        <f>V17*$B$17</f>
        <v>0</v>
      </c>
      <c r="V17" s="439">
        <f t="shared" si="24"/>
        <v>0</v>
      </c>
      <c r="W17" s="428">
        <f>X17*$B$17</f>
        <v>0</v>
      </c>
      <c r="X17" s="439">
        <f t="shared" si="25"/>
        <v>0</v>
      </c>
      <c r="Y17" s="430">
        <f>Z17*$B$17</f>
        <v>0</v>
      </c>
      <c r="Z17" s="439">
        <f t="shared" si="26"/>
        <v>0</v>
      </c>
      <c r="AA17" s="457">
        <f t="shared" si="27"/>
        <v>0</v>
      </c>
      <c r="AB17" s="458"/>
      <c r="AC17" s="468">
        <f t="shared" si="28"/>
        <v>0</v>
      </c>
      <c r="AD17" s="458"/>
      <c r="AE17" s="468">
        <f t="shared" si="29"/>
        <v>0</v>
      </c>
      <c r="AF17" s="458"/>
      <c r="AG17" s="468">
        <f t="shared" si="30"/>
        <v>0</v>
      </c>
      <c r="AH17" s="458"/>
      <c r="AI17" s="468">
        <f t="shared" si="31"/>
        <v>0</v>
      </c>
      <c r="AJ17" s="458"/>
      <c r="AK17" s="469">
        <f t="shared" si="32"/>
        <v>0</v>
      </c>
    </row>
    <row r="18" spans="1:37" s="5" customFormat="1" x14ac:dyDescent="0.25">
      <c r="A18" s="169" t="str">
        <f>A10</f>
        <v>Solar Plane</v>
      </c>
      <c r="B18" s="427"/>
      <c r="C18" s="428">
        <f>D18*$B$18</f>
        <v>0</v>
      </c>
      <c r="D18" s="439">
        <f t="shared" si="15"/>
        <v>0</v>
      </c>
      <c r="E18" s="430">
        <f>F18*$B$18</f>
        <v>0</v>
      </c>
      <c r="F18" s="439">
        <f t="shared" si="16"/>
        <v>0</v>
      </c>
      <c r="G18" s="428">
        <f>H18*$B$18</f>
        <v>0</v>
      </c>
      <c r="H18" s="439">
        <f t="shared" si="17"/>
        <v>0</v>
      </c>
      <c r="I18" s="430">
        <f>J18*$B$18</f>
        <v>0</v>
      </c>
      <c r="J18" s="439">
        <f t="shared" si="18"/>
        <v>0</v>
      </c>
      <c r="K18" s="428">
        <f>L18*$B$18</f>
        <v>0</v>
      </c>
      <c r="L18" s="439">
        <f t="shared" si="19"/>
        <v>0</v>
      </c>
      <c r="M18" s="430">
        <f>N18*$B$18</f>
        <v>0</v>
      </c>
      <c r="N18" s="439">
        <f t="shared" si="20"/>
        <v>0</v>
      </c>
      <c r="O18" s="428">
        <f>P18*$B$18</f>
        <v>0</v>
      </c>
      <c r="P18" s="439">
        <f t="shared" si="21"/>
        <v>0</v>
      </c>
      <c r="Q18" s="430">
        <f>R18*$B$18</f>
        <v>0</v>
      </c>
      <c r="R18" s="439">
        <f t="shared" si="22"/>
        <v>0</v>
      </c>
      <c r="S18" s="428">
        <f>T18*$B$18</f>
        <v>0</v>
      </c>
      <c r="T18" s="439">
        <f t="shared" si="23"/>
        <v>0</v>
      </c>
      <c r="U18" s="430">
        <f>V18*$B$18</f>
        <v>0</v>
      </c>
      <c r="V18" s="439">
        <f t="shared" si="24"/>
        <v>0</v>
      </c>
      <c r="W18" s="428">
        <f>X18*$B$18</f>
        <v>0</v>
      </c>
      <c r="X18" s="439">
        <f t="shared" si="25"/>
        <v>0</v>
      </c>
      <c r="Y18" s="430">
        <f>Z18*$B$18</f>
        <v>0</v>
      </c>
      <c r="Z18" s="439">
        <f t="shared" si="26"/>
        <v>0</v>
      </c>
      <c r="AA18" s="457">
        <f t="shared" si="27"/>
        <v>0</v>
      </c>
      <c r="AB18" s="458"/>
      <c r="AC18" s="468">
        <f t="shared" si="28"/>
        <v>0</v>
      </c>
      <c r="AD18" s="458"/>
      <c r="AE18" s="468">
        <f t="shared" si="29"/>
        <v>0</v>
      </c>
      <c r="AF18" s="458"/>
      <c r="AG18" s="468">
        <f t="shared" si="30"/>
        <v>0</v>
      </c>
      <c r="AH18" s="458"/>
      <c r="AI18" s="468">
        <f t="shared" si="31"/>
        <v>0</v>
      </c>
      <c r="AJ18" s="458"/>
      <c r="AK18" s="469">
        <f t="shared" si="32"/>
        <v>0</v>
      </c>
    </row>
    <row r="19" spans="1:37" s="5" customFormat="1" x14ac:dyDescent="0.25">
      <c r="A19" s="169" t="str">
        <f>A11</f>
        <v>NEOM car (luxury)</v>
      </c>
      <c r="B19" s="427"/>
      <c r="C19" s="428">
        <f>D19*$B$19</f>
        <v>0</v>
      </c>
      <c r="D19" s="439">
        <f t="shared" si="15"/>
        <v>0</v>
      </c>
      <c r="E19" s="430">
        <f>F19*$B$19</f>
        <v>0</v>
      </c>
      <c r="F19" s="439">
        <f t="shared" si="16"/>
        <v>0</v>
      </c>
      <c r="G19" s="428">
        <f>H19*$B$19</f>
        <v>0</v>
      </c>
      <c r="H19" s="439">
        <f t="shared" si="17"/>
        <v>0</v>
      </c>
      <c r="I19" s="430">
        <f>J19*$B$19</f>
        <v>0</v>
      </c>
      <c r="J19" s="439">
        <f t="shared" si="18"/>
        <v>0</v>
      </c>
      <c r="K19" s="428">
        <f>L19*$B$19</f>
        <v>0</v>
      </c>
      <c r="L19" s="439">
        <f t="shared" si="19"/>
        <v>0</v>
      </c>
      <c r="M19" s="430">
        <f>N19*$B$19</f>
        <v>0</v>
      </c>
      <c r="N19" s="439">
        <f t="shared" si="20"/>
        <v>0</v>
      </c>
      <c r="O19" s="428">
        <f>P19*$B$19</f>
        <v>0</v>
      </c>
      <c r="P19" s="439">
        <f t="shared" si="21"/>
        <v>0</v>
      </c>
      <c r="Q19" s="430">
        <f>R19*$B$19</f>
        <v>0</v>
      </c>
      <c r="R19" s="439">
        <f t="shared" si="22"/>
        <v>0</v>
      </c>
      <c r="S19" s="428">
        <f>T19*$B$19</f>
        <v>0</v>
      </c>
      <c r="T19" s="439">
        <f t="shared" si="23"/>
        <v>0</v>
      </c>
      <c r="U19" s="430">
        <f>V19*$B$19</f>
        <v>0</v>
      </c>
      <c r="V19" s="439">
        <f t="shared" si="24"/>
        <v>0</v>
      </c>
      <c r="W19" s="428">
        <f>X19*$B$19</f>
        <v>0</v>
      </c>
      <c r="X19" s="439">
        <f t="shared" si="25"/>
        <v>0</v>
      </c>
      <c r="Y19" s="430">
        <f>Z19*$B$19</f>
        <v>0</v>
      </c>
      <c r="Z19" s="439">
        <f t="shared" si="26"/>
        <v>0</v>
      </c>
      <c r="AA19" s="457">
        <f t="shared" si="27"/>
        <v>0</v>
      </c>
      <c r="AB19" s="458"/>
      <c r="AC19" s="468">
        <f t="shared" si="28"/>
        <v>0</v>
      </c>
      <c r="AD19" s="458"/>
      <c r="AE19" s="468">
        <f t="shared" si="29"/>
        <v>0</v>
      </c>
      <c r="AF19" s="458"/>
      <c r="AG19" s="468">
        <f t="shared" si="30"/>
        <v>0</v>
      </c>
      <c r="AH19" s="458"/>
      <c r="AI19" s="468">
        <f t="shared" si="31"/>
        <v>0</v>
      </c>
      <c r="AJ19" s="458"/>
      <c r="AK19" s="469">
        <f t="shared" si="32"/>
        <v>0</v>
      </c>
    </row>
    <row r="20" spans="1:37" s="5" customFormat="1" x14ac:dyDescent="0.25">
      <c r="A20" s="170" t="s">
        <v>41</v>
      </c>
      <c r="B20" s="431"/>
      <c r="C20" s="432">
        <f t="shared" ref="C20:AK20" si="33">SUM(C14:C19)</f>
        <v>0</v>
      </c>
      <c r="D20" s="433"/>
      <c r="E20" s="434">
        <f t="shared" si="33"/>
        <v>0</v>
      </c>
      <c r="F20" s="433"/>
      <c r="G20" s="432">
        <f t="shared" si="33"/>
        <v>0</v>
      </c>
      <c r="H20" s="433"/>
      <c r="I20" s="434">
        <f t="shared" si="33"/>
        <v>0</v>
      </c>
      <c r="J20" s="433"/>
      <c r="K20" s="432">
        <f t="shared" si="33"/>
        <v>0</v>
      </c>
      <c r="L20" s="433"/>
      <c r="M20" s="434">
        <f t="shared" si="33"/>
        <v>0</v>
      </c>
      <c r="N20" s="433"/>
      <c r="O20" s="432">
        <f t="shared" si="33"/>
        <v>0</v>
      </c>
      <c r="P20" s="433"/>
      <c r="Q20" s="434">
        <f t="shared" si="33"/>
        <v>0</v>
      </c>
      <c r="R20" s="433"/>
      <c r="S20" s="432">
        <f t="shared" si="33"/>
        <v>0</v>
      </c>
      <c r="T20" s="433"/>
      <c r="U20" s="434">
        <f t="shared" si="33"/>
        <v>0</v>
      </c>
      <c r="V20" s="433"/>
      <c r="W20" s="432">
        <f t="shared" si="33"/>
        <v>0</v>
      </c>
      <c r="X20" s="433"/>
      <c r="Y20" s="434">
        <f t="shared" si="33"/>
        <v>600000</v>
      </c>
      <c r="Z20" s="433"/>
      <c r="AA20" s="459">
        <f t="shared" si="33"/>
        <v>600000</v>
      </c>
      <c r="AB20" s="460"/>
      <c r="AC20" s="470">
        <f t="shared" si="33"/>
        <v>1080000</v>
      </c>
      <c r="AD20" s="460"/>
      <c r="AE20" s="470">
        <f t="shared" si="33"/>
        <v>1188000</v>
      </c>
      <c r="AF20" s="460"/>
      <c r="AG20" s="470">
        <f t="shared" si="33"/>
        <v>1306800</v>
      </c>
      <c r="AH20" s="460"/>
      <c r="AI20" s="470">
        <f t="shared" si="33"/>
        <v>1437480</v>
      </c>
      <c r="AJ20" s="460"/>
      <c r="AK20" s="471">
        <f t="shared" si="33"/>
        <v>1581228.0000000002</v>
      </c>
    </row>
    <row r="21" spans="1:37" s="5" customFormat="1" x14ac:dyDescent="0.25">
      <c r="A21" s="184" t="s">
        <v>88</v>
      </c>
      <c r="B21" s="440"/>
      <c r="C21" s="441">
        <f t="shared" ref="C21:AK21" si="34">C12-C20</f>
        <v>0</v>
      </c>
      <c r="D21" s="249"/>
      <c r="E21" s="442">
        <f t="shared" si="34"/>
        <v>0</v>
      </c>
      <c r="F21" s="249"/>
      <c r="G21" s="441">
        <f t="shared" si="34"/>
        <v>0</v>
      </c>
      <c r="H21" s="249"/>
      <c r="I21" s="442">
        <f t="shared" si="34"/>
        <v>0</v>
      </c>
      <c r="J21" s="249"/>
      <c r="K21" s="441">
        <f t="shared" si="34"/>
        <v>0</v>
      </c>
      <c r="L21" s="249"/>
      <c r="M21" s="442">
        <f t="shared" si="34"/>
        <v>0</v>
      </c>
      <c r="N21" s="249"/>
      <c r="O21" s="441">
        <f t="shared" si="34"/>
        <v>0</v>
      </c>
      <c r="P21" s="249"/>
      <c r="Q21" s="442">
        <f t="shared" si="34"/>
        <v>0</v>
      </c>
      <c r="R21" s="249"/>
      <c r="S21" s="441">
        <f t="shared" si="34"/>
        <v>0</v>
      </c>
      <c r="T21" s="249"/>
      <c r="U21" s="442">
        <f t="shared" si="34"/>
        <v>0</v>
      </c>
      <c r="V21" s="249"/>
      <c r="W21" s="441">
        <f t="shared" si="34"/>
        <v>0</v>
      </c>
      <c r="X21" s="249"/>
      <c r="Y21" s="442">
        <f t="shared" si="34"/>
        <v>1400000</v>
      </c>
      <c r="Z21" s="249"/>
      <c r="AA21" s="463">
        <f t="shared" si="34"/>
        <v>1400000</v>
      </c>
      <c r="AB21" s="464"/>
      <c r="AC21" s="474">
        <f t="shared" si="34"/>
        <v>2520000</v>
      </c>
      <c r="AD21" s="464"/>
      <c r="AE21" s="474">
        <f t="shared" si="34"/>
        <v>2772000.0000000005</v>
      </c>
      <c r="AF21" s="464"/>
      <c r="AG21" s="474">
        <f t="shared" si="34"/>
        <v>3049200.0000000009</v>
      </c>
      <c r="AH21" s="464"/>
      <c r="AI21" s="474">
        <f t="shared" si="34"/>
        <v>3354120.0000000019</v>
      </c>
      <c r="AJ21" s="464"/>
      <c r="AK21" s="475">
        <f t="shared" si="34"/>
        <v>3689532.0000000028</v>
      </c>
    </row>
    <row r="22" spans="1:37" s="5" customFormat="1" x14ac:dyDescent="0.25">
      <c r="A22" s="176" t="s">
        <v>42</v>
      </c>
      <c r="B22" s="443"/>
      <c r="C22" s="444"/>
      <c r="D22" s="445"/>
      <c r="E22" s="446"/>
      <c r="F22" s="445"/>
      <c r="G22" s="444"/>
      <c r="H22" s="445"/>
      <c r="I22" s="446"/>
      <c r="J22" s="445"/>
      <c r="K22" s="444"/>
      <c r="L22" s="445"/>
      <c r="M22" s="446"/>
      <c r="N22" s="445"/>
      <c r="O22" s="444"/>
      <c r="P22" s="445"/>
      <c r="Q22" s="446"/>
      <c r="R22" s="445"/>
      <c r="S22" s="444"/>
      <c r="T22" s="445"/>
      <c r="U22" s="446"/>
      <c r="V22" s="445"/>
      <c r="W22" s="444"/>
      <c r="X22" s="445"/>
      <c r="Y22" s="446"/>
      <c r="Z22" s="445"/>
      <c r="AA22" s="465"/>
      <c r="AB22" s="466"/>
      <c r="AC22" s="476"/>
      <c r="AD22" s="466"/>
      <c r="AE22" s="476"/>
      <c r="AF22" s="466"/>
      <c r="AG22" s="476"/>
      <c r="AH22" s="466"/>
      <c r="AI22" s="476"/>
      <c r="AJ22" s="466"/>
      <c r="AK22" s="477"/>
    </row>
    <row r="23" spans="1:37" s="5" customFormat="1" x14ac:dyDescent="0.25">
      <c r="A23" s="169" t="s">
        <v>86</v>
      </c>
      <c r="B23" s="443" t="s">
        <v>85</v>
      </c>
      <c r="C23" s="447"/>
      <c r="D23" s="448"/>
      <c r="E23" s="449"/>
      <c r="F23" s="448"/>
      <c r="G23" s="450"/>
      <c r="H23" s="448"/>
      <c r="I23" s="449"/>
      <c r="J23" s="448"/>
      <c r="K23" s="450"/>
      <c r="L23" s="448"/>
      <c r="M23" s="449"/>
      <c r="N23" s="448"/>
      <c r="O23" s="450"/>
      <c r="P23" s="448"/>
      <c r="Q23" s="449"/>
      <c r="R23" s="448"/>
      <c r="S23" s="450"/>
      <c r="T23" s="448"/>
      <c r="U23" s="449"/>
      <c r="V23" s="448"/>
      <c r="W23" s="450"/>
      <c r="X23" s="448"/>
      <c r="Y23" s="449"/>
      <c r="Z23" s="448"/>
      <c r="AA23" s="457"/>
      <c r="AB23" s="458"/>
      <c r="AC23" s="468"/>
      <c r="AD23" s="458"/>
      <c r="AE23" s="468"/>
      <c r="AF23" s="458"/>
      <c r="AG23" s="468"/>
      <c r="AH23" s="458"/>
      <c r="AI23" s="468"/>
      <c r="AJ23" s="458"/>
      <c r="AK23" s="469"/>
    </row>
    <row r="24" spans="1:37" s="5" customFormat="1" x14ac:dyDescent="0.25">
      <c r="A24" s="169" t="s">
        <v>244</v>
      </c>
      <c r="B24" s="443"/>
      <c r="C24" s="527"/>
      <c r="D24" s="448"/>
      <c r="E24" s="449"/>
      <c r="F24" s="448"/>
      <c r="G24" s="449"/>
      <c r="H24" s="448"/>
      <c r="I24" s="449"/>
      <c r="J24" s="448"/>
      <c r="K24" s="450"/>
      <c r="L24" s="448"/>
      <c r="M24" s="449"/>
      <c r="N24" s="448"/>
      <c r="O24" s="450"/>
      <c r="P24" s="448"/>
      <c r="Q24" s="449"/>
      <c r="R24" s="448"/>
      <c r="S24" s="450"/>
      <c r="T24" s="448"/>
      <c r="U24" s="449"/>
      <c r="V24" s="448"/>
      <c r="W24" s="450"/>
      <c r="X24" s="448"/>
      <c r="Y24" s="449"/>
      <c r="Z24" s="448"/>
      <c r="AA24" s="457"/>
      <c r="AB24" s="458"/>
      <c r="AC24" s="468"/>
      <c r="AD24" s="458"/>
      <c r="AE24" s="468"/>
      <c r="AF24" s="458"/>
      <c r="AG24" s="468"/>
      <c r="AH24" s="458"/>
      <c r="AI24" s="468"/>
      <c r="AJ24" s="458"/>
      <c r="AK24" s="469"/>
    </row>
    <row r="25" spans="1:37" s="5" customFormat="1" x14ac:dyDescent="0.25">
      <c r="A25" s="169" t="s">
        <v>43</v>
      </c>
      <c r="B25" s="451">
        <v>412800</v>
      </c>
      <c r="C25" s="430">
        <f>$B$25/12</f>
        <v>34400</v>
      </c>
      <c r="D25" s="439"/>
      <c r="E25" s="430">
        <f>$B$25/12</f>
        <v>34400</v>
      </c>
      <c r="F25" s="439"/>
      <c r="G25" s="430">
        <f>$B$25/12</f>
        <v>34400</v>
      </c>
      <c r="H25" s="439"/>
      <c r="I25" s="430">
        <f>$B$25/12</f>
        <v>34400</v>
      </c>
      <c r="J25" s="439"/>
      <c r="K25" s="428">
        <f>$B$25/12</f>
        <v>34400</v>
      </c>
      <c r="L25" s="439"/>
      <c r="M25" s="430">
        <f>$B$25/12</f>
        <v>34400</v>
      </c>
      <c r="N25" s="439"/>
      <c r="O25" s="428">
        <f>$B$25/12</f>
        <v>34400</v>
      </c>
      <c r="P25" s="439"/>
      <c r="Q25" s="430">
        <f>$B$25/12</f>
        <v>34400</v>
      </c>
      <c r="R25" s="439"/>
      <c r="S25" s="428">
        <f>$B$25/12</f>
        <v>34400</v>
      </c>
      <c r="T25" s="439"/>
      <c r="U25" s="430">
        <f>$B$25/12</f>
        <v>34400</v>
      </c>
      <c r="V25" s="439"/>
      <c r="W25" s="428">
        <f>$B$25/12</f>
        <v>34400</v>
      </c>
      <c r="X25" s="439"/>
      <c r="Y25" s="430">
        <f>$B$25/12</f>
        <v>34400</v>
      </c>
      <c r="Z25" s="439"/>
      <c r="AA25" s="500">
        <f t="shared" ref="AA25:AA30" si="35">Y25+W25+U25+S25+Q25+O25+M25+K25+I25+G25+E25+C25</f>
        <v>412800</v>
      </c>
      <c r="AB25" s="458">
        <v>0.05</v>
      </c>
      <c r="AC25" s="468">
        <f>432000+(7000*12)</f>
        <v>516000</v>
      </c>
      <c r="AD25" s="458">
        <v>0.05</v>
      </c>
      <c r="AE25" s="468">
        <f t="shared" ref="AC25:AK30" si="36">(AC25*(1+AD25))</f>
        <v>541800</v>
      </c>
      <c r="AF25" s="458">
        <v>0.05</v>
      </c>
      <c r="AG25" s="468">
        <f t="shared" si="36"/>
        <v>568890</v>
      </c>
      <c r="AH25" s="458">
        <v>0.05</v>
      </c>
      <c r="AI25" s="468">
        <f t="shared" si="36"/>
        <v>597334.5</v>
      </c>
      <c r="AJ25" s="458">
        <v>0.05</v>
      </c>
      <c r="AK25" s="469">
        <f t="shared" si="36"/>
        <v>627201.22499999998</v>
      </c>
    </row>
    <row r="26" spans="1:37" s="5" customFormat="1" x14ac:dyDescent="0.25">
      <c r="A26" s="169" t="s">
        <v>44</v>
      </c>
      <c r="B26" s="452">
        <v>120000</v>
      </c>
      <c r="C26" s="430">
        <f>$B$26/12</f>
        <v>10000</v>
      </c>
      <c r="D26" s="439"/>
      <c r="E26" s="430">
        <f>$B$26/12</f>
        <v>10000</v>
      </c>
      <c r="F26" s="439"/>
      <c r="G26" s="430">
        <f>$B$26/12</f>
        <v>10000</v>
      </c>
      <c r="H26" s="439"/>
      <c r="I26" s="430">
        <f>$B$26/12</f>
        <v>10000</v>
      </c>
      <c r="J26" s="439"/>
      <c r="K26" s="430">
        <f>$B$26/12</f>
        <v>10000</v>
      </c>
      <c r="L26" s="439"/>
      <c r="M26" s="430">
        <f>$B$26/12</f>
        <v>10000</v>
      </c>
      <c r="N26" s="439"/>
      <c r="O26" s="430">
        <f>$B$26/12</f>
        <v>10000</v>
      </c>
      <c r="P26" s="439"/>
      <c r="Q26" s="430">
        <f>$B$26/12</f>
        <v>10000</v>
      </c>
      <c r="R26" s="439"/>
      <c r="S26" s="430">
        <f>$B$26/12</f>
        <v>10000</v>
      </c>
      <c r="T26" s="439"/>
      <c r="U26" s="430">
        <f>$B$26/12</f>
        <v>10000</v>
      </c>
      <c r="V26" s="439"/>
      <c r="W26" s="430">
        <f>$B$26/12</f>
        <v>10000</v>
      </c>
      <c r="X26" s="439"/>
      <c r="Y26" s="430">
        <f>$B$26/12</f>
        <v>10000</v>
      </c>
      <c r="Z26" s="439"/>
      <c r="AA26" s="500">
        <f t="shared" si="35"/>
        <v>120000</v>
      </c>
      <c r="AB26" s="458"/>
      <c r="AC26" s="468">
        <f>B26</f>
        <v>120000</v>
      </c>
      <c r="AD26" s="458"/>
      <c r="AE26" s="468">
        <f t="shared" si="36"/>
        <v>120000</v>
      </c>
      <c r="AF26" s="458"/>
      <c r="AG26" s="468">
        <f t="shared" si="36"/>
        <v>120000</v>
      </c>
      <c r="AH26" s="458"/>
      <c r="AI26" s="468">
        <f t="shared" si="36"/>
        <v>120000</v>
      </c>
      <c r="AJ26" s="458"/>
      <c r="AK26" s="469">
        <f t="shared" si="36"/>
        <v>120000</v>
      </c>
    </row>
    <row r="27" spans="1:37" s="5" customFormat="1" x14ac:dyDescent="0.25">
      <c r="A27" s="169" t="s">
        <v>45</v>
      </c>
      <c r="B27" s="452">
        <v>10000</v>
      </c>
      <c r="C27" s="430">
        <f>$B$27/12</f>
        <v>833.33333333333337</v>
      </c>
      <c r="D27" s="439"/>
      <c r="E27" s="430">
        <f>$B$27/12</f>
        <v>833.33333333333337</v>
      </c>
      <c r="F27" s="439"/>
      <c r="G27" s="430">
        <f>$B$27/12</f>
        <v>833.33333333333337</v>
      </c>
      <c r="H27" s="439"/>
      <c r="I27" s="430">
        <f>$B$27/12</f>
        <v>833.33333333333337</v>
      </c>
      <c r="J27" s="439"/>
      <c r="K27" s="430">
        <f>$B$27/12</f>
        <v>833.33333333333337</v>
      </c>
      <c r="L27" s="439"/>
      <c r="M27" s="430">
        <f>$B$27/12</f>
        <v>833.33333333333337</v>
      </c>
      <c r="N27" s="439"/>
      <c r="O27" s="428">
        <f>$B$27/12</f>
        <v>833.33333333333337</v>
      </c>
      <c r="P27" s="439"/>
      <c r="Q27" s="430">
        <f>$B$27/12</f>
        <v>833.33333333333337</v>
      </c>
      <c r="R27" s="439"/>
      <c r="S27" s="428">
        <f>$B$27/12</f>
        <v>833.33333333333337</v>
      </c>
      <c r="T27" s="439"/>
      <c r="U27" s="430">
        <f>$B$27/12</f>
        <v>833.33333333333337</v>
      </c>
      <c r="V27" s="439"/>
      <c r="W27" s="428">
        <f>$B$27/12</f>
        <v>833.33333333333337</v>
      </c>
      <c r="X27" s="439"/>
      <c r="Y27" s="430">
        <f>$B$27/12</f>
        <v>833.33333333333337</v>
      </c>
      <c r="Z27" s="439"/>
      <c r="AA27" s="500">
        <f t="shared" si="35"/>
        <v>10000</v>
      </c>
      <c r="AB27" s="458">
        <v>0.05</v>
      </c>
      <c r="AC27" s="468">
        <f t="shared" si="36"/>
        <v>10500</v>
      </c>
      <c r="AD27" s="458">
        <v>0.05</v>
      </c>
      <c r="AE27" s="468">
        <f t="shared" si="36"/>
        <v>11025</v>
      </c>
      <c r="AF27" s="458">
        <v>0.05</v>
      </c>
      <c r="AG27" s="468">
        <f t="shared" si="36"/>
        <v>11576.25</v>
      </c>
      <c r="AH27" s="458">
        <v>0.05</v>
      </c>
      <c r="AI27" s="468">
        <f t="shared" si="36"/>
        <v>12155.0625</v>
      </c>
      <c r="AJ27" s="458">
        <v>0.05</v>
      </c>
      <c r="AK27" s="469">
        <f t="shared" si="36"/>
        <v>12762.815625000001</v>
      </c>
    </row>
    <row r="28" spans="1:37" s="5" customFormat="1" x14ac:dyDescent="0.25">
      <c r="A28" s="169" t="s">
        <v>46</v>
      </c>
      <c r="B28" s="452">
        <v>192000</v>
      </c>
      <c r="C28" s="428">
        <f>$B$28/12</f>
        <v>16000</v>
      </c>
      <c r="D28" s="439"/>
      <c r="E28" s="430">
        <f>$B$28/12</f>
        <v>16000</v>
      </c>
      <c r="F28" s="439"/>
      <c r="G28" s="428">
        <f>$B$28/12</f>
        <v>16000</v>
      </c>
      <c r="H28" s="439"/>
      <c r="I28" s="430">
        <f>$B$28/12</f>
        <v>16000</v>
      </c>
      <c r="J28" s="439"/>
      <c r="K28" s="428">
        <f>$B$28/12</f>
        <v>16000</v>
      </c>
      <c r="L28" s="439"/>
      <c r="M28" s="430">
        <f>$B$28/12</f>
        <v>16000</v>
      </c>
      <c r="N28" s="439"/>
      <c r="O28" s="428">
        <f>$B$28/12</f>
        <v>16000</v>
      </c>
      <c r="P28" s="439"/>
      <c r="Q28" s="430">
        <f>$B$28/12</f>
        <v>16000</v>
      </c>
      <c r="R28" s="439"/>
      <c r="S28" s="428">
        <f>$B$28/12</f>
        <v>16000</v>
      </c>
      <c r="T28" s="439"/>
      <c r="U28" s="430">
        <f>$B$28/12</f>
        <v>16000</v>
      </c>
      <c r="V28" s="439"/>
      <c r="W28" s="428">
        <f>$B$28/12</f>
        <v>16000</v>
      </c>
      <c r="X28" s="439"/>
      <c r="Y28" s="430">
        <f>$B$28/12</f>
        <v>16000</v>
      </c>
      <c r="Z28" s="439"/>
      <c r="AA28" s="500">
        <f t="shared" si="35"/>
        <v>192000</v>
      </c>
      <c r="AB28" s="458"/>
      <c r="AC28" s="468">
        <f t="shared" si="36"/>
        <v>192000</v>
      </c>
      <c r="AD28" s="458"/>
      <c r="AE28" s="468">
        <f t="shared" si="36"/>
        <v>192000</v>
      </c>
      <c r="AF28" s="458"/>
      <c r="AG28" s="468">
        <f t="shared" si="36"/>
        <v>192000</v>
      </c>
      <c r="AH28" s="458"/>
      <c r="AI28" s="468">
        <f t="shared" si="36"/>
        <v>192000</v>
      </c>
      <c r="AJ28" s="458"/>
      <c r="AK28" s="469">
        <f t="shared" si="36"/>
        <v>192000</v>
      </c>
    </row>
    <row r="29" spans="1:37" s="5" customFormat="1" x14ac:dyDescent="0.25">
      <c r="A29" s="169" t="s">
        <v>89</v>
      </c>
      <c r="B29" s="452">
        <v>119000</v>
      </c>
      <c r="C29" s="428">
        <f>$B$29/12</f>
        <v>9916.6666666666661</v>
      </c>
      <c r="D29" s="439"/>
      <c r="E29" s="428">
        <f>$B$29/12</f>
        <v>9916.6666666666661</v>
      </c>
      <c r="F29" s="439"/>
      <c r="G29" s="428">
        <f>$B$29/12</f>
        <v>9916.6666666666661</v>
      </c>
      <c r="H29" s="439"/>
      <c r="I29" s="428">
        <f>$B$29/12</f>
        <v>9916.6666666666661</v>
      </c>
      <c r="J29" s="439"/>
      <c r="K29" s="428">
        <f>$B$29/12</f>
        <v>9916.6666666666661</v>
      </c>
      <c r="L29" s="439"/>
      <c r="M29" s="428">
        <f>$B$29/12</f>
        <v>9916.6666666666661</v>
      </c>
      <c r="N29" s="439"/>
      <c r="O29" s="428">
        <f>$B$29/12</f>
        <v>9916.6666666666661</v>
      </c>
      <c r="P29" s="439"/>
      <c r="Q29" s="430">
        <f>$B$29/12</f>
        <v>9916.6666666666661</v>
      </c>
      <c r="R29" s="439"/>
      <c r="S29" s="428">
        <f>$B$29/12</f>
        <v>9916.6666666666661</v>
      </c>
      <c r="T29" s="439"/>
      <c r="U29" s="430">
        <f>$B$29/12</f>
        <v>9916.6666666666661</v>
      </c>
      <c r="V29" s="439"/>
      <c r="W29" s="428">
        <f>$B$29/12</f>
        <v>9916.6666666666661</v>
      </c>
      <c r="X29" s="439"/>
      <c r="Y29" s="430">
        <f>$B$29/12</f>
        <v>9916.6666666666661</v>
      </c>
      <c r="Z29" s="439"/>
      <c r="AA29" s="500">
        <f t="shared" si="35"/>
        <v>119000.00000000001</v>
      </c>
      <c r="AB29" s="458"/>
      <c r="AC29" s="468">
        <f t="shared" si="36"/>
        <v>119000.00000000001</v>
      </c>
      <c r="AD29" s="458"/>
      <c r="AE29" s="468">
        <f t="shared" si="36"/>
        <v>119000.00000000001</v>
      </c>
      <c r="AF29" s="458"/>
      <c r="AG29" s="468">
        <f t="shared" si="36"/>
        <v>119000.00000000001</v>
      </c>
      <c r="AH29" s="458"/>
      <c r="AI29" s="468">
        <f t="shared" si="36"/>
        <v>119000.00000000001</v>
      </c>
      <c r="AJ29" s="458"/>
      <c r="AK29" s="469">
        <f t="shared" si="36"/>
        <v>119000.00000000001</v>
      </c>
    </row>
    <row r="30" spans="1:37" s="5" customFormat="1" x14ac:dyDescent="0.25">
      <c r="A30" s="169" t="s">
        <v>47</v>
      </c>
      <c r="B30" s="452">
        <v>20000</v>
      </c>
      <c r="C30" s="428">
        <f>$B$30/12</f>
        <v>1666.6666666666667</v>
      </c>
      <c r="D30" s="439"/>
      <c r="E30" s="430">
        <f>$B$30/12</f>
        <v>1666.6666666666667</v>
      </c>
      <c r="F30" s="439"/>
      <c r="G30" s="428">
        <f>$B$30/12</f>
        <v>1666.6666666666667</v>
      </c>
      <c r="H30" s="439"/>
      <c r="I30" s="430">
        <f>$B$30/12</f>
        <v>1666.6666666666667</v>
      </c>
      <c r="J30" s="439"/>
      <c r="K30" s="428">
        <f>$B$30/12</f>
        <v>1666.6666666666667</v>
      </c>
      <c r="L30" s="439"/>
      <c r="M30" s="430">
        <f>$B$30/12</f>
        <v>1666.6666666666667</v>
      </c>
      <c r="N30" s="439"/>
      <c r="O30" s="428">
        <f>$B$30/12</f>
        <v>1666.6666666666667</v>
      </c>
      <c r="P30" s="439"/>
      <c r="Q30" s="430">
        <f>$B$30/12</f>
        <v>1666.6666666666667</v>
      </c>
      <c r="R30" s="439"/>
      <c r="S30" s="428">
        <f>$B$30/12</f>
        <v>1666.6666666666667</v>
      </c>
      <c r="T30" s="439"/>
      <c r="U30" s="430">
        <f>$B$30/12</f>
        <v>1666.6666666666667</v>
      </c>
      <c r="V30" s="439"/>
      <c r="W30" s="428">
        <f>$B$30/12</f>
        <v>1666.6666666666667</v>
      </c>
      <c r="X30" s="439"/>
      <c r="Y30" s="430">
        <f>$B$30/12</f>
        <v>1666.6666666666667</v>
      </c>
      <c r="Z30" s="439"/>
      <c r="AA30" s="501">
        <f t="shared" si="35"/>
        <v>20000</v>
      </c>
      <c r="AB30" s="467">
        <v>0.01</v>
      </c>
      <c r="AC30" s="468">
        <f t="shared" si="36"/>
        <v>20200</v>
      </c>
      <c r="AD30" s="458">
        <v>0.01</v>
      </c>
      <c r="AE30" s="468">
        <f t="shared" si="36"/>
        <v>20402</v>
      </c>
      <c r="AF30" s="458">
        <v>0.01</v>
      </c>
      <c r="AG30" s="468">
        <f t="shared" si="36"/>
        <v>20606.02</v>
      </c>
      <c r="AH30" s="458">
        <v>0.01</v>
      </c>
      <c r="AI30" s="468">
        <f t="shared" si="36"/>
        <v>20812.0802</v>
      </c>
      <c r="AJ30" s="458">
        <v>0.01</v>
      </c>
      <c r="AK30" s="469">
        <f t="shared" si="36"/>
        <v>21020.201002000002</v>
      </c>
    </row>
    <row r="31" spans="1:37" s="5" customFormat="1" x14ac:dyDescent="0.25">
      <c r="A31" s="172" t="s">
        <v>48</v>
      </c>
      <c r="B31" s="179">
        <f>SUM(B25:B30)</f>
        <v>873800</v>
      </c>
      <c r="C31" s="87">
        <f t="shared" ref="C31:AC31" si="37">SUM(C25:C30)</f>
        <v>72816.666666666672</v>
      </c>
      <c r="D31" s="91"/>
      <c r="E31" s="88">
        <f t="shared" si="37"/>
        <v>72816.666666666672</v>
      </c>
      <c r="F31" s="91"/>
      <c r="G31" s="87">
        <f t="shared" si="37"/>
        <v>72816.666666666672</v>
      </c>
      <c r="H31" s="91"/>
      <c r="I31" s="88">
        <f t="shared" si="37"/>
        <v>72816.666666666672</v>
      </c>
      <c r="J31" s="91"/>
      <c r="K31" s="87">
        <f t="shared" si="37"/>
        <v>72816.666666666672</v>
      </c>
      <c r="L31" s="91"/>
      <c r="M31" s="88">
        <f t="shared" si="37"/>
        <v>72816.666666666672</v>
      </c>
      <c r="N31" s="91"/>
      <c r="O31" s="87">
        <f>SUM(O24:O30)</f>
        <v>72816.666666666672</v>
      </c>
      <c r="P31" s="91"/>
      <c r="Q31" s="88">
        <f t="shared" si="37"/>
        <v>72816.666666666672</v>
      </c>
      <c r="R31" s="91"/>
      <c r="S31" s="87">
        <f t="shared" si="37"/>
        <v>72816.666666666672</v>
      </c>
      <c r="T31" s="91"/>
      <c r="U31" s="88">
        <f t="shared" si="37"/>
        <v>72816.666666666672</v>
      </c>
      <c r="V31" s="91"/>
      <c r="W31" s="87">
        <f t="shared" si="37"/>
        <v>72816.666666666672</v>
      </c>
      <c r="X31" s="91"/>
      <c r="Y31" s="88">
        <f t="shared" si="37"/>
        <v>72816.666666666672</v>
      </c>
      <c r="Z31" s="91"/>
      <c r="AA31" s="459">
        <f>SUM(AA25:AA30)</f>
        <v>873800</v>
      </c>
      <c r="AB31" s="433"/>
      <c r="AC31" s="13">
        <f t="shared" si="37"/>
        <v>977700</v>
      </c>
      <c r="AD31" s="91"/>
      <c r="AE31" s="13">
        <f>SUM(AE25:AE30)</f>
        <v>1004227</v>
      </c>
      <c r="AF31" s="91"/>
      <c r="AG31" s="13">
        <f>SUM(AG25:AG30)</f>
        <v>1032072.27</v>
      </c>
      <c r="AH31" s="91"/>
      <c r="AI31" s="13">
        <f>SUM(AI25:AI30)</f>
        <v>1061301.6427</v>
      </c>
      <c r="AJ31" s="91"/>
      <c r="AK31" s="14">
        <f>SUM(AK25:AK30)</f>
        <v>1091984.241627</v>
      </c>
    </row>
    <row r="32" spans="1:37" s="5" customFormat="1" x14ac:dyDescent="0.25">
      <c r="A32" s="189" t="s">
        <v>17</v>
      </c>
      <c r="B32" s="190"/>
      <c r="C32" s="186">
        <f>C21-C31</f>
        <v>-72816.666666666672</v>
      </c>
      <c r="D32" s="188"/>
      <c r="E32" s="187">
        <f>E21-E31</f>
        <v>-72816.666666666672</v>
      </c>
      <c r="F32" s="188"/>
      <c r="G32" s="186">
        <f>G21-G31</f>
        <v>-72816.666666666672</v>
      </c>
      <c r="H32" s="188"/>
      <c r="I32" s="186">
        <f>I21-I31</f>
        <v>-72816.666666666672</v>
      </c>
      <c r="J32" s="188"/>
      <c r="K32" s="186">
        <f>K21-K31</f>
        <v>-72816.666666666672</v>
      </c>
      <c r="L32" s="188"/>
      <c r="M32" s="186">
        <f>M21-M31</f>
        <v>-72816.666666666672</v>
      </c>
      <c r="N32" s="188"/>
      <c r="O32" s="186">
        <f>O21-O31</f>
        <v>-72816.666666666672</v>
      </c>
      <c r="P32" s="188"/>
      <c r="Q32" s="186">
        <f>Q21-Q31</f>
        <v>-72816.666666666672</v>
      </c>
      <c r="R32" s="188"/>
      <c r="S32" s="186">
        <f>S21-S31</f>
        <v>-72816.666666666672</v>
      </c>
      <c r="T32" s="188"/>
      <c r="U32" s="186">
        <f>U21-U31</f>
        <v>-72816.666666666672</v>
      </c>
      <c r="V32" s="188"/>
      <c r="W32" s="186">
        <f>W21-W31</f>
        <v>-72816.666666666672</v>
      </c>
      <c r="X32" s="188"/>
      <c r="Y32" s="186">
        <f>Y21-Y31</f>
        <v>1327183.3333333333</v>
      </c>
      <c r="Z32" s="188"/>
      <c r="AA32" s="28">
        <f>AA21-AA31</f>
        <v>526200</v>
      </c>
      <c r="AB32" s="188"/>
      <c r="AC32" s="29">
        <f>AC21-AC31</f>
        <v>1542300</v>
      </c>
      <c r="AD32" s="188"/>
      <c r="AE32" s="29">
        <f>AE21-AE31</f>
        <v>1767773.0000000005</v>
      </c>
      <c r="AF32" s="188"/>
      <c r="AG32" s="29">
        <f>AG21-AG31</f>
        <v>2017127.7300000009</v>
      </c>
      <c r="AH32" s="188"/>
      <c r="AI32" s="29">
        <f>AI21-AI31</f>
        <v>2292818.3573000021</v>
      </c>
      <c r="AJ32" s="188"/>
      <c r="AK32" s="30">
        <f>AK21-AK31</f>
        <v>2597547.7583730025</v>
      </c>
    </row>
    <row r="33" spans="1:38" s="5" customFormat="1" x14ac:dyDescent="0.25">
      <c r="A33" s="184" t="s">
        <v>18</v>
      </c>
      <c r="B33" s="191"/>
      <c r="C33" s="192" t="e">
        <f>C32/C12</f>
        <v>#DIV/0!</v>
      </c>
      <c r="D33" s="195"/>
      <c r="E33" s="193" t="e">
        <f>E32/E12</f>
        <v>#DIV/0!</v>
      </c>
      <c r="F33" s="195"/>
      <c r="G33" s="192" t="e">
        <f>G32/G12</f>
        <v>#DIV/0!</v>
      </c>
      <c r="H33" s="195"/>
      <c r="I33" s="193" t="e">
        <f>I32/I12</f>
        <v>#DIV/0!</v>
      </c>
      <c r="J33" s="195"/>
      <c r="K33" s="192" t="e">
        <f>K32/K12</f>
        <v>#DIV/0!</v>
      </c>
      <c r="L33" s="195"/>
      <c r="M33" s="193" t="e">
        <f>M32/M12</f>
        <v>#DIV/0!</v>
      </c>
      <c r="N33" s="195"/>
      <c r="O33" s="192" t="e">
        <f>O32/O12</f>
        <v>#DIV/0!</v>
      </c>
      <c r="P33" s="195"/>
      <c r="Q33" s="193" t="e">
        <f>Q32/Q12</f>
        <v>#DIV/0!</v>
      </c>
      <c r="R33" s="195"/>
      <c r="S33" s="192" t="e">
        <f>S32/S12</f>
        <v>#DIV/0!</v>
      </c>
      <c r="T33" s="195"/>
      <c r="U33" s="193" t="e">
        <f>U32/U12</f>
        <v>#DIV/0!</v>
      </c>
      <c r="V33" s="195"/>
      <c r="W33" s="192" t="e">
        <f>W32/W12</f>
        <v>#DIV/0!</v>
      </c>
      <c r="X33" s="195"/>
      <c r="Y33" s="193">
        <f>Y32/Y12</f>
        <v>0.66359166666666658</v>
      </c>
      <c r="Z33" s="195"/>
      <c r="AA33" s="196">
        <f>AA32/AA12</f>
        <v>0.2631</v>
      </c>
      <c r="AB33" s="195"/>
      <c r="AC33" s="194">
        <f>AC32/AC12</f>
        <v>0.42841666666666667</v>
      </c>
      <c r="AD33" s="195"/>
      <c r="AE33" s="194">
        <f>AE32/AE12</f>
        <v>0.44640732323232329</v>
      </c>
      <c r="AF33" s="195"/>
      <c r="AG33" s="194">
        <f>AG32/AG12</f>
        <v>0.46306880853994503</v>
      </c>
      <c r="AH33" s="195"/>
      <c r="AI33" s="194">
        <f>AI32/AI12</f>
        <v>0.47850787989398141</v>
      </c>
      <c r="AJ33" s="195"/>
      <c r="AK33" s="197">
        <f>AK32/AK12</f>
        <v>0.49282224164503813</v>
      </c>
    </row>
    <row r="34" spans="1:38" s="5" customFormat="1" x14ac:dyDescent="0.25">
      <c r="A34" s="170" t="s">
        <v>90</v>
      </c>
      <c r="B34" s="478"/>
      <c r="C34" s="87">
        <f>PPE!C14</f>
        <v>24583.333333333332</v>
      </c>
      <c r="D34" s="91"/>
      <c r="E34" s="88">
        <f>PPE!D14</f>
        <v>24583.333333333332</v>
      </c>
      <c r="F34" s="91"/>
      <c r="G34" s="87">
        <f>PPE!E14</f>
        <v>24583.333333333332</v>
      </c>
      <c r="H34" s="91"/>
      <c r="I34" s="88">
        <f>PPE!F14</f>
        <v>24583.333333333332</v>
      </c>
      <c r="J34" s="91"/>
      <c r="K34" s="87">
        <f>PPE!G14</f>
        <v>24583.333333333332</v>
      </c>
      <c r="L34" s="91"/>
      <c r="M34" s="88">
        <f>PPE!H14</f>
        <v>24583.333333333332</v>
      </c>
      <c r="N34" s="91"/>
      <c r="O34" s="87">
        <f>PPE!I14</f>
        <v>24583.333333333332</v>
      </c>
      <c r="P34" s="91"/>
      <c r="Q34" s="88">
        <f>PPE!J14</f>
        <v>24583.333333333332</v>
      </c>
      <c r="R34" s="91"/>
      <c r="S34" s="87">
        <f>PPE!K14</f>
        <v>24583.333333333332</v>
      </c>
      <c r="T34" s="91"/>
      <c r="U34" s="88">
        <f>PPE!L14</f>
        <v>24583.333333333332</v>
      </c>
      <c r="V34" s="91"/>
      <c r="W34" s="87">
        <f>PPE!M14</f>
        <v>24583.333333333332</v>
      </c>
      <c r="X34" s="91"/>
      <c r="Y34" s="88">
        <f>PPE!N14</f>
        <v>24583.333333333332</v>
      </c>
      <c r="Z34" s="91"/>
      <c r="AA34" s="12">
        <f>Deprecn!AK32</f>
        <v>295000</v>
      </c>
      <c r="AB34" s="92"/>
      <c r="AC34" s="13">
        <f>PPE!P14</f>
        <v>295000</v>
      </c>
      <c r="AD34" s="92"/>
      <c r="AE34" s="13">
        <f>PPE!Q14</f>
        <v>295000</v>
      </c>
      <c r="AF34" s="92"/>
      <c r="AG34" s="13">
        <f>PPE!R14</f>
        <v>295000</v>
      </c>
      <c r="AH34" s="92"/>
      <c r="AI34" s="13">
        <f>PPE!S14</f>
        <v>295000</v>
      </c>
      <c r="AJ34" s="92"/>
      <c r="AK34" s="14">
        <f>PPE!T14</f>
        <v>295000</v>
      </c>
    </row>
    <row r="35" spans="1:38" s="5" customFormat="1" x14ac:dyDescent="0.25">
      <c r="A35" s="184" t="s">
        <v>19</v>
      </c>
      <c r="B35" s="191"/>
      <c r="C35" s="186">
        <f t="shared" ref="C35:AC35" si="38">C32-C34</f>
        <v>-97400</v>
      </c>
      <c r="D35" s="188"/>
      <c r="E35" s="187">
        <f t="shared" si="38"/>
        <v>-97400</v>
      </c>
      <c r="F35" s="188"/>
      <c r="G35" s="186">
        <f t="shared" si="38"/>
        <v>-97400</v>
      </c>
      <c r="H35" s="188"/>
      <c r="I35" s="187">
        <f t="shared" si="38"/>
        <v>-97400</v>
      </c>
      <c r="J35" s="188"/>
      <c r="K35" s="186">
        <f t="shared" si="38"/>
        <v>-97400</v>
      </c>
      <c r="L35" s="188"/>
      <c r="M35" s="187">
        <f t="shared" si="38"/>
        <v>-97400</v>
      </c>
      <c r="N35" s="188"/>
      <c r="O35" s="186">
        <f t="shared" si="38"/>
        <v>-97400</v>
      </c>
      <c r="P35" s="188"/>
      <c r="Q35" s="187">
        <f t="shared" si="38"/>
        <v>-97400</v>
      </c>
      <c r="R35" s="188"/>
      <c r="S35" s="186">
        <f t="shared" si="38"/>
        <v>-97400</v>
      </c>
      <c r="T35" s="188"/>
      <c r="U35" s="187">
        <f t="shared" si="38"/>
        <v>-97400</v>
      </c>
      <c r="V35" s="188"/>
      <c r="W35" s="186">
        <f t="shared" si="38"/>
        <v>-97400</v>
      </c>
      <c r="X35" s="188"/>
      <c r="Y35" s="187">
        <f t="shared" si="38"/>
        <v>1302600</v>
      </c>
      <c r="Z35" s="188"/>
      <c r="AA35" s="28">
        <f>AA32-AA34</f>
        <v>231200</v>
      </c>
      <c r="AB35" s="198"/>
      <c r="AC35" s="29">
        <f t="shared" si="38"/>
        <v>1247300</v>
      </c>
      <c r="AD35" s="198"/>
      <c r="AE35" s="29">
        <f>AE32-AE34</f>
        <v>1472773.0000000005</v>
      </c>
      <c r="AF35" s="198"/>
      <c r="AG35" s="29">
        <f>AG32-AG34</f>
        <v>1722127.7300000009</v>
      </c>
      <c r="AH35" s="198"/>
      <c r="AI35" s="29">
        <f>AI32-AI34</f>
        <v>1997818.3573000021</v>
      </c>
      <c r="AJ35" s="198"/>
      <c r="AK35" s="30">
        <f>AK32-AK34</f>
        <v>2302547.7583730025</v>
      </c>
    </row>
    <row r="36" spans="1:38" s="5" customFormat="1" x14ac:dyDescent="0.25">
      <c r="A36" s="184" t="s">
        <v>20</v>
      </c>
      <c r="B36" s="191"/>
      <c r="C36" s="192" t="e">
        <f>C35/C12</f>
        <v>#DIV/0!</v>
      </c>
      <c r="D36" s="195"/>
      <c r="E36" s="193" t="e">
        <f>E35/E12</f>
        <v>#DIV/0!</v>
      </c>
      <c r="F36" s="195"/>
      <c r="G36" s="192" t="e">
        <f>G35/G12</f>
        <v>#DIV/0!</v>
      </c>
      <c r="H36" s="195"/>
      <c r="I36" s="193" t="e">
        <f>I35/I12</f>
        <v>#DIV/0!</v>
      </c>
      <c r="J36" s="195"/>
      <c r="K36" s="192" t="e">
        <f>K35/K12</f>
        <v>#DIV/0!</v>
      </c>
      <c r="L36" s="195"/>
      <c r="M36" s="193" t="e">
        <f>M35/M12</f>
        <v>#DIV/0!</v>
      </c>
      <c r="N36" s="195"/>
      <c r="O36" s="192" t="e">
        <f>O35/O12</f>
        <v>#DIV/0!</v>
      </c>
      <c r="P36" s="195"/>
      <c r="Q36" s="193" t="e">
        <f>Q35/Q12</f>
        <v>#DIV/0!</v>
      </c>
      <c r="R36" s="195"/>
      <c r="S36" s="192" t="e">
        <f>S35/S12</f>
        <v>#DIV/0!</v>
      </c>
      <c r="T36" s="195"/>
      <c r="U36" s="193" t="e">
        <f>U35/U12</f>
        <v>#DIV/0!</v>
      </c>
      <c r="V36" s="195"/>
      <c r="W36" s="192" t="e">
        <f>W35/W12</f>
        <v>#DIV/0!</v>
      </c>
      <c r="X36" s="195"/>
      <c r="Y36" s="193">
        <f>Y35/Y12</f>
        <v>0.65129999999999999</v>
      </c>
      <c r="Z36" s="195"/>
      <c r="AA36" s="196">
        <f>AA35/AA12</f>
        <v>0.11559999999999999</v>
      </c>
      <c r="AB36" s="195"/>
      <c r="AC36" s="194">
        <f>AC35/AC12</f>
        <v>0.34647222222222224</v>
      </c>
      <c r="AD36" s="195"/>
      <c r="AE36" s="194">
        <f>AE35/AE12</f>
        <v>0.37191237373737379</v>
      </c>
      <c r="AF36" s="195"/>
      <c r="AG36" s="194">
        <f>AG35/AG12</f>
        <v>0.39534612718090001</v>
      </c>
      <c r="AH36" s="195"/>
      <c r="AI36" s="194">
        <f>AI35/AI12</f>
        <v>0.41694180593121322</v>
      </c>
      <c r="AJ36" s="195"/>
      <c r="AK36" s="197">
        <f>AK35/AK12</f>
        <v>0.43685308349706709</v>
      </c>
    </row>
    <row r="37" spans="1:38" s="5" customFormat="1" x14ac:dyDescent="0.25">
      <c r="A37" s="170" t="s">
        <v>21</v>
      </c>
      <c r="B37" s="478"/>
      <c r="C37" s="87">
        <f>Loan!AW17</f>
        <v>0</v>
      </c>
      <c r="D37" s="91"/>
      <c r="E37" s="88">
        <f>Loan!AX17</f>
        <v>0</v>
      </c>
      <c r="F37" s="91"/>
      <c r="G37" s="87">
        <f>Loan!AY17</f>
        <v>0</v>
      </c>
      <c r="H37" s="91"/>
      <c r="I37" s="88">
        <f>Loan!AZ17</f>
        <v>0</v>
      </c>
      <c r="J37" s="91"/>
      <c r="K37" s="87">
        <f>Loan!BA17</f>
        <v>0</v>
      </c>
      <c r="L37" s="91"/>
      <c r="M37" s="88">
        <f>Loan!BB17</f>
        <v>0</v>
      </c>
      <c r="N37" s="91"/>
      <c r="O37" s="87">
        <f>Loan!BC17</f>
        <v>0</v>
      </c>
      <c r="P37" s="91"/>
      <c r="Q37" s="88">
        <f>Loan!BD17</f>
        <v>0</v>
      </c>
      <c r="R37" s="91"/>
      <c r="S37" s="87">
        <f>Loan!BE17</f>
        <v>0</v>
      </c>
      <c r="T37" s="91"/>
      <c r="U37" s="88">
        <f>Loan!BF17</f>
        <v>0</v>
      </c>
      <c r="V37" s="91"/>
      <c r="W37" s="87">
        <f>Loan!BG17</f>
        <v>0</v>
      </c>
      <c r="X37" s="91"/>
      <c r="Y37" s="88">
        <f>Loan!BH17</f>
        <v>0</v>
      </c>
      <c r="Z37" s="91"/>
      <c r="AA37" s="11">
        <f>Loan!BK17</f>
        <v>0</v>
      </c>
      <c r="AB37" s="91"/>
      <c r="AC37" s="13">
        <f>Loan!BN17</f>
        <v>0</v>
      </c>
      <c r="AD37" s="91"/>
      <c r="AE37" s="13">
        <f>Loan!BQ17</f>
        <v>0</v>
      </c>
      <c r="AF37" s="91"/>
      <c r="AG37" s="13">
        <f>Loan!BT17</f>
        <v>0</v>
      </c>
      <c r="AH37" s="91"/>
      <c r="AI37" s="13">
        <f>Loan!BW17</f>
        <v>0</v>
      </c>
      <c r="AJ37" s="91"/>
      <c r="AK37" s="14">
        <f>Loan!BZ17</f>
        <v>0</v>
      </c>
    </row>
    <row r="38" spans="1:38" s="5" customFormat="1" x14ac:dyDescent="0.25">
      <c r="A38" s="184" t="s">
        <v>22</v>
      </c>
      <c r="B38" s="191"/>
      <c r="C38" s="186">
        <f t="shared" ref="C38:AC38" si="39">C35-C37</f>
        <v>-97400</v>
      </c>
      <c r="D38" s="188"/>
      <c r="E38" s="187">
        <f t="shared" si="39"/>
        <v>-97400</v>
      </c>
      <c r="F38" s="188"/>
      <c r="G38" s="186">
        <f t="shared" si="39"/>
        <v>-97400</v>
      </c>
      <c r="H38" s="188"/>
      <c r="I38" s="187">
        <f t="shared" si="39"/>
        <v>-97400</v>
      </c>
      <c r="J38" s="188"/>
      <c r="K38" s="186">
        <f t="shared" si="39"/>
        <v>-97400</v>
      </c>
      <c r="L38" s="188"/>
      <c r="M38" s="187">
        <f t="shared" si="39"/>
        <v>-97400</v>
      </c>
      <c r="N38" s="188"/>
      <c r="O38" s="186">
        <f t="shared" si="39"/>
        <v>-97400</v>
      </c>
      <c r="P38" s="188"/>
      <c r="Q38" s="187">
        <f t="shared" si="39"/>
        <v>-97400</v>
      </c>
      <c r="R38" s="188"/>
      <c r="S38" s="186">
        <f t="shared" si="39"/>
        <v>-97400</v>
      </c>
      <c r="T38" s="188"/>
      <c r="U38" s="187">
        <f t="shared" si="39"/>
        <v>-97400</v>
      </c>
      <c r="V38" s="188"/>
      <c r="W38" s="186">
        <f t="shared" si="39"/>
        <v>-97400</v>
      </c>
      <c r="X38" s="188"/>
      <c r="Y38" s="187">
        <f t="shared" si="39"/>
        <v>1302600</v>
      </c>
      <c r="Z38" s="188"/>
      <c r="AA38" s="28">
        <f t="shared" si="39"/>
        <v>231200</v>
      </c>
      <c r="AB38" s="198"/>
      <c r="AC38" s="29">
        <f t="shared" si="39"/>
        <v>1247300</v>
      </c>
      <c r="AD38" s="198"/>
      <c r="AE38" s="29">
        <f>AE35-AE37</f>
        <v>1472773.0000000005</v>
      </c>
      <c r="AF38" s="198"/>
      <c r="AG38" s="29">
        <f>AG35-AG37</f>
        <v>1722127.7300000009</v>
      </c>
      <c r="AH38" s="198"/>
      <c r="AI38" s="29">
        <f>AI35-AI37</f>
        <v>1997818.3573000021</v>
      </c>
      <c r="AJ38" s="198"/>
      <c r="AK38" s="30">
        <f>AK35-AK37</f>
        <v>2302547.7583730025</v>
      </c>
    </row>
    <row r="39" spans="1:38" s="5" customFormat="1" x14ac:dyDescent="0.25">
      <c r="A39" s="170" t="s">
        <v>23</v>
      </c>
      <c r="B39" s="479">
        <v>2.5000000000000001E-2</v>
      </c>
      <c r="C39" s="87">
        <f>C38*$B$39</f>
        <v>-2435</v>
      </c>
      <c r="D39" s="91"/>
      <c r="E39" s="87">
        <f>E38*$B$39</f>
        <v>-2435</v>
      </c>
      <c r="F39" s="91"/>
      <c r="G39" s="87">
        <f>G38*$B$39</f>
        <v>-2435</v>
      </c>
      <c r="H39" s="91"/>
      <c r="I39" s="87">
        <f>I38*$B$39</f>
        <v>-2435</v>
      </c>
      <c r="J39" s="91"/>
      <c r="K39" s="87">
        <f>K38*$B$39</f>
        <v>-2435</v>
      </c>
      <c r="L39" s="91"/>
      <c r="M39" s="87">
        <f>M38*$B$39</f>
        <v>-2435</v>
      </c>
      <c r="N39" s="91"/>
      <c r="O39" s="87">
        <f>O38*$B$39</f>
        <v>-2435</v>
      </c>
      <c r="P39" s="91"/>
      <c r="Q39" s="87">
        <f>Q38*$B$39</f>
        <v>-2435</v>
      </c>
      <c r="R39" s="91"/>
      <c r="S39" s="87">
        <f>S38*$B$39</f>
        <v>-2435</v>
      </c>
      <c r="T39" s="91"/>
      <c r="U39" s="87">
        <f>U38*$B$39</f>
        <v>-2435</v>
      </c>
      <c r="V39" s="91"/>
      <c r="W39" s="87">
        <f>W38*$B$39</f>
        <v>-2435</v>
      </c>
      <c r="X39" s="91"/>
      <c r="Y39" s="87">
        <f>Y38*$B$39</f>
        <v>32565</v>
      </c>
      <c r="Z39" s="91"/>
      <c r="AA39" s="12">
        <f>IF(AA38&gt;0,AA38*$B$39,0)</f>
        <v>5780</v>
      </c>
      <c r="AB39" s="92"/>
      <c r="AC39" s="13">
        <f>IF(AC38&gt;0,AC38*$B$39,0)</f>
        <v>31182.5</v>
      </c>
      <c r="AD39" s="92"/>
      <c r="AE39" s="13">
        <f>IF(AE38&gt;0,AE38*$B$39,0)</f>
        <v>36819.325000000012</v>
      </c>
      <c r="AF39" s="92"/>
      <c r="AG39" s="13">
        <f>IF(AG38&gt;0,AG38*$B$39,0)</f>
        <v>43053.193250000026</v>
      </c>
      <c r="AH39" s="92"/>
      <c r="AI39" s="13">
        <f>IF(AI38&gt;0,AI38*$B$39,0)</f>
        <v>49945.458932500056</v>
      </c>
      <c r="AJ39" s="92"/>
      <c r="AK39" s="14">
        <f>IF(AK38&gt;0,AK38*$B$39,0)</f>
        <v>57563.693959325064</v>
      </c>
    </row>
    <row r="40" spans="1:38" s="5" customFormat="1" x14ac:dyDescent="0.25">
      <c r="A40" s="189" t="s">
        <v>24</v>
      </c>
      <c r="B40" s="190"/>
      <c r="C40" s="186">
        <f>C38-C39</f>
        <v>-94965</v>
      </c>
      <c r="D40" s="188"/>
      <c r="E40" s="186">
        <f>E38-E39</f>
        <v>-94965</v>
      </c>
      <c r="F40" s="188"/>
      <c r="G40" s="186">
        <f>G38-G39</f>
        <v>-94965</v>
      </c>
      <c r="H40" s="188"/>
      <c r="I40" s="186">
        <f>I38-I39</f>
        <v>-94965</v>
      </c>
      <c r="J40" s="188"/>
      <c r="K40" s="186">
        <f>K38-K39</f>
        <v>-94965</v>
      </c>
      <c r="L40" s="188"/>
      <c r="M40" s="186">
        <f>M38-M39</f>
        <v>-94965</v>
      </c>
      <c r="N40" s="188"/>
      <c r="O40" s="186">
        <f>O38-O39</f>
        <v>-94965</v>
      </c>
      <c r="P40" s="188"/>
      <c r="Q40" s="186">
        <f>Q38-Q39</f>
        <v>-94965</v>
      </c>
      <c r="R40" s="188"/>
      <c r="S40" s="186">
        <f>S38-S39</f>
        <v>-94965</v>
      </c>
      <c r="T40" s="188"/>
      <c r="U40" s="186">
        <f>U38-U39</f>
        <v>-94965</v>
      </c>
      <c r="V40" s="188"/>
      <c r="W40" s="186">
        <f>W38-W39</f>
        <v>-94965</v>
      </c>
      <c r="X40" s="188"/>
      <c r="Y40" s="186">
        <f>Y38-Y39</f>
        <v>1270035</v>
      </c>
      <c r="Z40" s="188"/>
      <c r="AA40" s="28">
        <f>AA38-AA39</f>
        <v>225420</v>
      </c>
      <c r="AB40" s="198"/>
      <c r="AC40" s="28">
        <f>AC38-AC39</f>
        <v>1216117.5</v>
      </c>
      <c r="AD40" s="198"/>
      <c r="AE40" s="28">
        <f>AE38-AE39</f>
        <v>1435953.6750000005</v>
      </c>
      <c r="AF40" s="198"/>
      <c r="AG40" s="28">
        <f>AG38-AG39</f>
        <v>1679074.5367500009</v>
      </c>
      <c r="AH40" s="198"/>
      <c r="AI40" s="28">
        <f>AI38-AI39</f>
        <v>1947872.898367502</v>
      </c>
      <c r="AJ40" s="198"/>
      <c r="AK40" s="30">
        <f>AK38-AK39</f>
        <v>2244984.0644136774</v>
      </c>
    </row>
    <row r="41" spans="1:38" s="5" customFormat="1" x14ac:dyDescent="0.25">
      <c r="A41" s="170" t="s">
        <v>197</v>
      </c>
      <c r="B41" s="480">
        <v>0.75</v>
      </c>
      <c r="C41" s="87"/>
      <c r="D41" s="91"/>
      <c r="E41" s="87"/>
      <c r="F41" s="91"/>
      <c r="G41" s="87"/>
      <c r="H41" s="91"/>
      <c r="I41" s="87"/>
      <c r="J41" s="91"/>
      <c r="K41" s="87"/>
      <c r="L41" s="91"/>
      <c r="M41" s="87"/>
      <c r="N41" s="91"/>
      <c r="O41" s="87"/>
      <c r="P41" s="91"/>
      <c r="Q41" s="87"/>
      <c r="R41" s="91"/>
      <c r="S41" s="87"/>
      <c r="T41" s="91"/>
      <c r="U41" s="87"/>
      <c r="V41" s="91"/>
      <c r="W41" s="87"/>
      <c r="X41" s="91"/>
      <c r="Y41" s="87"/>
      <c r="Z41" s="91"/>
      <c r="AA41" s="12">
        <f>IF(AA40&gt;0,(AA40*$B$41),0)</f>
        <v>169065</v>
      </c>
      <c r="AB41" s="92"/>
      <c r="AC41" s="12">
        <f>IF(AC40&gt;0,(AC40*$B$41),0)</f>
        <v>912088.125</v>
      </c>
      <c r="AD41" s="92"/>
      <c r="AE41" s="12">
        <f>IF(AE40&gt;0,(AE40*$B$41),0)</f>
        <v>1076965.2562500003</v>
      </c>
      <c r="AF41" s="92"/>
      <c r="AG41" s="12">
        <f>IF(AG40&gt;0,(AG40*$B$41),0)</f>
        <v>1259305.9025625007</v>
      </c>
      <c r="AH41" s="92"/>
      <c r="AI41" s="12">
        <f>IF(AI40&gt;0,(AI40*$B$41),0)</f>
        <v>1460904.6737756266</v>
      </c>
      <c r="AJ41" s="92"/>
      <c r="AK41" s="14">
        <f>IF(AK40&gt;0,(AK40*$B$41),0)</f>
        <v>1683738.048310258</v>
      </c>
    </row>
    <row r="42" spans="1:38" s="5" customFormat="1" x14ac:dyDescent="0.25">
      <c r="A42" s="189" t="s">
        <v>199</v>
      </c>
      <c r="B42" s="190"/>
      <c r="C42" s="186">
        <f>C40-C41</f>
        <v>-94965</v>
      </c>
      <c r="D42" s="188"/>
      <c r="E42" s="186">
        <f>E40-E41</f>
        <v>-94965</v>
      </c>
      <c r="F42" s="188"/>
      <c r="G42" s="186">
        <f>G40-G41</f>
        <v>-94965</v>
      </c>
      <c r="H42" s="188"/>
      <c r="I42" s="186">
        <f>I40-I41</f>
        <v>-94965</v>
      </c>
      <c r="J42" s="188"/>
      <c r="K42" s="186">
        <f>K40-K41</f>
        <v>-94965</v>
      </c>
      <c r="L42" s="188"/>
      <c r="M42" s="186">
        <f>M40-M41</f>
        <v>-94965</v>
      </c>
      <c r="N42" s="188"/>
      <c r="O42" s="186">
        <f>O40-O41</f>
        <v>-94965</v>
      </c>
      <c r="P42" s="188"/>
      <c r="Q42" s="186">
        <f>Q40-Q41</f>
        <v>-94965</v>
      </c>
      <c r="R42" s="188"/>
      <c r="S42" s="186">
        <f>S40-S41</f>
        <v>-94965</v>
      </c>
      <c r="T42" s="188"/>
      <c r="U42" s="186">
        <f>U40-U41</f>
        <v>-94965</v>
      </c>
      <c r="V42" s="188"/>
      <c r="W42" s="186">
        <f>W40-W41</f>
        <v>-94965</v>
      </c>
      <c r="X42" s="188"/>
      <c r="Y42" s="186">
        <f>Y40-Y41</f>
        <v>1270035</v>
      </c>
      <c r="Z42" s="188"/>
      <c r="AA42" s="28">
        <f>AA40-AA41</f>
        <v>56355</v>
      </c>
      <c r="AB42" s="198"/>
      <c r="AC42" s="28">
        <f>AC40-AC41+AA42</f>
        <v>360384.375</v>
      </c>
      <c r="AD42" s="198"/>
      <c r="AE42" s="28">
        <f>AE40-AE41+AC42</f>
        <v>719372.79375000019</v>
      </c>
      <c r="AF42" s="198"/>
      <c r="AG42" s="28">
        <f>AG40-AG41+AE42</f>
        <v>1139141.4279375004</v>
      </c>
      <c r="AH42" s="198"/>
      <c r="AI42" s="28">
        <f>AI40-AI41+AG42</f>
        <v>1626109.6525293759</v>
      </c>
      <c r="AJ42" s="198"/>
      <c r="AK42" s="30">
        <f>AK40-AK41+AI42</f>
        <v>2187355.6686327951</v>
      </c>
    </row>
    <row r="43" spans="1:38" s="5" customFormat="1" x14ac:dyDescent="0.25">
      <c r="A43" s="170"/>
      <c r="B43" s="329"/>
      <c r="C43" s="87"/>
      <c r="D43" s="91"/>
      <c r="E43" s="87"/>
      <c r="F43" s="91"/>
      <c r="G43" s="87"/>
      <c r="H43" s="91"/>
      <c r="I43" s="87"/>
      <c r="J43" s="91"/>
      <c r="K43" s="87"/>
      <c r="L43" s="91"/>
      <c r="M43" s="87"/>
      <c r="N43" s="91"/>
      <c r="O43" s="87"/>
      <c r="P43" s="91"/>
      <c r="Q43" s="87"/>
      <c r="R43" s="91"/>
      <c r="S43" s="87"/>
      <c r="T43" s="91"/>
      <c r="U43" s="87"/>
      <c r="V43" s="91"/>
      <c r="W43" s="87"/>
      <c r="X43" s="91"/>
      <c r="Y43" s="87"/>
      <c r="Z43" s="91"/>
      <c r="AA43" s="12"/>
      <c r="AB43" s="92"/>
      <c r="AC43" s="12"/>
      <c r="AD43" s="92"/>
      <c r="AE43" s="12"/>
      <c r="AF43" s="92"/>
      <c r="AG43" s="12"/>
      <c r="AH43" s="92"/>
      <c r="AI43" s="12"/>
      <c r="AJ43" s="92"/>
      <c r="AK43" s="14"/>
    </row>
    <row r="44" spans="1:38" x14ac:dyDescent="0.25">
      <c r="A44" s="184" t="s">
        <v>25</v>
      </c>
      <c r="B44" s="185"/>
      <c r="C44" s="192" t="e">
        <f>C42/C12</f>
        <v>#DIV/0!</v>
      </c>
      <c r="D44" s="195"/>
      <c r="E44" s="193" t="e">
        <f>E42/E12</f>
        <v>#DIV/0!</v>
      </c>
      <c r="F44" s="195"/>
      <c r="G44" s="192" t="e">
        <f>G42/G12</f>
        <v>#DIV/0!</v>
      </c>
      <c r="H44" s="195"/>
      <c r="I44" s="193" t="e">
        <f>I42/I12</f>
        <v>#DIV/0!</v>
      </c>
      <c r="J44" s="195"/>
      <c r="K44" s="192" t="e">
        <f>K42/K12</f>
        <v>#DIV/0!</v>
      </c>
      <c r="L44" s="195"/>
      <c r="M44" s="193" t="e">
        <f>M42/M12</f>
        <v>#DIV/0!</v>
      </c>
      <c r="N44" s="195"/>
      <c r="O44" s="192" t="e">
        <f>O42/O12</f>
        <v>#DIV/0!</v>
      </c>
      <c r="P44" s="195"/>
      <c r="Q44" s="193" t="e">
        <f>Q42/Q12</f>
        <v>#DIV/0!</v>
      </c>
      <c r="R44" s="195"/>
      <c r="S44" s="192" t="e">
        <f>S42/S12</f>
        <v>#DIV/0!</v>
      </c>
      <c r="T44" s="195"/>
      <c r="U44" s="193" t="e">
        <f>U42/U12</f>
        <v>#DIV/0!</v>
      </c>
      <c r="V44" s="195"/>
      <c r="W44" s="192" t="e">
        <f>W42/W12</f>
        <v>#DIV/0!</v>
      </c>
      <c r="X44" s="195"/>
      <c r="Y44" s="193">
        <f>Y42/Y12</f>
        <v>0.63501750000000001</v>
      </c>
      <c r="Z44" s="195"/>
      <c r="AA44" s="196">
        <f>AA40/AA12</f>
        <v>0.11271</v>
      </c>
      <c r="AB44" s="195"/>
      <c r="AC44" s="194">
        <f>AC40/AC12</f>
        <v>0.33781041666666667</v>
      </c>
      <c r="AD44" s="195"/>
      <c r="AE44" s="194">
        <f>AE40/AE12</f>
        <v>0.36261456439393946</v>
      </c>
      <c r="AF44" s="195"/>
      <c r="AG44" s="194">
        <f>AG40/AG12</f>
        <v>0.38546247400137751</v>
      </c>
      <c r="AH44" s="195"/>
      <c r="AI44" s="194">
        <f>AI40/AI12</f>
        <v>0.40651826078293291</v>
      </c>
      <c r="AJ44" s="195"/>
      <c r="AK44" s="197">
        <f>AK40/AK12</f>
        <v>0.42593175640964043</v>
      </c>
    </row>
    <row r="45" spans="1:38" s="5" customFormat="1" x14ac:dyDescent="0.25">
      <c r="A45" s="174"/>
      <c r="B45" s="180"/>
      <c r="C45" s="89"/>
      <c r="D45" s="92"/>
      <c r="E45" s="173"/>
      <c r="F45" s="92"/>
      <c r="G45" s="89"/>
      <c r="H45" s="92"/>
      <c r="I45" s="173"/>
      <c r="J45" s="92"/>
      <c r="K45" s="89"/>
      <c r="L45" s="92"/>
      <c r="M45" s="173"/>
      <c r="N45" s="92"/>
      <c r="O45" s="89"/>
      <c r="P45" s="92"/>
      <c r="Q45" s="173"/>
      <c r="R45" s="92"/>
      <c r="S45" s="89"/>
      <c r="T45" s="92"/>
      <c r="U45" s="173"/>
      <c r="V45" s="92"/>
      <c r="W45" s="89"/>
      <c r="X45" s="92"/>
      <c r="Y45" s="173"/>
      <c r="Z45" s="92"/>
      <c r="AA45" s="178"/>
      <c r="AB45" s="92"/>
      <c r="AC45" s="15"/>
      <c r="AD45" s="92"/>
      <c r="AE45" s="15"/>
      <c r="AF45" s="92"/>
      <c r="AG45" s="15"/>
      <c r="AH45" s="92"/>
      <c r="AI45" s="15"/>
      <c r="AJ45" s="92"/>
      <c r="AK45" s="15"/>
    </row>
    <row r="46" spans="1:38" s="5" customFormat="1" x14ac:dyDescent="0.25">
      <c r="A46" s="175" t="s">
        <v>26</v>
      </c>
      <c r="B46" s="181"/>
      <c r="C46" s="86"/>
      <c r="D46" s="93"/>
      <c r="E46" s="176"/>
      <c r="F46" s="93"/>
      <c r="G46" s="86"/>
      <c r="H46" s="93"/>
      <c r="I46" s="176"/>
      <c r="J46" s="93"/>
      <c r="K46" s="86"/>
      <c r="L46" s="93"/>
      <c r="M46" s="176"/>
      <c r="N46" s="93"/>
      <c r="O46" s="86"/>
      <c r="P46" s="93"/>
      <c r="Q46" s="176"/>
      <c r="R46" s="93"/>
      <c r="S46" s="86"/>
      <c r="T46" s="93"/>
      <c r="U46" s="176"/>
      <c r="V46" s="93"/>
      <c r="W46" s="86"/>
      <c r="X46" s="93"/>
      <c r="Y46" s="176"/>
      <c r="Z46" s="93"/>
      <c r="AA46" s="8"/>
      <c r="AB46" s="93"/>
      <c r="AC46" s="9"/>
      <c r="AD46" s="93"/>
      <c r="AE46" s="9"/>
      <c r="AF46" s="93"/>
      <c r="AG46" s="9"/>
      <c r="AH46" s="93"/>
      <c r="AI46" s="9"/>
      <c r="AJ46" s="93"/>
      <c r="AK46" s="10"/>
    </row>
    <row r="47" spans="1:38" s="5" customFormat="1" x14ac:dyDescent="0.25">
      <c r="A47" s="169" t="s">
        <v>91</v>
      </c>
      <c r="B47" s="181"/>
      <c r="C47" s="90"/>
      <c r="D47" s="94"/>
      <c r="E47" s="177" t="e">
        <f>E12/C12-1</f>
        <v>#DIV/0!</v>
      </c>
      <c r="F47" s="94"/>
      <c r="G47" s="177" t="e">
        <f>G12/E12-1</f>
        <v>#DIV/0!</v>
      </c>
      <c r="H47" s="94"/>
      <c r="I47" s="177" t="e">
        <f>I12/G12-1</f>
        <v>#DIV/0!</v>
      </c>
      <c r="J47" s="94"/>
      <c r="K47" s="177" t="e">
        <f>K12/I12-1</f>
        <v>#DIV/0!</v>
      </c>
      <c r="L47" s="94"/>
      <c r="M47" s="177" t="e">
        <f>M12/K12-1</f>
        <v>#DIV/0!</v>
      </c>
      <c r="N47" s="94"/>
      <c r="O47" s="177" t="e">
        <f>O12/M12-1</f>
        <v>#DIV/0!</v>
      </c>
      <c r="P47" s="94"/>
      <c r="Q47" s="177" t="e">
        <f>Q12/O12-1</f>
        <v>#DIV/0!</v>
      </c>
      <c r="R47" s="94"/>
      <c r="S47" s="177" t="e">
        <f>S12/Q12-1</f>
        <v>#DIV/0!</v>
      </c>
      <c r="T47" s="94"/>
      <c r="U47" s="177" t="e">
        <f>U12/S12-1</f>
        <v>#DIV/0!</v>
      </c>
      <c r="V47" s="94"/>
      <c r="W47" s="177" t="e">
        <f>W12/U12-1</f>
        <v>#DIV/0!</v>
      </c>
      <c r="X47" s="94"/>
      <c r="Y47" s="177" t="e">
        <f>Y12/W12-1</f>
        <v>#DIV/0!</v>
      </c>
      <c r="Z47" s="94"/>
      <c r="AA47" s="16"/>
      <c r="AB47" s="94"/>
      <c r="AC47" s="17">
        <f>AC12/AA12-1</f>
        <v>0.8</v>
      </c>
      <c r="AD47" s="94"/>
      <c r="AE47" s="17">
        <f>AE12/AC12-1</f>
        <v>0.10000000000000009</v>
      </c>
      <c r="AF47" s="94"/>
      <c r="AG47" s="17">
        <f>AG12/AE12-1</f>
        <v>0.10000000000000009</v>
      </c>
      <c r="AH47" s="94"/>
      <c r="AI47" s="17">
        <f>AI12/AG12-1</f>
        <v>0.10000000000000009</v>
      </c>
      <c r="AJ47" s="94"/>
      <c r="AK47" s="18">
        <f>AK12/AI12-1</f>
        <v>0.10000000000000009</v>
      </c>
      <c r="AL47" s="7"/>
    </row>
    <row r="48" spans="1:38" s="5" customFormat="1" x14ac:dyDescent="0.25">
      <c r="A48" s="169" t="s">
        <v>27</v>
      </c>
      <c r="B48" s="181"/>
      <c r="C48" s="90" t="e">
        <f>C20/C12</f>
        <v>#DIV/0!</v>
      </c>
      <c r="D48" s="94"/>
      <c r="E48" s="177" t="e">
        <f>E20/E12</f>
        <v>#DIV/0!</v>
      </c>
      <c r="F48" s="94"/>
      <c r="G48" s="90" t="e">
        <f>G20/G12</f>
        <v>#DIV/0!</v>
      </c>
      <c r="H48" s="94"/>
      <c r="I48" s="177" t="e">
        <f>I20/I12</f>
        <v>#DIV/0!</v>
      </c>
      <c r="J48" s="94"/>
      <c r="K48" s="90" t="e">
        <f>K20/K12</f>
        <v>#DIV/0!</v>
      </c>
      <c r="L48" s="94"/>
      <c r="M48" s="177" t="e">
        <f>M20/M12</f>
        <v>#DIV/0!</v>
      </c>
      <c r="N48" s="94"/>
      <c r="O48" s="90" t="e">
        <f>O20/O12</f>
        <v>#DIV/0!</v>
      </c>
      <c r="P48" s="94"/>
      <c r="Q48" s="177" t="e">
        <f>Q20/Q12</f>
        <v>#DIV/0!</v>
      </c>
      <c r="R48" s="94"/>
      <c r="S48" s="90" t="e">
        <f>S20/S12</f>
        <v>#DIV/0!</v>
      </c>
      <c r="T48" s="94"/>
      <c r="U48" s="177" t="e">
        <f>U20/U12</f>
        <v>#DIV/0!</v>
      </c>
      <c r="V48" s="94"/>
      <c r="W48" s="90" t="e">
        <f>W20/W12</f>
        <v>#DIV/0!</v>
      </c>
      <c r="X48" s="94"/>
      <c r="Y48" s="177">
        <f>Y20/Y12</f>
        <v>0.3</v>
      </c>
      <c r="Z48" s="94"/>
      <c r="AA48" s="177">
        <f>AA20/AA12</f>
        <v>0.3</v>
      </c>
      <c r="AB48" s="94"/>
      <c r="AC48" s="17">
        <f>AC20/AC12</f>
        <v>0.3</v>
      </c>
      <c r="AD48" s="94"/>
      <c r="AE48" s="17">
        <f>AE20/AE12</f>
        <v>0.3</v>
      </c>
      <c r="AF48" s="94"/>
      <c r="AG48" s="17">
        <f>AG20/AG12</f>
        <v>0.29999999999999993</v>
      </c>
      <c r="AH48" s="94"/>
      <c r="AI48" s="17">
        <f>AI20/AI12</f>
        <v>0.29999999999999988</v>
      </c>
      <c r="AJ48" s="94"/>
      <c r="AK48" s="18">
        <f>AK20/AK12</f>
        <v>0.29999999999999988</v>
      </c>
    </row>
    <row r="49" spans="1:39" s="5" customFormat="1" x14ac:dyDescent="0.25">
      <c r="A49" s="169" t="s">
        <v>49</v>
      </c>
      <c r="B49" s="181"/>
      <c r="C49" s="90" t="e">
        <f>C25/C12</f>
        <v>#DIV/0!</v>
      </c>
      <c r="D49" s="94"/>
      <c r="E49" s="177" t="e">
        <f>E25/E12</f>
        <v>#DIV/0!</v>
      </c>
      <c r="F49" s="94"/>
      <c r="G49" s="90" t="e">
        <f>G25/G12</f>
        <v>#DIV/0!</v>
      </c>
      <c r="H49" s="94"/>
      <c r="I49" s="177" t="e">
        <f>I25/I12</f>
        <v>#DIV/0!</v>
      </c>
      <c r="J49" s="94"/>
      <c r="K49" s="90" t="e">
        <f>K25/K12</f>
        <v>#DIV/0!</v>
      </c>
      <c r="L49" s="94"/>
      <c r="M49" s="177" t="e">
        <f>M25/M12</f>
        <v>#DIV/0!</v>
      </c>
      <c r="N49" s="94"/>
      <c r="O49" s="90" t="e">
        <f>O25/O12</f>
        <v>#DIV/0!</v>
      </c>
      <c r="P49" s="94"/>
      <c r="Q49" s="177" t="e">
        <f>Q25/Q12</f>
        <v>#DIV/0!</v>
      </c>
      <c r="R49" s="94"/>
      <c r="S49" s="90" t="e">
        <f>S25/S12</f>
        <v>#DIV/0!</v>
      </c>
      <c r="T49" s="94"/>
      <c r="U49" s="177" t="e">
        <f>U25/U12</f>
        <v>#DIV/0!</v>
      </c>
      <c r="V49" s="94"/>
      <c r="W49" s="90" t="e">
        <f>W25/W12</f>
        <v>#DIV/0!</v>
      </c>
      <c r="X49" s="94"/>
      <c r="Y49" s="177">
        <f>Y25/Y12</f>
        <v>1.72E-2</v>
      </c>
      <c r="Z49" s="94"/>
      <c r="AA49" s="177">
        <f>AA25/AA12</f>
        <v>0.2064</v>
      </c>
      <c r="AB49" s="94"/>
      <c r="AC49" s="17" t="e">
        <f t="shared" ref="AC49:AC54" si="40">C49</f>
        <v>#DIV/0!</v>
      </c>
      <c r="AD49" s="94"/>
      <c r="AE49" s="17" t="e">
        <f t="shared" ref="AE49:AE54" si="41">E49</f>
        <v>#DIV/0!</v>
      </c>
      <c r="AF49" s="94"/>
      <c r="AG49" s="17" t="e">
        <f t="shared" ref="AG49:AG54" si="42">G49</f>
        <v>#DIV/0!</v>
      </c>
      <c r="AH49" s="94"/>
      <c r="AI49" s="17" t="e">
        <f t="shared" ref="AI49:AI54" si="43">I49</f>
        <v>#DIV/0!</v>
      </c>
      <c r="AJ49" s="94"/>
      <c r="AK49" s="18" t="e">
        <f t="shared" ref="AK49:AK54" si="44">K49</f>
        <v>#DIV/0!</v>
      </c>
    </row>
    <row r="50" spans="1:39" s="5" customFormat="1" x14ac:dyDescent="0.25">
      <c r="A50" s="169" t="s">
        <v>50</v>
      </c>
      <c r="B50" s="181"/>
      <c r="C50" s="90" t="e">
        <f>C26/C12</f>
        <v>#DIV/0!</v>
      </c>
      <c r="D50" s="94"/>
      <c r="E50" s="177" t="e">
        <f>E26/E12</f>
        <v>#DIV/0!</v>
      </c>
      <c r="F50" s="94"/>
      <c r="G50" s="90" t="e">
        <f>G26/G12</f>
        <v>#DIV/0!</v>
      </c>
      <c r="H50" s="94"/>
      <c r="I50" s="177" t="e">
        <f>I26/I12</f>
        <v>#DIV/0!</v>
      </c>
      <c r="J50" s="94"/>
      <c r="K50" s="90" t="e">
        <f>K26/K12</f>
        <v>#DIV/0!</v>
      </c>
      <c r="L50" s="94"/>
      <c r="M50" s="177" t="e">
        <f>M26/M12</f>
        <v>#DIV/0!</v>
      </c>
      <c r="N50" s="94"/>
      <c r="O50" s="90" t="e">
        <f>O26/O12</f>
        <v>#DIV/0!</v>
      </c>
      <c r="P50" s="94"/>
      <c r="Q50" s="177" t="e">
        <f>Q26/Q12</f>
        <v>#DIV/0!</v>
      </c>
      <c r="R50" s="94"/>
      <c r="S50" s="90" t="e">
        <f>S26/S12</f>
        <v>#DIV/0!</v>
      </c>
      <c r="T50" s="94"/>
      <c r="U50" s="177" t="e">
        <f>U26/U12</f>
        <v>#DIV/0!</v>
      </c>
      <c r="V50" s="94"/>
      <c r="W50" s="90" t="e">
        <f>W26/W12</f>
        <v>#DIV/0!</v>
      </c>
      <c r="X50" s="94"/>
      <c r="Y50" s="177">
        <f>Y26/Y12</f>
        <v>5.0000000000000001E-3</v>
      </c>
      <c r="Z50" s="94"/>
      <c r="AA50" s="177">
        <f>AA26/AA12</f>
        <v>0.06</v>
      </c>
      <c r="AB50" s="94"/>
      <c r="AC50" s="17" t="e">
        <f t="shared" si="40"/>
        <v>#DIV/0!</v>
      </c>
      <c r="AD50" s="94"/>
      <c r="AE50" s="17" t="e">
        <f t="shared" si="41"/>
        <v>#DIV/0!</v>
      </c>
      <c r="AF50" s="94"/>
      <c r="AG50" s="17" t="e">
        <f t="shared" si="42"/>
        <v>#DIV/0!</v>
      </c>
      <c r="AH50" s="94"/>
      <c r="AI50" s="17" t="e">
        <f t="shared" si="43"/>
        <v>#DIV/0!</v>
      </c>
      <c r="AJ50" s="94"/>
      <c r="AK50" s="18" t="e">
        <f t="shared" si="44"/>
        <v>#DIV/0!</v>
      </c>
    </row>
    <row r="51" spans="1:39" s="5" customFormat="1" x14ac:dyDescent="0.25">
      <c r="A51" s="169" t="s">
        <v>51</v>
      </c>
      <c r="B51" s="181"/>
      <c r="C51" s="90" t="e">
        <f>C27/C12</f>
        <v>#DIV/0!</v>
      </c>
      <c r="D51" s="94"/>
      <c r="E51" s="177" t="e">
        <f>E27/E12</f>
        <v>#DIV/0!</v>
      </c>
      <c r="F51" s="94"/>
      <c r="G51" s="90" t="e">
        <f>G27/G12</f>
        <v>#DIV/0!</v>
      </c>
      <c r="H51" s="94"/>
      <c r="I51" s="177" t="e">
        <f>I27/I12</f>
        <v>#DIV/0!</v>
      </c>
      <c r="J51" s="94"/>
      <c r="K51" s="90" t="e">
        <f>K27/K12</f>
        <v>#DIV/0!</v>
      </c>
      <c r="L51" s="94"/>
      <c r="M51" s="177" t="e">
        <f>M27/M12</f>
        <v>#DIV/0!</v>
      </c>
      <c r="N51" s="94"/>
      <c r="O51" s="90" t="e">
        <f>O27/O12</f>
        <v>#DIV/0!</v>
      </c>
      <c r="P51" s="94"/>
      <c r="Q51" s="177" t="e">
        <f>Q27/Q12</f>
        <v>#DIV/0!</v>
      </c>
      <c r="R51" s="94"/>
      <c r="S51" s="90" t="e">
        <f>S27/S12</f>
        <v>#DIV/0!</v>
      </c>
      <c r="T51" s="94"/>
      <c r="U51" s="177" t="e">
        <f>U27/U12</f>
        <v>#DIV/0!</v>
      </c>
      <c r="V51" s="94"/>
      <c r="W51" s="90" t="e">
        <f>W27/W12</f>
        <v>#DIV/0!</v>
      </c>
      <c r="X51" s="94"/>
      <c r="Y51" s="177">
        <f>Y27/Y12</f>
        <v>4.1666666666666669E-4</v>
      </c>
      <c r="Z51" s="94"/>
      <c r="AA51" s="177">
        <f>AA27/AA12</f>
        <v>5.0000000000000001E-3</v>
      </c>
      <c r="AB51" s="94"/>
      <c r="AC51" s="17" t="e">
        <f t="shared" si="40"/>
        <v>#DIV/0!</v>
      </c>
      <c r="AD51" s="94"/>
      <c r="AE51" s="17" t="e">
        <f t="shared" si="41"/>
        <v>#DIV/0!</v>
      </c>
      <c r="AF51" s="94"/>
      <c r="AG51" s="17" t="e">
        <f t="shared" si="42"/>
        <v>#DIV/0!</v>
      </c>
      <c r="AH51" s="94"/>
      <c r="AI51" s="17" t="e">
        <f t="shared" si="43"/>
        <v>#DIV/0!</v>
      </c>
      <c r="AJ51" s="94"/>
      <c r="AK51" s="18" t="e">
        <f t="shared" si="44"/>
        <v>#DIV/0!</v>
      </c>
    </row>
    <row r="52" spans="1:39" s="5" customFormat="1" x14ac:dyDescent="0.25">
      <c r="A52" s="169" t="s">
        <v>52</v>
      </c>
      <c r="B52" s="181"/>
      <c r="C52" s="90" t="e">
        <f>C28/C12</f>
        <v>#DIV/0!</v>
      </c>
      <c r="D52" s="94"/>
      <c r="E52" s="177" t="e">
        <f>E28/E12</f>
        <v>#DIV/0!</v>
      </c>
      <c r="F52" s="94"/>
      <c r="G52" s="90" t="e">
        <f>G28/G12</f>
        <v>#DIV/0!</v>
      </c>
      <c r="H52" s="94"/>
      <c r="I52" s="177" t="e">
        <f>I28/I12</f>
        <v>#DIV/0!</v>
      </c>
      <c r="J52" s="94"/>
      <c r="K52" s="90" t="e">
        <f>K28/K12</f>
        <v>#DIV/0!</v>
      </c>
      <c r="L52" s="94"/>
      <c r="M52" s="177" t="e">
        <f>M28/M12</f>
        <v>#DIV/0!</v>
      </c>
      <c r="N52" s="94"/>
      <c r="O52" s="90" t="e">
        <f>O28/O12</f>
        <v>#DIV/0!</v>
      </c>
      <c r="P52" s="94"/>
      <c r="Q52" s="177" t="e">
        <f>Q28/Q12</f>
        <v>#DIV/0!</v>
      </c>
      <c r="R52" s="94"/>
      <c r="S52" s="90" t="e">
        <f>S28/S12</f>
        <v>#DIV/0!</v>
      </c>
      <c r="T52" s="94"/>
      <c r="U52" s="177" t="e">
        <f>U28/U12</f>
        <v>#DIV/0!</v>
      </c>
      <c r="V52" s="94"/>
      <c r="W52" s="90" t="e">
        <f>W28/W12</f>
        <v>#DIV/0!</v>
      </c>
      <c r="X52" s="94"/>
      <c r="Y52" s="177">
        <f>Y28/Y12</f>
        <v>8.0000000000000002E-3</v>
      </c>
      <c r="Z52" s="94"/>
      <c r="AA52" s="177">
        <f>AA28/AA12</f>
        <v>9.6000000000000002E-2</v>
      </c>
      <c r="AB52" s="94"/>
      <c r="AC52" s="17" t="e">
        <f t="shared" si="40"/>
        <v>#DIV/0!</v>
      </c>
      <c r="AD52" s="94"/>
      <c r="AE52" s="17" t="e">
        <f t="shared" si="41"/>
        <v>#DIV/0!</v>
      </c>
      <c r="AF52" s="94"/>
      <c r="AG52" s="17" t="e">
        <f t="shared" si="42"/>
        <v>#DIV/0!</v>
      </c>
      <c r="AH52" s="94"/>
      <c r="AI52" s="17" t="e">
        <f t="shared" si="43"/>
        <v>#DIV/0!</v>
      </c>
      <c r="AJ52" s="94"/>
      <c r="AK52" s="18" t="e">
        <f t="shared" si="44"/>
        <v>#DIV/0!</v>
      </c>
    </row>
    <row r="53" spans="1:39" s="5" customFormat="1" x14ac:dyDescent="0.25">
      <c r="A53" s="169" t="s">
        <v>53</v>
      </c>
      <c r="B53" s="181"/>
      <c r="C53" s="90" t="e">
        <f>C29/C12</f>
        <v>#DIV/0!</v>
      </c>
      <c r="D53" s="94"/>
      <c r="E53" s="177" t="e">
        <f>E29/E12</f>
        <v>#DIV/0!</v>
      </c>
      <c r="F53" s="94"/>
      <c r="G53" s="90" t="e">
        <f>G29/G12</f>
        <v>#DIV/0!</v>
      </c>
      <c r="H53" s="94"/>
      <c r="I53" s="177" t="e">
        <f>I29/I12</f>
        <v>#DIV/0!</v>
      </c>
      <c r="J53" s="94"/>
      <c r="K53" s="90" t="e">
        <f>K29/K12</f>
        <v>#DIV/0!</v>
      </c>
      <c r="L53" s="94"/>
      <c r="M53" s="177" t="e">
        <f>M29/M12</f>
        <v>#DIV/0!</v>
      </c>
      <c r="N53" s="94"/>
      <c r="O53" s="90" t="e">
        <f>O29/O12</f>
        <v>#DIV/0!</v>
      </c>
      <c r="P53" s="94"/>
      <c r="Q53" s="177" t="e">
        <f>Q29/Q12</f>
        <v>#DIV/0!</v>
      </c>
      <c r="R53" s="94"/>
      <c r="S53" s="90" t="e">
        <f>S29/S12</f>
        <v>#DIV/0!</v>
      </c>
      <c r="T53" s="94"/>
      <c r="U53" s="177" t="e">
        <f>U29/U12</f>
        <v>#DIV/0!</v>
      </c>
      <c r="V53" s="94"/>
      <c r="W53" s="90" t="e">
        <f>W29/W12</f>
        <v>#DIV/0!</v>
      </c>
      <c r="X53" s="94"/>
      <c r="Y53" s="177">
        <f>Y29/Y12</f>
        <v>4.9583333333333328E-3</v>
      </c>
      <c r="Z53" s="94"/>
      <c r="AA53" s="177">
        <f>AA29/AA12</f>
        <v>5.9500000000000004E-2</v>
      </c>
      <c r="AB53" s="94"/>
      <c r="AC53" s="17" t="e">
        <f t="shared" si="40"/>
        <v>#DIV/0!</v>
      </c>
      <c r="AD53" s="94"/>
      <c r="AE53" s="17" t="e">
        <f t="shared" si="41"/>
        <v>#DIV/0!</v>
      </c>
      <c r="AF53" s="94"/>
      <c r="AG53" s="17" t="e">
        <f t="shared" si="42"/>
        <v>#DIV/0!</v>
      </c>
      <c r="AH53" s="94"/>
      <c r="AI53" s="17" t="e">
        <f t="shared" si="43"/>
        <v>#DIV/0!</v>
      </c>
      <c r="AJ53" s="94"/>
      <c r="AK53" s="18" t="e">
        <f t="shared" si="44"/>
        <v>#DIV/0!</v>
      </c>
    </row>
    <row r="54" spans="1:39" s="5" customFormat="1" x14ac:dyDescent="0.25">
      <c r="A54" s="169" t="s">
        <v>54</v>
      </c>
      <c r="B54" s="183"/>
      <c r="C54" s="90" t="e">
        <f>C30/C12</f>
        <v>#DIV/0!</v>
      </c>
      <c r="D54" s="95"/>
      <c r="E54" s="177" t="e">
        <f>E30/E12</f>
        <v>#DIV/0!</v>
      </c>
      <c r="F54" s="95"/>
      <c r="G54" s="90" t="e">
        <f>G30/G12</f>
        <v>#DIV/0!</v>
      </c>
      <c r="H54" s="95"/>
      <c r="I54" s="177" t="e">
        <f>I30/I12</f>
        <v>#DIV/0!</v>
      </c>
      <c r="J54" s="95"/>
      <c r="K54" s="90" t="e">
        <f>K30/K12</f>
        <v>#DIV/0!</v>
      </c>
      <c r="L54" s="95"/>
      <c r="M54" s="177" t="e">
        <f>M30/M12</f>
        <v>#DIV/0!</v>
      </c>
      <c r="N54" s="95"/>
      <c r="O54" s="90" t="e">
        <f>O30/O12</f>
        <v>#DIV/0!</v>
      </c>
      <c r="P54" s="95"/>
      <c r="Q54" s="177" t="e">
        <f>Q30/Q12</f>
        <v>#DIV/0!</v>
      </c>
      <c r="R54" s="95"/>
      <c r="S54" s="90" t="e">
        <f>S30/S12</f>
        <v>#DIV/0!</v>
      </c>
      <c r="T54" s="95"/>
      <c r="U54" s="177" t="e">
        <f>U30/U12</f>
        <v>#DIV/0!</v>
      </c>
      <c r="V54" s="95"/>
      <c r="W54" s="90" t="e">
        <f>W30/W12</f>
        <v>#DIV/0!</v>
      </c>
      <c r="X54" s="95"/>
      <c r="Y54" s="177">
        <f>Y30/Y12</f>
        <v>8.3333333333333339E-4</v>
      </c>
      <c r="Z54" s="95"/>
      <c r="AA54" s="177">
        <f>AA30/AA12</f>
        <v>0.01</v>
      </c>
      <c r="AB54" s="94"/>
      <c r="AC54" s="17" t="e">
        <f t="shared" si="40"/>
        <v>#DIV/0!</v>
      </c>
      <c r="AD54" s="94"/>
      <c r="AE54" s="17" t="e">
        <f t="shared" si="41"/>
        <v>#DIV/0!</v>
      </c>
      <c r="AF54" s="94"/>
      <c r="AG54" s="17" t="e">
        <f t="shared" si="42"/>
        <v>#DIV/0!</v>
      </c>
      <c r="AH54" s="94"/>
      <c r="AI54" s="17" t="e">
        <f t="shared" si="43"/>
        <v>#DIV/0!</v>
      </c>
      <c r="AJ54" s="94"/>
      <c r="AK54" s="18" t="e">
        <f t="shared" si="44"/>
        <v>#DIV/0!</v>
      </c>
    </row>
    <row r="55" spans="1:39" s="5" customFormat="1" x14ac:dyDescent="0.25">
      <c r="A55" s="106"/>
      <c r="B55" s="107"/>
      <c r="C55" s="108"/>
      <c r="D55" s="110"/>
      <c r="E55" s="109"/>
      <c r="F55" s="109"/>
      <c r="G55" s="108"/>
      <c r="H55" s="110"/>
      <c r="I55" s="109"/>
      <c r="J55" s="109"/>
      <c r="K55" s="108"/>
      <c r="L55" s="110"/>
      <c r="M55" s="109"/>
      <c r="N55" s="109"/>
      <c r="O55" s="108"/>
      <c r="P55" s="110"/>
      <c r="Q55" s="109"/>
      <c r="R55" s="109"/>
      <c r="S55" s="108"/>
      <c r="T55" s="110"/>
      <c r="U55" s="109"/>
      <c r="V55" s="109"/>
      <c r="W55" s="108"/>
      <c r="X55" s="110"/>
      <c r="Y55" s="109"/>
      <c r="Z55" s="109"/>
      <c r="AA55" s="111"/>
      <c r="AB55" s="108"/>
      <c r="AC55" s="110"/>
      <c r="AD55" s="109"/>
      <c r="AE55" s="109"/>
      <c r="AF55" s="108"/>
      <c r="AG55" s="110"/>
      <c r="AH55" s="109"/>
      <c r="AI55" s="109"/>
      <c r="AJ55" s="108"/>
      <c r="AK55" s="110"/>
    </row>
    <row r="61" spans="1:39" x14ac:dyDescent="0.25">
      <c r="AL61" s="6"/>
      <c r="AM61" s="6"/>
    </row>
    <row r="62" spans="1:39" x14ac:dyDescent="0.25">
      <c r="AL62" s="6"/>
      <c r="AM62" s="6"/>
    </row>
    <row r="63" spans="1:39" x14ac:dyDescent="0.25">
      <c r="AL63" s="6"/>
      <c r="AM63" s="6"/>
    </row>
    <row r="65" spans="38:39" x14ac:dyDescent="0.25">
      <c r="AL65" s="6"/>
      <c r="AM65" s="6"/>
    </row>
    <row r="68" spans="38:39" x14ac:dyDescent="0.25">
      <c r="AL68" s="6"/>
      <c r="AM68" s="6"/>
    </row>
    <row r="70" spans="38:39" x14ac:dyDescent="0.25">
      <c r="AL70" s="6"/>
      <c r="AM70" s="6"/>
    </row>
    <row r="73" spans="38:39" x14ac:dyDescent="0.25">
      <c r="AL73" s="6"/>
      <c r="AM73" s="6"/>
    </row>
    <row r="74" spans="38:39" x14ac:dyDescent="0.25">
      <c r="AL74" s="6"/>
      <c r="AM74" s="6"/>
    </row>
    <row r="75" spans="38:39" x14ac:dyDescent="0.25">
      <c r="AL75" s="6"/>
      <c r="AM75" s="6"/>
    </row>
    <row r="76" spans="38:39" x14ac:dyDescent="0.25">
      <c r="AL76" s="6"/>
      <c r="AM76" s="6"/>
    </row>
    <row r="77" spans="38:39" x14ac:dyDescent="0.25">
      <c r="AL77" s="6"/>
      <c r="AM77" s="6"/>
    </row>
    <row r="79" spans="38:39" x14ac:dyDescent="0.25">
      <c r="AL79" s="6"/>
      <c r="AM79" s="6"/>
    </row>
    <row r="81" spans="38:39" x14ac:dyDescent="0.25">
      <c r="AL81" s="6"/>
      <c r="AM81" s="6"/>
    </row>
    <row r="82" spans="38:39" x14ac:dyDescent="0.25">
      <c r="AL82" s="6"/>
      <c r="AM82" s="6"/>
    </row>
    <row r="83" spans="38:39" x14ac:dyDescent="0.25">
      <c r="AL83" s="6"/>
      <c r="AM83" s="6"/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35"/>
  <sheetViews>
    <sheetView zoomScale="136" zoomScaleNormal="136" workbookViewId="0">
      <pane xSplit="7" ySplit="6" topLeftCell="H7" activePane="bottomRight" state="frozen"/>
      <selection activeCell="F25" sqref="F25"/>
      <selection pane="topRight" activeCell="F25" sqref="F25"/>
      <selection pane="bottomLeft" activeCell="F25" sqref="F25"/>
      <selection pane="bottomRight" activeCell="AJ8" sqref="AJ8"/>
    </sheetView>
  </sheetViews>
  <sheetFormatPr defaultColWidth="9.1796875" defaultRowHeight="10.5" x14ac:dyDescent="0.25"/>
  <cols>
    <col min="1" max="1" width="2.81640625" style="44" customWidth="1"/>
    <col min="2" max="2" width="5.1796875" style="44" bestFit="1" customWidth="1"/>
    <col min="3" max="3" width="24.7265625" style="44" customWidth="1"/>
    <col min="4" max="4" width="9.54296875" style="44" customWidth="1"/>
    <col min="5" max="6" width="8.1796875" style="44" bestFit="1" customWidth="1"/>
    <col min="7" max="7" width="5.81640625" style="44" customWidth="1"/>
    <col min="8" max="8" width="8.81640625" style="44" hidden="1" customWidth="1"/>
    <col min="9" max="9" width="9.453125" style="44" hidden="1" customWidth="1"/>
    <col min="10" max="10" width="9.54296875" style="44" hidden="1" customWidth="1"/>
    <col min="11" max="11" width="5.54296875" style="44" hidden="1" customWidth="1"/>
    <col min="12" max="12" width="9.54296875" style="44" hidden="1" customWidth="1"/>
    <col min="13" max="23" width="8.453125" style="44" hidden="1" customWidth="1"/>
    <col min="24" max="24" width="7.81640625" style="44" hidden="1" customWidth="1"/>
    <col min="25" max="35" width="7" style="44" hidden="1" customWidth="1"/>
    <col min="36" max="47" width="7.1796875" style="44" customWidth="1"/>
    <col min="48" max="48" width="3.453125" style="44" customWidth="1"/>
    <col min="49" max="58" width="9.1796875" style="44" hidden="1" customWidth="1"/>
    <col min="59" max="16384" width="9.1796875" style="44"/>
  </cols>
  <sheetData>
    <row r="2" spans="2:57" ht="15.5" x14ac:dyDescent="0.25">
      <c r="B2" s="368" t="str">
        <f>TitlePage!D2</f>
        <v>Lahab Automotive</v>
      </c>
      <c r="C2" s="369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0"/>
      <c r="AM2" s="370"/>
      <c r="AN2" s="370"/>
      <c r="AO2" s="370"/>
      <c r="AP2" s="370"/>
      <c r="AQ2" s="370"/>
      <c r="AR2" s="370"/>
      <c r="AS2" s="370"/>
      <c r="AT2" s="370"/>
      <c r="AU2" s="370"/>
    </row>
    <row r="3" spans="2:57" ht="12" x14ac:dyDescent="0.25">
      <c r="B3" s="371" t="str">
        <f>"All Numbers are in "&amp;TEXT(TitlePage!D4,0)</f>
        <v>All Numbers are in SAR</v>
      </c>
      <c r="C3" s="369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  <c r="AB3" s="370"/>
      <c r="AC3" s="370"/>
      <c r="AD3" s="370"/>
      <c r="AE3" s="370"/>
      <c r="AF3" s="370"/>
      <c r="AG3" s="370"/>
      <c r="AH3" s="370"/>
      <c r="AI3" s="370"/>
      <c r="AJ3" s="370"/>
      <c r="AK3" s="370"/>
      <c r="AL3" s="370"/>
      <c r="AM3" s="370"/>
      <c r="AN3" s="370"/>
      <c r="AO3" s="370"/>
      <c r="AP3" s="370"/>
      <c r="AQ3" s="370"/>
      <c r="AR3" s="370"/>
      <c r="AS3" s="370"/>
      <c r="AT3" s="370"/>
      <c r="AU3" s="370"/>
    </row>
    <row r="4" spans="2:57" ht="21" x14ac:dyDescent="0.5">
      <c r="B4" s="361" t="s">
        <v>123</v>
      </c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0"/>
      <c r="AB4" s="360"/>
      <c r="AC4" s="360"/>
      <c r="AD4" s="360"/>
      <c r="AE4" s="360"/>
      <c r="AF4" s="360"/>
      <c r="AG4" s="360"/>
      <c r="AH4" s="360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360"/>
      <c r="AT4" s="360"/>
      <c r="AU4" s="360"/>
    </row>
    <row r="5" spans="2:57" ht="21" x14ac:dyDescent="0.25">
      <c r="B5" s="362" t="s">
        <v>124</v>
      </c>
      <c r="C5" s="362" t="s">
        <v>125</v>
      </c>
      <c r="D5" s="362" t="s">
        <v>126</v>
      </c>
      <c r="E5" s="363" t="s">
        <v>127</v>
      </c>
      <c r="F5" s="363" t="s">
        <v>128</v>
      </c>
      <c r="G5" s="362" t="s">
        <v>129</v>
      </c>
      <c r="H5" s="362" t="s">
        <v>130</v>
      </c>
      <c r="I5" s="362" t="s">
        <v>131</v>
      </c>
      <c r="J5" s="362" t="s">
        <v>132</v>
      </c>
      <c r="K5" s="362" t="s">
        <v>211</v>
      </c>
      <c r="L5" s="365" t="s">
        <v>133</v>
      </c>
      <c r="M5" s="364"/>
      <c r="N5" s="364"/>
      <c r="O5" s="364"/>
      <c r="P5" s="364"/>
      <c r="Q5" s="364"/>
      <c r="R5" s="364"/>
      <c r="S5" s="364"/>
      <c r="T5" s="364"/>
      <c r="U5" s="364"/>
      <c r="V5" s="364"/>
      <c r="W5" s="364"/>
      <c r="X5" s="365" t="s">
        <v>134</v>
      </c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5">
        <v>2016</v>
      </c>
      <c r="AK5" s="365"/>
      <c r="AL5" s="365">
        <v>2017</v>
      </c>
      <c r="AM5" s="365"/>
      <c r="AN5" s="365">
        <v>2018</v>
      </c>
      <c r="AO5" s="365"/>
      <c r="AP5" s="365">
        <v>2019</v>
      </c>
      <c r="AQ5" s="365"/>
      <c r="AR5" s="365">
        <v>2020</v>
      </c>
      <c r="AS5" s="365"/>
      <c r="AT5" s="365">
        <v>2021</v>
      </c>
      <c r="AU5" s="365"/>
      <c r="AW5" s="44">
        <v>2016</v>
      </c>
      <c r="AX5" s="44">
        <v>2017</v>
      </c>
      <c r="AY5" s="44">
        <v>2018</v>
      </c>
      <c r="AZ5" s="44">
        <v>2019</v>
      </c>
      <c r="BA5" s="44">
        <v>2020</v>
      </c>
      <c r="BB5" s="44">
        <v>2021</v>
      </c>
    </row>
    <row r="6" spans="2:57" x14ac:dyDescent="0.25">
      <c r="B6" s="362"/>
      <c r="C6" s="362"/>
      <c r="D6" s="362"/>
      <c r="E6" s="363"/>
      <c r="F6" s="363"/>
      <c r="G6" s="366" t="s">
        <v>135</v>
      </c>
      <c r="H6" s="362"/>
      <c r="I6" s="366"/>
      <c r="J6" s="366">
        <v>2016</v>
      </c>
      <c r="K6" s="366" t="s">
        <v>217</v>
      </c>
      <c r="L6" s="367" t="s">
        <v>102</v>
      </c>
      <c r="M6" s="367" t="s">
        <v>103</v>
      </c>
      <c r="N6" s="367" t="s">
        <v>104</v>
      </c>
      <c r="O6" s="367" t="s">
        <v>105</v>
      </c>
      <c r="P6" s="367" t="s">
        <v>106</v>
      </c>
      <c r="Q6" s="367" t="s">
        <v>107</v>
      </c>
      <c r="R6" s="367" t="s">
        <v>108</v>
      </c>
      <c r="S6" s="367" t="s">
        <v>109</v>
      </c>
      <c r="T6" s="367" t="s">
        <v>110</v>
      </c>
      <c r="U6" s="367" t="s">
        <v>111</v>
      </c>
      <c r="V6" s="367" t="s">
        <v>112</v>
      </c>
      <c r="W6" s="367" t="s">
        <v>113</v>
      </c>
      <c r="X6" s="367" t="s">
        <v>102</v>
      </c>
      <c r="Y6" s="367" t="s">
        <v>103</v>
      </c>
      <c r="Z6" s="367" t="s">
        <v>104</v>
      </c>
      <c r="AA6" s="367" t="s">
        <v>105</v>
      </c>
      <c r="AB6" s="367" t="s">
        <v>106</v>
      </c>
      <c r="AC6" s="367" t="s">
        <v>107</v>
      </c>
      <c r="AD6" s="367" t="s">
        <v>108</v>
      </c>
      <c r="AE6" s="367" t="s">
        <v>109</v>
      </c>
      <c r="AF6" s="367" t="s">
        <v>110</v>
      </c>
      <c r="AG6" s="367" t="s">
        <v>111</v>
      </c>
      <c r="AH6" s="367" t="s">
        <v>112</v>
      </c>
      <c r="AI6" s="367" t="s">
        <v>113</v>
      </c>
      <c r="AJ6" s="362" t="s">
        <v>136</v>
      </c>
      <c r="AK6" s="362" t="s">
        <v>137</v>
      </c>
      <c r="AL6" s="362" t="s">
        <v>136</v>
      </c>
      <c r="AM6" s="362" t="s">
        <v>137</v>
      </c>
      <c r="AN6" s="362" t="s">
        <v>136</v>
      </c>
      <c r="AO6" s="362" t="s">
        <v>137</v>
      </c>
      <c r="AP6" s="362" t="s">
        <v>136</v>
      </c>
      <c r="AQ6" s="362" t="s">
        <v>137</v>
      </c>
      <c r="AR6" s="362" t="s">
        <v>136</v>
      </c>
      <c r="AS6" s="362" t="s">
        <v>137</v>
      </c>
      <c r="AT6" s="362" t="s">
        <v>136</v>
      </c>
      <c r="AU6" s="362" t="s">
        <v>137</v>
      </c>
      <c r="AW6" s="44" t="s">
        <v>138</v>
      </c>
      <c r="AY6" s="44" t="s">
        <v>138</v>
      </c>
      <c r="AZ6" s="44" t="s">
        <v>138</v>
      </c>
      <c r="BA6" s="44" t="s">
        <v>138</v>
      </c>
      <c r="BB6" s="44" t="s">
        <v>138</v>
      </c>
      <c r="BD6" s="44" t="s">
        <v>102</v>
      </c>
      <c r="BE6" s="44">
        <v>1</v>
      </c>
    </row>
    <row r="7" spans="2:57" x14ac:dyDescent="0.25">
      <c r="B7" s="62">
        <v>1</v>
      </c>
      <c r="C7" s="63" t="s">
        <v>223</v>
      </c>
      <c r="D7" s="64">
        <v>2950000</v>
      </c>
      <c r="E7" s="63">
        <v>2016</v>
      </c>
      <c r="F7" s="65" t="s">
        <v>102</v>
      </c>
      <c r="G7" s="66">
        <v>10</v>
      </c>
      <c r="H7" s="67">
        <v>0</v>
      </c>
      <c r="I7" s="67">
        <f t="shared" ref="I7:I31" si="0">D7-H7</f>
        <v>2950000</v>
      </c>
      <c r="J7" s="67">
        <f t="shared" ref="J7:J31" si="1">IF(E7=J$6,I7,0)</f>
        <v>2950000</v>
      </c>
      <c r="K7" s="67">
        <f t="shared" ref="K7:K31" si="2">IF(ISNA(VLOOKUP(F7,$BD$6:$BE$17,2,FALSE)),0,VLOOKUP(F7,$BD$6:$BE$17,2,FALSE))</f>
        <v>1</v>
      </c>
      <c r="L7" s="67">
        <f t="shared" ref="L7:W16" si="3">IF(AND($J7&gt;0,$F7=TEXT(L$6,1)),$J7,0)</f>
        <v>2950000</v>
      </c>
      <c r="M7" s="67">
        <f t="shared" si="3"/>
        <v>0</v>
      </c>
      <c r="N7" s="67">
        <f t="shared" si="3"/>
        <v>0</v>
      </c>
      <c r="O7" s="67">
        <f t="shared" si="3"/>
        <v>0</v>
      </c>
      <c r="P7" s="67">
        <f t="shared" si="3"/>
        <v>0</v>
      </c>
      <c r="Q7" s="67">
        <f t="shared" si="3"/>
        <v>0</v>
      </c>
      <c r="R7" s="67">
        <f t="shared" si="3"/>
        <v>0</v>
      </c>
      <c r="S7" s="67">
        <f t="shared" si="3"/>
        <v>0</v>
      </c>
      <c r="T7" s="67">
        <f t="shared" si="3"/>
        <v>0</v>
      </c>
      <c r="U7" s="67">
        <f t="shared" si="3"/>
        <v>0</v>
      </c>
      <c r="V7" s="67">
        <f t="shared" si="3"/>
        <v>0</v>
      </c>
      <c r="W7" s="67">
        <f t="shared" si="3"/>
        <v>0</v>
      </c>
      <c r="X7" s="67">
        <f t="shared" ref="X7:X31" si="4">IF(OR(ISBLANK($G7),$G7=0),0,IF(AND($J7&gt;0,F7=TEXT(X$6,1)),$J7/$G7/12,0))</f>
        <v>24583.333333333332</v>
      </c>
      <c r="Y7" s="67">
        <f>IF(OR(ISBLANK($G7),$G7=0),0,IF(AND($J7&gt;0,$F7=TEXT(Y$6,1)),$J7/$G7/12,IF(X7&gt;0,$J7/$G7/12,0)))</f>
        <v>24583.333333333332</v>
      </c>
      <c r="Z7" s="67">
        <f t="shared" ref="Z7:AI7" si="5">IF(OR(ISBLANK($G7),$G7=0),0,IF(AND($J7&gt;0,$F7=TEXT(Z$6,1)),$J7/$G7/12,IF(Y7&gt;0,$J7/$G7/12,0)))</f>
        <v>24583.333333333332</v>
      </c>
      <c r="AA7" s="67">
        <f t="shared" si="5"/>
        <v>24583.333333333332</v>
      </c>
      <c r="AB7" s="67">
        <f t="shared" si="5"/>
        <v>24583.333333333332</v>
      </c>
      <c r="AC7" s="67">
        <f t="shared" si="5"/>
        <v>24583.333333333332</v>
      </c>
      <c r="AD7" s="67">
        <f t="shared" si="5"/>
        <v>24583.333333333332</v>
      </c>
      <c r="AE7" s="67">
        <f t="shared" si="5"/>
        <v>24583.333333333332</v>
      </c>
      <c r="AF7" s="67">
        <f t="shared" si="5"/>
        <v>24583.333333333332</v>
      </c>
      <c r="AG7" s="67">
        <f t="shared" si="5"/>
        <v>24583.333333333332</v>
      </c>
      <c r="AH7" s="67">
        <f t="shared" si="5"/>
        <v>24583.333333333332</v>
      </c>
      <c r="AI7" s="67">
        <f t="shared" si="5"/>
        <v>24583.333333333332</v>
      </c>
      <c r="AJ7" s="231">
        <f t="shared" ref="AJ7:AJ31" si="6">IF((AJ$5-$E7)*12&gt;$G7*12,0,IF(AJ$5-$E7&lt;0,0,IF(AJ$5-$E7=0,13-$K7,IF((AJ$5-$E7)*12=$G7*12,($G7*12)-0,IF((AJ$5-$E7)&gt;0,12,0)))))</f>
        <v>12</v>
      </c>
      <c r="AK7" s="233">
        <f>IF(OR(ISBLANK($G7),$G7=0),0,IF(ISERROR(($I7/$G7)*(AJ7/12)),"",($I7/$G7)*(AJ7/12)))</f>
        <v>295000</v>
      </c>
      <c r="AL7" s="231">
        <f t="shared" ref="AL7:AL31" si="7">IF((AL$5-$E7)*12&gt;$G7*12,0,IF(AL$5-$E7&lt;0,0,IF(AL$5-$E7=0,13-$K7,IF((AL$5-$E7)*12=$G7*12,($G7*12)-(AJ7),IF((AL$5-$E7)&gt;0,12,0)))))</f>
        <v>12</v>
      </c>
      <c r="AM7" s="233">
        <f>IF(OR(ISBLANK($G7),$G7=0),0,IF(ISERROR(($I7/$G7)*(AL7/12)),"",($I7/$G7)*(AL7/12)))</f>
        <v>295000</v>
      </c>
      <c r="AN7" s="231">
        <f t="shared" ref="AN7:AN31" si="8">IF((AN$5-$E7)*12&gt;$G7*12,0,IF(AN$5-$E7&lt;0,0,IF(AN$5-$E7=0,13-$K7,IF((AN$5-$E7)*12=$G7*12,($G7*12)-(AL7+AJ7),IF((AN$5-$E7)&gt;0,12,0)))))</f>
        <v>12</v>
      </c>
      <c r="AO7" s="233">
        <f>IF(OR(ISBLANK($G7),$G7=0),0,IF(ISERROR(($I7/$G7)*(AN7/12)),"",($I7/$G7)*(AN7/12)))</f>
        <v>295000</v>
      </c>
      <c r="AP7" s="231">
        <f t="shared" ref="AP7:AP31" si="9">IF((AP$5-$E7)*12&gt;$G7*12,0,IF(AP$5-$E7&lt;0,0,IF(AP$5-$E7=0,13-$K7,IF((AP$5-$E7)*12=$G7*12,($G7*12)-(AJ7+AN7+AL7),IF((AP$5-$E7)&gt;0,12,0)))))</f>
        <v>12</v>
      </c>
      <c r="AQ7" s="233">
        <f>IF(OR(ISBLANK($G7),$G7=0),0,IF(ISERROR(($I7/$G7)*(AP7/12)),"",($I7/$G7)*(AP7/12)))</f>
        <v>295000</v>
      </c>
      <c r="AR7" s="231">
        <f t="shared" ref="AR7:AR31" si="10">IF((AR$5-$E7)*12&gt;$G7*12,0,IF(AR$5-$E7&lt;0,0,IF(AR$5-$E7=0,13-$K7,IF((AR$5-$E7)*12=$G7*12,($G7*12)-(AJ7+AL7+AP7+AN7),IF((AR$5-$E7)&gt;0,12,0)))))</f>
        <v>12</v>
      </c>
      <c r="AS7" s="233">
        <f>IF(OR(ISBLANK($G7),$G7=0),0,IF(ISERROR(($I7/$G7)*(AR7/12)),"",($I7/$G7)*(AR7/12)))</f>
        <v>295000</v>
      </c>
      <c r="AT7" s="231">
        <f t="shared" ref="AT7:AT31" si="11">IF((AT$5-$E7)*12&gt;$G7*12,0,IF(AT$5-$E7&lt;0,0,IF(AT$5-$E7=0,13-$K7,IF((AT$5-$E7)*12=$G7*12,($G7*12)-(AJ7+AL7+AN7+AR7+AP7),IF((AT$5-$E7)&gt;0,12,0)))))</f>
        <v>12</v>
      </c>
      <c r="AU7" s="233">
        <f>IF(OR(ISBLANK($G7),$G7=0),0,IF(ISERROR(($I7/$G7)*(AT7/12)),"",($I7/$G7)*(AT7/12)))</f>
        <v>295000</v>
      </c>
      <c r="AW7" s="44">
        <f t="shared" ref="AW7:BB22" si="12">IF($E7=AW$5,$D7,0)</f>
        <v>2950000</v>
      </c>
      <c r="AX7" s="44">
        <f t="shared" si="12"/>
        <v>0</v>
      </c>
      <c r="AY7" s="44">
        <f t="shared" si="12"/>
        <v>0</v>
      </c>
      <c r="AZ7" s="44">
        <f t="shared" si="12"/>
        <v>0</v>
      </c>
      <c r="BA7" s="44">
        <f t="shared" si="12"/>
        <v>0</v>
      </c>
      <c r="BB7" s="44">
        <f t="shared" si="12"/>
        <v>0</v>
      </c>
      <c r="BD7" s="44" t="s">
        <v>103</v>
      </c>
      <c r="BE7" s="44">
        <v>2</v>
      </c>
    </row>
    <row r="8" spans="2:57" x14ac:dyDescent="0.25">
      <c r="B8" s="62">
        <v>2</v>
      </c>
      <c r="C8" s="63"/>
      <c r="D8" s="64"/>
      <c r="E8" s="63"/>
      <c r="F8" s="65"/>
      <c r="G8" s="66">
        <v>0</v>
      </c>
      <c r="H8" s="67">
        <v>0</v>
      </c>
      <c r="I8" s="67">
        <f t="shared" si="0"/>
        <v>0</v>
      </c>
      <c r="J8" s="67">
        <f t="shared" si="1"/>
        <v>0</v>
      </c>
      <c r="K8" s="67">
        <f t="shared" si="2"/>
        <v>0</v>
      </c>
      <c r="L8" s="67">
        <f t="shared" si="3"/>
        <v>0</v>
      </c>
      <c r="M8" s="67">
        <f t="shared" si="3"/>
        <v>0</v>
      </c>
      <c r="N8" s="67">
        <f t="shared" si="3"/>
        <v>0</v>
      </c>
      <c r="O8" s="67">
        <f t="shared" si="3"/>
        <v>0</v>
      </c>
      <c r="P8" s="67">
        <f t="shared" si="3"/>
        <v>0</v>
      </c>
      <c r="Q8" s="67">
        <f t="shared" si="3"/>
        <v>0</v>
      </c>
      <c r="R8" s="67">
        <f t="shared" si="3"/>
        <v>0</v>
      </c>
      <c r="S8" s="67">
        <f t="shared" si="3"/>
        <v>0</v>
      </c>
      <c r="T8" s="67">
        <f t="shared" si="3"/>
        <v>0</v>
      </c>
      <c r="U8" s="67">
        <f t="shared" si="3"/>
        <v>0</v>
      </c>
      <c r="V8" s="67">
        <f t="shared" si="3"/>
        <v>0</v>
      </c>
      <c r="W8" s="67">
        <f t="shared" si="3"/>
        <v>0</v>
      </c>
      <c r="X8" s="67">
        <f t="shared" si="4"/>
        <v>0</v>
      </c>
      <c r="Y8" s="67">
        <f t="shared" ref="Y8:AI8" si="13">IF(OR(ISBLANK($G8),$G8=0),0,IF(AND($J8&gt;0,$F8=TEXT(Y$6,1)),$J8/$G8/12,IF(X8&gt;0,$J8/$G8/12,0)))</f>
        <v>0</v>
      </c>
      <c r="Z8" s="67">
        <f t="shared" si="13"/>
        <v>0</v>
      </c>
      <c r="AA8" s="67">
        <f t="shared" si="13"/>
        <v>0</v>
      </c>
      <c r="AB8" s="67">
        <f t="shared" si="13"/>
        <v>0</v>
      </c>
      <c r="AC8" s="67">
        <f t="shared" si="13"/>
        <v>0</v>
      </c>
      <c r="AD8" s="67">
        <f t="shared" si="13"/>
        <v>0</v>
      </c>
      <c r="AE8" s="67">
        <f t="shared" si="13"/>
        <v>0</v>
      </c>
      <c r="AF8" s="67">
        <f t="shared" si="13"/>
        <v>0</v>
      </c>
      <c r="AG8" s="67">
        <f t="shared" si="13"/>
        <v>0</v>
      </c>
      <c r="AH8" s="67">
        <f t="shared" si="13"/>
        <v>0</v>
      </c>
      <c r="AI8" s="67">
        <f t="shared" si="13"/>
        <v>0</v>
      </c>
      <c r="AJ8" s="231">
        <f t="shared" si="6"/>
        <v>0</v>
      </c>
      <c r="AK8" s="233">
        <f t="shared" ref="AK8:AK31" si="14">IF(OR(ISBLANK($G8),$G8=0),0,IF(ISERROR(($I8/$G8)*(AJ8/12)),"",($I8/$G8)*(AJ8/12)))</f>
        <v>0</v>
      </c>
      <c r="AL8" s="231">
        <f t="shared" si="7"/>
        <v>0</v>
      </c>
      <c r="AM8" s="233">
        <f t="shared" ref="AM8:AM31" si="15">IF(OR(ISBLANK($G8),$G8=0),0,IF(ISERROR(($I8/$G8)*(AL8/12)),"",($I8/$G8)*(AL8/12)))</f>
        <v>0</v>
      </c>
      <c r="AN8" s="231">
        <f t="shared" si="8"/>
        <v>0</v>
      </c>
      <c r="AO8" s="233">
        <f t="shared" ref="AO8:AO31" si="16">IF(OR(ISBLANK($G8),$G8=0),0,IF(ISERROR(($I8/$G8)*(AN8/12)),"",($I8/$G8)*(AN8/12)))</f>
        <v>0</v>
      </c>
      <c r="AP8" s="231">
        <f t="shared" si="9"/>
        <v>0</v>
      </c>
      <c r="AQ8" s="233">
        <f t="shared" ref="AQ8:AQ31" si="17">IF(OR(ISBLANK($G8),$G8=0),0,IF(ISERROR(($I8/$G8)*(AP8/12)),"",($I8/$G8)*(AP8/12)))</f>
        <v>0</v>
      </c>
      <c r="AR8" s="231">
        <f t="shared" si="10"/>
        <v>0</v>
      </c>
      <c r="AS8" s="233">
        <f t="shared" ref="AS8:AS31" si="18">IF(OR(ISBLANK($G8),$G8=0),0,IF(ISERROR(($I8/$G8)*(AR8/12)),"",($I8/$G8)*(AR8/12)))</f>
        <v>0</v>
      </c>
      <c r="AT8" s="231">
        <f t="shared" si="11"/>
        <v>0</v>
      </c>
      <c r="AU8" s="233">
        <f t="shared" ref="AU8:AU31" si="19">IF(OR(ISBLANK($G8),$G8=0),0,IF(ISERROR(($I8/$G8)*(AT8/12)),"",($I8/$G8)*(AT8/12)))</f>
        <v>0</v>
      </c>
      <c r="AW8" s="44">
        <f t="shared" si="12"/>
        <v>0</v>
      </c>
      <c r="AX8" s="44">
        <f t="shared" si="12"/>
        <v>0</v>
      </c>
      <c r="AY8" s="44">
        <f t="shared" si="12"/>
        <v>0</v>
      </c>
      <c r="AZ8" s="44">
        <f t="shared" si="12"/>
        <v>0</v>
      </c>
      <c r="BA8" s="44">
        <f t="shared" si="12"/>
        <v>0</v>
      </c>
      <c r="BB8" s="44">
        <f t="shared" si="12"/>
        <v>0</v>
      </c>
      <c r="BD8" s="44" t="s">
        <v>104</v>
      </c>
      <c r="BE8" s="44">
        <v>3</v>
      </c>
    </row>
    <row r="9" spans="2:57" x14ac:dyDescent="0.25">
      <c r="B9" s="62">
        <v>3</v>
      </c>
      <c r="C9" s="63"/>
      <c r="D9" s="64"/>
      <c r="E9" s="63"/>
      <c r="F9" s="65"/>
      <c r="G9" s="66">
        <v>0</v>
      </c>
      <c r="H9" s="67">
        <v>0</v>
      </c>
      <c r="I9" s="67">
        <f t="shared" si="0"/>
        <v>0</v>
      </c>
      <c r="J9" s="67">
        <f t="shared" si="1"/>
        <v>0</v>
      </c>
      <c r="K9" s="67">
        <f t="shared" si="2"/>
        <v>0</v>
      </c>
      <c r="L9" s="67">
        <f t="shared" si="3"/>
        <v>0</v>
      </c>
      <c r="M9" s="67">
        <f t="shared" si="3"/>
        <v>0</v>
      </c>
      <c r="N9" s="67">
        <f t="shared" si="3"/>
        <v>0</v>
      </c>
      <c r="O9" s="67">
        <f t="shared" si="3"/>
        <v>0</v>
      </c>
      <c r="P9" s="67">
        <f t="shared" si="3"/>
        <v>0</v>
      </c>
      <c r="Q9" s="67">
        <f t="shared" si="3"/>
        <v>0</v>
      </c>
      <c r="R9" s="67">
        <f t="shared" si="3"/>
        <v>0</v>
      </c>
      <c r="S9" s="67">
        <f t="shared" si="3"/>
        <v>0</v>
      </c>
      <c r="T9" s="67">
        <f t="shared" si="3"/>
        <v>0</v>
      </c>
      <c r="U9" s="67">
        <f t="shared" si="3"/>
        <v>0</v>
      </c>
      <c r="V9" s="67">
        <f t="shared" si="3"/>
        <v>0</v>
      </c>
      <c r="W9" s="67">
        <f t="shared" si="3"/>
        <v>0</v>
      </c>
      <c r="X9" s="67">
        <f t="shared" si="4"/>
        <v>0</v>
      </c>
      <c r="Y9" s="67">
        <f t="shared" ref="Y9:AI9" si="20">IF(OR(ISBLANK($G9),$G9=0),0,IF(AND($J9&gt;0,$F9=TEXT(Y$6,1)),$J9/$G9/12,IF(X9&gt;0,$J9/$G9/12,0)))</f>
        <v>0</v>
      </c>
      <c r="Z9" s="67">
        <f t="shared" si="20"/>
        <v>0</v>
      </c>
      <c r="AA9" s="67">
        <f t="shared" si="20"/>
        <v>0</v>
      </c>
      <c r="AB9" s="67">
        <f t="shared" si="20"/>
        <v>0</v>
      </c>
      <c r="AC9" s="67">
        <f t="shared" si="20"/>
        <v>0</v>
      </c>
      <c r="AD9" s="67">
        <f t="shared" si="20"/>
        <v>0</v>
      </c>
      <c r="AE9" s="67">
        <f t="shared" si="20"/>
        <v>0</v>
      </c>
      <c r="AF9" s="67">
        <f t="shared" si="20"/>
        <v>0</v>
      </c>
      <c r="AG9" s="67">
        <f t="shared" si="20"/>
        <v>0</v>
      </c>
      <c r="AH9" s="67">
        <f t="shared" si="20"/>
        <v>0</v>
      </c>
      <c r="AI9" s="67">
        <f t="shared" si="20"/>
        <v>0</v>
      </c>
      <c r="AJ9" s="231">
        <f t="shared" si="6"/>
        <v>0</v>
      </c>
      <c r="AK9" s="233">
        <f t="shared" si="14"/>
        <v>0</v>
      </c>
      <c r="AL9" s="231">
        <f t="shared" si="7"/>
        <v>0</v>
      </c>
      <c r="AM9" s="233">
        <f t="shared" si="15"/>
        <v>0</v>
      </c>
      <c r="AN9" s="231">
        <f t="shared" si="8"/>
        <v>0</v>
      </c>
      <c r="AO9" s="233">
        <f t="shared" si="16"/>
        <v>0</v>
      </c>
      <c r="AP9" s="231">
        <f t="shared" si="9"/>
        <v>0</v>
      </c>
      <c r="AQ9" s="233">
        <f t="shared" si="17"/>
        <v>0</v>
      </c>
      <c r="AR9" s="231">
        <f t="shared" si="10"/>
        <v>0</v>
      </c>
      <c r="AS9" s="233">
        <f t="shared" si="18"/>
        <v>0</v>
      </c>
      <c r="AT9" s="231">
        <f t="shared" si="11"/>
        <v>0</v>
      </c>
      <c r="AU9" s="233">
        <f t="shared" si="19"/>
        <v>0</v>
      </c>
      <c r="AW9" s="44">
        <f t="shared" si="12"/>
        <v>0</v>
      </c>
      <c r="AX9" s="44">
        <f t="shared" si="12"/>
        <v>0</v>
      </c>
      <c r="AY9" s="44">
        <f t="shared" si="12"/>
        <v>0</v>
      </c>
      <c r="AZ9" s="44">
        <f t="shared" si="12"/>
        <v>0</v>
      </c>
      <c r="BA9" s="44">
        <f t="shared" si="12"/>
        <v>0</v>
      </c>
      <c r="BB9" s="44">
        <f t="shared" si="12"/>
        <v>0</v>
      </c>
      <c r="BD9" s="44" t="s">
        <v>105</v>
      </c>
      <c r="BE9" s="44">
        <v>4</v>
      </c>
    </row>
    <row r="10" spans="2:57" x14ac:dyDescent="0.25">
      <c r="B10" s="62">
        <v>4</v>
      </c>
      <c r="C10" s="63"/>
      <c r="D10" s="64"/>
      <c r="E10" s="63"/>
      <c r="F10" s="65"/>
      <c r="G10" s="66">
        <v>0</v>
      </c>
      <c r="H10" s="67">
        <v>0</v>
      </c>
      <c r="I10" s="67">
        <f t="shared" si="0"/>
        <v>0</v>
      </c>
      <c r="J10" s="67">
        <f t="shared" si="1"/>
        <v>0</v>
      </c>
      <c r="K10" s="67">
        <f t="shared" si="2"/>
        <v>0</v>
      </c>
      <c r="L10" s="67">
        <f t="shared" si="3"/>
        <v>0</v>
      </c>
      <c r="M10" s="67">
        <f t="shared" si="3"/>
        <v>0</v>
      </c>
      <c r="N10" s="67">
        <f t="shared" si="3"/>
        <v>0</v>
      </c>
      <c r="O10" s="67">
        <f t="shared" si="3"/>
        <v>0</v>
      </c>
      <c r="P10" s="67">
        <f t="shared" si="3"/>
        <v>0</v>
      </c>
      <c r="Q10" s="67">
        <f t="shared" si="3"/>
        <v>0</v>
      </c>
      <c r="R10" s="67">
        <f t="shared" si="3"/>
        <v>0</v>
      </c>
      <c r="S10" s="67">
        <f t="shared" si="3"/>
        <v>0</v>
      </c>
      <c r="T10" s="67">
        <f t="shared" si="3"/>
        <v>0</v>
      </c>
      <c r="U10" s="67">
        <f t="shared" si="3"/>
        <v>0</v>
      </c>
      <c r="V10" s="67">
        <f t="shared" si="3"/>
        <v>0</v>
      </c>
      <c r="W10" s="67">
        <f t="shared" si="3"/>
        <v>0</v>
      </c>
      <c r="X10" s="67">
        <f t="shared" si="4"/>
        <v>0</v>
      </c>
      <c r="Y10" s="67">
        <f t="shared" ref="Y10:AI10" si="21">IF(OR(ISBLANK($G10),$G10=0),0,IF(AND($J10&gt;0,$F10=TEXT(Y$6,1)),$J10/$G10/12,IF(X10&gt;0,$J10/$G10/12,0)))</f>
        <v>0</v>
      </c>
      <c r="Z10" s="67">
        <f t="shared" si="21"/>
        <v>0</v>
      </c>
      <c r="AA10" s="67">
        <f t="shared" si="21"/>
        <v>0</v>
      </c>
      <c r="AB10" s="67">
        <f t="shared" si="21"/>
        <v>0</v>
      </c>
      <c r="AC10" s="67">
        <f t="shared" si="21"/>
        <v>0</v>
      </c>
      <c r="AD10" s="67">
        <f t="shared" si="21"/>
        <v>0</v>
      </c>
      <c r="AE10" s="67">
        <f t="shared" si="21"/>
        <v>0</v>
      </c>
      <c r="AF10" s="67">
        <f t="shared" si="21"/>
        <v>0</v>
      </c>
      <c r="AG10" s="67">
        <f t="shared" si="21"/>
        <v>0</v>
      </c>
      <c r="AH10" s="67">
        <f t="shared" si="21"/>
        <v>0</v>
      </c>
      <c r="AI10" s="67">
        <f t="shared" si="21"/>
        <v>0</v>
      </c>
      <c r="AJ10" s="231">
        <f t="shared" si="6"/>
        <v>0</v>
      </c>
      <c r="AK10" s="233">
        <f t="shared" si="14"/>
        <v>0</v>
      </c>
      <c r="AL10" s="231">
        <f t="shared" si="7"/>
        <v>0</v>
      </c>
      <c r="AM10" s="233">
        <f t="shared" si="15"/>
        <v>0</v>
      </c>
      <c r="AN10" s="231">
        <f t="shared" si="8"/>
        <v>0</v>
      </c>
      <c r="AO10" s="233">
        <f t="shared" si="16"/>
        <v>0</v>
      </c>
      <c r="AP10" s="231">
        <f t="shared" si="9"/>
        <v>0</v>
      </c>
      <c r="AQ10" s="233">
        <f t="shared" si="17"/>
        <v>0</v>
      </c>
      <c r="AR10" s="231">
        <f t="shared" si="10"/>
        <v>0</v>
      </c>
      <c r="AS10" s="233">
        <f t="shared" si="18"/>
        <v>0</v>
      </c>
      <c r="AT10" s="231">
        <f t="shared" si="11"/>
        <v>0</v>
      </c>
      <c r="AU10" s="233">
        <f t="shared" si="19"/>
        <v>0</v>
      </c>
      <c r="AW10" s="44">
        <f t="shared" si="12"/>
        <v>0</v>
      </c>
      <c r="AX10" s="44">
        <f t="shared" si="12"/>
        <v>0</v>
      </c>
      <c r="AY10" s="44">
        <f t="shared" si="12"/>
        <v>0</v>
      </c>
      <c r="AZ10" s="44">
        <f t="shared" si="12"/>
        <v>0</v>
      </c>
      <c r="BA10" s="44">
        <f t="shared" si="12"/>
        <v>0</v>
      </c>
      <c r="BB10" s="44">
        <f t="shared" si="12"/>
        <v>0</v>
      </c>
      <c r="BD10" s="44" t="s">
        <v>106</v>
      </c>
      <c r="BE10" s="44">
        <v>5</v>
      </c>
    </row>
    <row r="11" spans="2:57" x14ac:dyDescent="0.25">
      <c r="B11" s="62">
        <v>5</v>
      </c>
      <c r="C11" s="63"/>
      <c r="D11" s="64"/>
      <c r="E11" s="63"/>
      <c r="F11" s="65"/>
      <c r="G11" s="66">
        <v>0</v>
      </c>
      <c r="H11" s="67">
        <v>0</v>
      </c>
      <c r="I11" s="67">
        <f t="shared" si="0"/>
        <v>0</v>
      </c>
      <c r="J11" s="67">
        <f t="shared" si="1"/>
        <v>0</v>
      </c>
      <c r="K11" s="67">
        <f t="shared" si="2"/>
        <v>0</v>
      </c>
      <c r="L11" s="67">
        <f t="shared" si="3"/>
        <v>0</v>
      </c>
      <c r="M11" s="67">
        <f t="shared" si="3"/>
        <v>0</v>
      </c>
      <c r="N11" s="67">
        <f t="shared" si="3"/>
        <v>0</v>
      </c>
      <c r="O11" s="67">
        <f t="shared" si="3"/>
        <v>0</v>
      </c>
      <c r="P11" s="67">
        <f t="shared" si="3"/>
        <v>0</v>
      </c>
      <c r="Q11" s="67">
        <f t="shared" si="3"/>
        <v>0</v>
      </c>
      <c r="R11" s="67">
        <f t="shared" si="3"/>
        <v>0</v>
      </c>
      <c r="S11" s="67">
        <f t="shared" si="3"/>
        <v>0</v>
      </c>
      <c r="T11" s="67">
        <f t="shared" si="3"/>
        <v>0</v>
      </c>
      <c r="U11" s="67">
        <f t="shared" si="3"/>
        <v>0</v>
      </c>
      <c r="V11" s="67">
        <f t="shared" si="3"/>
        <v>0</v>
      </c>
      <c r="W11" s="67">
        <f t="shared" si="3"/>
        <v>0</v>
      </c>
      <c r="X11" s="67">
        <f t="shared" si="4"/>
        <v>0</v>
      </c>
      <c r="Y11" s="67">
        <f t="shared" ref="Y11:AI11" si="22">IF(OR(ISBLANK($G11),$G11=0),0,IF(AND($J11&gt;0,$F11=TEXT(Y$6,1)),$J11/$G11/12,IF(X11&gt;0,$J11/$G11/12,0)))</f>
        <v>0</v>
      </c>
      <c r="Z11" s="67">
        <f t="shared" si="22"/>
        <v>0</v>
      </c>
      <c r="AA11" s="67">
        <f t="shared" si="22"/>
        <v>0</v>
      </c>
      <c r="AB11" s="67">
        <f t="shared" si="22"/>
        <v>0</v>
      </c>
      <c r="AC11" s="67">
        <f t="shared" si="22"/>
        <v>0</v>
      </c>
      <c r="AD11" s="67">
        <f t="shared" si="22"/>
        <v>0</v>
      </c>
      <c r="AE11" s="67">
        <f t="shared" si="22"/>
        <v>0</v>
      </c>
      <c r="AF11" s="67">
        <f t="shared" si="22"/>
        <v>0</v>
      </c>
      <c r="AG11" s="67">
        <f t="shared" si="22"/>
        <v>0</v>
      </c>
      <c r="AH11" s="67">
        <f t="shared" si="22"/>
        <v>0</v>
      </c>
      <c r="AI11" s="67">
        <f t="shared" si="22"/>
        <v>0</v>
      </c>
      <c r="AJ11" s="231">
        <f t="shared" si="6"/>
        <v>0</v>
      </c>
      <c r="AK11" s="233">
        <f t="shared" si="14"/>
        <v>0</v>
      </c>
      <c r="AL11" s="231">
        <f t="shared" si="7"/>
        <v>0</v>
      </c>
      <c r="AM11" s="233">
        <f t="shared" si="15"/>
        <v>0</v>
      </c>
      <c r="AN11" s="231">
        <f t="shared" si="8"/>
        <v>0</v>
      </c>
      <c r="AO11" s="233">
        <f t="shared" si="16"/>
        <v>0</v>
      </c>
      <c r="AP11" s="231">
        <f t="shared" si="9"/>
        <v>0</v>
      </c>
      <c r="AQ11" s="233">
        <f t="shared" si="17"/>
        <v>0</v>
      </c>
      <c r="AR11" s="231">
        <f t="shared" si="10"/>
        <v>0</v>
      </c>
      <c r="AS11" s="233">
        <f t="shared" si="18"/>
        <v>0</v>
      </c>
      <c r="AT11" s="231">
        <f t="shared" si="11"/>
        <v>0</v>
      </c>
      <c r="AU11" s="233">
        <f t="shared" si="19"/>
        <v>0</v>
      </c>
      <c r="AW11" s="44">
        <f t="shared" si="12"/>
        <v>0</v>
      </c>
      <c r="AX11" s="44">
        <f t="shared" si="12"/>
        <v>0</v>
      </c>
      <c r="AY11" s="44">
        <f t="shared" si="12"/>
        <v>0</v>
      </c>
      <c r="AZ11" s="44">
        <f t="shared" si="12"/>
        <v>0</v>
      </c>
      <c r="BA11" s="44">
        <f t="shared" si="12"/>
        <v>0</v>
      </c>
      <c r="BB11" s="44">
        <f t="shared" si="12"/>
        <v>0</v>
      </c>
      <c r="BD11" s="44" t="s">
        <v>107</v>
      </c>
      <c r="BE11" s="44">
        <v>6</v>
      </c>
    </row>
    <row r="12" spans="2:57" x14ac:dyDescent="0.25">
      <c r="B12" s="62">
        <v>6</v>
      </c>
      <c r="C12" s="63"/>
      <c r="D12" s="64"/>
      <c r="E12" s="63"/>
      <c r="F12" s="65"/>
      <c r="G12" s="66">
        <v>0</v>
      </c>
      <c r="H12" s="67">
        <v>0</v>
      </c>
      <c r="I12" s="67">
        <f t="shared" si="0"/>
        <v>0</v>
      </c>
      <c r="J12" s="67">
        <f t="shared" si="1"/>
        <v>0</v>
      </c>
      <c r="K12" s="67">
        <f t="shared" si="2"/>
        <v>0</v>
      </c>
      <c r="L12" s="67">
        <f t="shared" si="3"/>
        <v>0</v>
      </c>
      <c r="M12" s="67">
        <f t="shared" si="3"/>
        <v>0</v>
      </c>
      <c r="N12" s="67">
        <f t="shared" si="3"/>
        <v>0</v>
      </c>
      <c r="O12" s="67">
        <f t="shared" si="3"/>
        <v>0</v>
      </c>
      <c r="P12" s="67">
        <f t="shared" si="3"/>
        <v>0</v>
      </c>
      <c r="Q12" s="67">
        <f t="shared" si="3"/>
        <v>0</v>
      </c>
      <c r="R12" s="67">
        <f t="shared" si="3"/>
        <v>0</v>
      </c>
      <c r="S12" s="67">
        <f t="shared" si="3"/>
        <v>0</v>
      </c>
      <c r="T12" s="67">
        <f t="shared" si="3"/>
        <v>0</v>
      </c>
      <c r="U12" s="67">
        <f t="shared" si="3"/>
        <v>0</v>
      </c>
      <c r="V12" s="67">
        <f t="shared" si="3"/>
        <v>0</v>
      </c>
      <c r="W12" s="67">
        <f t="shared" si="3"/>
        <v>0</v>
      </c>
      <c r="X12" s="67">
        <f t="shared" si="4"/>
        <v>0</v>
      </c>
      <c r="Y12" s="67">
        <f t="shared" ref="Y12:AI12" si="23">IF(OR(ISBLANK($G12),$G12=0),0,IF(AND($J12&gt;0,$F12=TEXT(Y$6,1)),$J12/$G12/12,IF(X12&gt;0,$J12/$G12/12,0)))</f>
        <v>0</v>
      </c>
      <c r="Z12" s="67">
        <f t="shared" si="23"/>
        <v>0</v>
      </c>
      <c r="AA12" s="67">
        <f t="shared" si="23"/>
        <v>0</v>
      </c>
      <c r="AB12" s="67">
        <f t="shared" si="23"/>
        <v>0</v>
      </c>
      <c r="AC12" s="67">
        <f t="shared" si="23"/>
        <v>0</v>
      </c>
      <c r="AD12" s="67">
        <f t="shared" si="23"/>
        <v>0</v>
      </c>
      <c r="AE12" s="67">
        <f t="shared" si="23"/>
        <v>0</v>
      </c>
      <c r="AF12" s="67">
        <f t="shared" si="23"/>
        <v>0</v>
      </c>
      <c r="AG12" s="67">
        <f t="shared" si="23"/>
        <v>0</v>
      </c>
      <c r="AH12" s="67">
        <f t="shared" si="23"/>
        <v>0</v>
      </c>
      <c r="AI12" s="67">
        <f t="shared" si="23"/>
        <v>0</v>
      </c>
      <c r="AJ12" s="231">
        <f t="shared" si="6"/>
        <v>0</v>
      </c>
      <c r="AK12" s="233">
        <f t="shared" si="14"/>
        <v>0</v>
      </c>
      <c r="AL12" s="231">
        <f t="shared" si="7"/>
        <v>0</v>
      </c>
      <c r="AM12" s="233">
        <f t="shared" si="15"/>
        <v>0</v>
      </c>
      <c r="AN12" s="231">
        <f t="shared" si="8"/>
        <v>0</v>
      </c>
      <c r="AO12" s="233">
        <f t="shared" si="16"/>
        <v>0</v>
      </c>
      <c r="AP12" s="231">
        <f t="shared" si="9"/>
        <v>0</v>
      </c>
      <c r="AQ12" s="233">
        <f t="shared" si="17"/>
        <v>0</v>
      </c>
      <c r="AR12" s="231">
        <f t="shared" si="10"/>
        <v>0</v>
      </c>
      <c r="AS12" s="233">
        <f t="shared" si="18"/>
        <v>0</v>
      </c>
      <c r="AT12" s="231">
        <f t="shared" si="11"/>
        <v>0</v>
      </c>
      <c r="AU12" s="233">
        <f t="shared" si="19"/>
        <v>0</v>
      </c>
      <c r="AW12" s="44">
        <f t="shared" si="12"/>
        <v>0</v>
      </c>
      <c r="AX12" s="44">
        <f t="shared" si="12"/>
        <v>0</v>
      </c>
      <c r="AY12" s="44">
        <f t="shared" si="12"/>
        <v>0</v>
      </c>
      <c r="AZ12" s="44">
        <f t="shared" si="12"/>
        <v>0</v>
      </c>
      <c r="BA12" s="44">
        <f t="shared" si="12"/>
        <v>0</v>
      </c>
      <c r="BB12" s="44">
        <f t="shared" si="12"/>
        <v>0</v>
      </c>
      <c r="BD12" s="44" t="s">
        <v>108</v>
      </c>
      <c r="BE12" s="44">
        <v>7</v>
      </c>
    </row>
    <row r="13" spans="2:57" x14ac:dyDescent="0.25">
      <c r="B13" s="62">
        <v>7</v>
      </c>
      <c r="C13" s="63"/>
      <c r="D13" s="64"/>
      <c r="E13" s="63"/>
      <c r="F13" s="65"/>
      <c r="G13" s="66">
        <v>0</v>
      </c>
      <c r="H13" s="67">
        <v>0</v>
      </c>
      <c r="I13" s="67">
        <f t="shared" si="0"/>
        <v>0</v>
      </c>
      <c r="J13" s="67">
        <f t="shared" si="1"/>
        <v>0</v>
      </c>
      <c r="K13" s="67">
        <f t="shared" si="2"/>
        <v>0</v>
      </c>
      <c r="L13" s="67">
        <f t="shared" si="3"/>
        <v>0</v>
      </c>
      <c r="M13" s="67">
        <f t="shared" si="3"/>
        <v>0</v>
      </c>
      <c r="N13" s="67">
        <f t="shared" si="3"/>
        <v>0</v>
      </c>
      <c r="O13" s="67">
        <f t="shared" si="3"/>
        <v>0</v>
      </c>
      <c r="P13" s="67">
        <f t="shared" si="3"/>
        <v>0</v>
      </c>
      <c r="Q13" s="67">
        <f t="shared" si="3"/>
        <v>0</v>
      </c>
      <c r="R13" s="67">
        <f t="shared" si="3"/>
        <v>0</v>
      </c>
      <c r="S13" s="67">
        <f t="shared" si="3"/>
        <v>0</v>
      </c>
      <c r="T13" s="67">
        <f t="shared" si="3"/>
        <v>0</v>
      </c>
      <c r="U13" s="67">
        <f t="shared" si="3"/>
        <v>0</v>
      </c>
      <c r="V13" s="67">
        <f t="shared" si="3"/>
        <v>0</v>
      </c>
      <c r="W13" s="67">
        <f t="shared" si="3"/>
        <v>0</v>
      </c>
      <c r="X13" s="67">
        <f t="shared" si="4"/>
        <v>0</v>
      </c>
      <c r="Y13" s="67">
        <f t="shared" ref="Y13:AI13" si="24">IF(OR(ISBLANK($G13),$G13=0),0,IF(AND($J13&gt;0,$F13=TEXT(Y$6,1)),$J13/$G13/12,IF(X13&gt;0,$J13/$G13/12,0)))</f>
        <v>0</v>
      </c>
      <c r="Z13" s="67">
        <f t="shared" si="24"/>
        <v>0</v>
      </c>
      <c r="AA13" s="67">
        <f t="shared" si="24"/>
        <v>0</v>
      </c>
      <c r="AB13" s="67">
        <f t="shared" si="24"/>
        <v>0</v>
      </c>
      <c r="AC13" s="67">
        <f t="shared" si="24"/>
        <v>0</v>
      </c>
      <c r="AD13" s="67">
        <f t="shared" si="24"/>
        <v>0</v>
      </c>
      <c r="AE13" s="67">
        <f t="shared" si="24"/>
        <v>0</v>
      </c>
      <c r="AF13" s="67">
        <f t="shared" si="24"/>
        <v>0</v>
      </c>
      <c r="AG13" s="67">
        <f t="shared" si="24"/>
        <v>0</v>
      </c>
      <c r="AH13" s="67">
        <f t="shared" si="24"/>
        <v>0</v>
      </c>
      <c r="AI13" s="67">
        <f t="shared" si="24"/>
        <v>0</v>
      </c>
      <c r="AJ13" s="231">
        <f t="shared" si="6"/>
        <v>0</v>
      </c>
      <c r="AK13" s="233">
        <f t="shared" si="14"/>
        <v>0</v>
      </c>
      <c r="AL13" s="231">
        <f t="shared" si="7"/>
        <v>0</v>
      </c>
      <c r="AM13" s="233">
        <f t="shared" si="15"/>
        <v>0</v>
      </c>
      <c r="AN13" s="231">
        <f t="shared" si="8"/>
        <v>0</v>
      </c>
      <c r="AO13" s="233">
        <f t="shared" si="16"/>
        <v>0</v>
      </c>
      <c r="AP13" s="231">
        <f t="shared" si="9"/>
        <v>0</v>
      </c>
      <c r="AQ13" s="233">
        <f t="shared" si="17"/>
        <v>0</v>
      </c>
      <c r="AR13" s="231">
        <f t="shared" si="10"/>
        <v>0</v>
      </c>
      <c r="AS13" s="233">
        <f t="shared" si="18"/>
        <v>0</v>
      </c>
      <c r="AT13" s="231">
        <f t="shared" si="11"/>
        <v>0</v>
      </c>
      <c r="AU13" s="233">
        <f t="shared" si="19"/>
        <v>0</v>
      </c>
      <c r="AW13" s="44">
        <f t="shared" si="12"/>
        <v>0</v>
      </c>
      <c r="AX13" s="44">
        <f t="shared" si="12"/>
        <v>0</v>
      </c>
      <c r="AY13" s="44">
        <f t="shared" si="12"/>
        <v>0</v>
      </c>
      <c r="AZ13" s="44">
        <f t="shared" si="12"/>
        <v>0</v>
      </c>
      <c r="BA13" s="44">
        <f t="shared" si="12"/>
        <v>0</v>
      </c>
      <c r="BB13" s="44">
        <f t="shared" si="12"/>
        <v>0</v>
      </c>
      <c r="BD13" s="44" t="s">
        <v>109</v>
      </c>
      <c r="BE13" s="44">
        <v>8</v>
      </c>
    </row>
    <row r="14" spans="2:57" x14ac:dyDescent="0.25">
      <c r="B14" s="62">
        <v>8</v>
      </c>
      <c r="C14" s="63"/>
      <c r="D14" s="64"/>
      <c r="E14" s="63"/>
      <c r="F14" s="65"/>
      <c r="G14" s="66">
        <v>0</v>
      </c>
      <c r="H14" s="67">
        <v>0</v>
      </c>
      <c r="I14" s="67">
        <f t="shared" si="0"/>
        <v>0</v>
      </c>
      <c r="J14" s="67">
        <f t="shared" si="1"/>
        <v>0</v>
      </c>
      <c r="K14" s="67">
        <f t="shared" si="2"/>
        <v>0</v>
      </c>
      <c r="L14" s="67">
        <f t="shared" si="3"/>
        <v>0</v>
      </c>
      <c r="M14" s="67">
        <f t="shared" si="3"/>
        <v>0</v>
      </c>
      <c r="N14" s="67">
        <f t="shared" si="3"/>
        <v>0</v>
      </c>
      <c r="O14" s="67">
        <f t="shared" si="3"/>
        <v>0</v>
      </c>
      <c r="P14" s="67">
        <f t="shared" si="3"/>
        <v>0</v>
      </c>
      <c r="Q14" s="67">
        <f t="shared" si="3"/>
        <v>0</v>
      </c>
      <c r="R14" s="67">
        <f t="shared" si="3"/>
        <v>0</v>
      </c>
      <c r="S14" s="67">
        <f t="shared" si="3"/>
        <v>0</v>
      </c>
      <c r="T14" s="67">
        <f t="shared" si="3"/>
        <v>0</v>
      </c>
      <c r="U14" s="67">
        <f t="shared" si="3"/>
        <v>0</v>
      </c>
      <c r="V14" s="67">
        <f t="shared" si="3"/>
        <v>0</v>
      </c>
      <c r="W14" s="67">
        <f t="shared" si="3"/>
        <v>0</v>
      </c>
      <c r="X14" s="67">
        <f t="shared" si="4"/>
        <v>0</v>
      </c>
      <c r="Y14" s="67">
        <f t="shared" ref="Y14:AI14" si="25">IF(OR(ISBLANK($G14),$G14=0),0,IF(AND($J14&gt;0,$F14=TEXT(Y$6,1)),$J14/$G14/12,IF(X14&gt;0,$J14/$G14/12,0)))</f>
        <v>0</v>
      </c>
      <c r="Z14" s="67">
        <f t="shared" si="25"/>
        <v>0</v>
      </c>
      <c r="AA14" s="67">
        <f t="shared" si="25"/>
        <v>0</v>
      </c>
      <c r="AB14" s="67">
        <f t="shared" si="25"/>
        <v>0</v>
      </c>
      <c r="AC14" s="67">
        <f t="shared" si="25"/>
        <v>0</v>
      </c>
      <c r="AD14" s="67">
        <f t="shared" si="25"/>
        <v>0</v>
      </c>
      <c r="AE14" s="67">
        <f t="shared" si="25"/>
        <v>0</v>
      </c>
      <c r="AF14" s="67">
        <f t="shared" si="25"/>
        <v>0</v>
      </c>
      <c r="AG14" s="67">
        <f t="shared" si="25"/>
        <v>0</v>
      </c>
      <c r="AH14" s="67">
        <f t="shared" si="25"/>
        <v>0</v>
      </c>
      <c r="AI14" s="67">
        <f t="shared" si="25"/>
        <v>0</v>
      </c>
      <c r="AJ14" s="231">
        <f t="shared" si="6"/>
        <v>0</v>
      </c>
      <c r="AK14" s="233">
        <f t="shared" si="14"/>
        <v>0</v>
      </c>
      <c r="AL14" s="231">
        <f t="shared" si="7"/>
        <v>0</v>
      </c>
      <c r="AM14" s="233">
        <f t="shared" si="15"/>
        <v>0</v>
      </c>
      <c r="AN14" s="231">
        <f t="shared" si="8"/>
        <v>0</v>
      </c>
      <c r="AO14" s="233">
        <f t="shared" si="16"/>
        <v>0</v>
      </c>
      <c r="AP14" s="231">
        <f t="shared" si="9"/>
        <v>0</v>
      </c>
      <c r="AQ14" s="233">
        <f t="shared" si="17"/>
        <v>0</v>
      </c>
      <c r="AR14" s="231">
        <f t="shared" si="10"/>
        <v>0</v>
      </c>
      <c r="AS14" s="233">
        <f t="shared" si="18"/>
        <v>0</v>
      </c>
      <c r="AT14" s="231">
        <f t="shared" si="11"/>
        <v>0</v>
      </c>
      <c r="AU14" s="233">
        <f t="shared" si="19"/>
        <v>0</v>
      </c>
      <c r="AW14" s="44">
        <f t="shared" si="12"/>
        <v>0</v>
      </c>
      <c r="AX14" s="44">
        <f t="shared" si="12"/>
        <v>0</v>
      </c>
      <c r="AY14" s="44">
        <f t="shared" si="12"/>
        <v>0</v>
      </c>
      <c r="AZ14" s="44">
        <f t="shared" si="12"/>
        <v>0</v>
      </c>
      <c r="BA14" s="44">
        <f t="shared" si="12"/>
        <v>0</v>
      </c>
      <c r="BB14" s="44">
        <f t="shared" si="12"/>
        <v>0</v>
      </c>
      <c r="BD14" s="44" t="s">
        <v>110</v>
      </c>
      <c r="BE14" s="44">
        <v>9</v>
      </c>
    </row>
    <row r="15" spans="2:57" x14ac:dyDescent="0.25">
      <c r="B15" s="62">
        <v>9</v>
      </c>
      <c r="C15" s="63"/>
      <c r="D15" s="64"/>
      <c r="E15" s="63"/>
      <c r="F15" s="65"/>
      <c r="G15" s="66">
        <v>0</v>
      </c>
      <c r="H15" s="67">
        <v>0</v>
      </c>
      <c r="I15" s="67">
        <f t="shared" si="0"/>
        <v>0</v>
      </c>
      <c r="J15" s="67">
        <f t="shared" si="1"/>
        <v>0</v>
      </c>
      <c r="K15" s="67">
        <f t="shared" si="2"/>
        <v>0</v>
      </c>
      <c r="L15" s="67">
        <f t="shared" si="3"/>
        <v>0</v>
      </c>
      <c r="M15" s="67">
        <f t="shared" si="3"/>
        <v>0</v>
      </c>
      <c r="N15" s="67">
        <f t="shared" si="3"/>
        <v>0</v>
      </c>
      <c r="O15" s="67">
        <f t="shared" si="3"/>
        <v>0</v>
      </c>
      <c r="P15" s="67">
        <f t="shared" si="3"/>
        <v>0</v>
      </c>
      <c r="Q15" s="67">
        <f t="shared" si="3"/>
        <v>0</v>
      </c>
      <c r="R15" s="67">
        <f t="shared" si="3"/>
        <v>0</v>
      </c>
      <c r="S15" s="67">
        <f t="shared" si="3"/>
        <v>0</v>
      </c>
      <c r="T15" s="67">
        <f t="shared" si="3"/>
        <v>0</v>
      </c>
      <c r="U15" s="67">
        <f t="shared" si="3"/>
        <v>0</v>
      </c>
      <c r="V15" s="67">
        <f t="shared" si="3"/>
        <v>0</v>
      </c>
      <c r="W15" s="67">
        <f t="shared" si="3"/>
        <v>0</v>
      </c>
      <c r="X15" s="67">
        <f t="shared" si="4"/>
        <v>0</v>
      </c>
      <c r="Y15" s="67">
        <f t="shared" ref="Y15:AI15" si="26">IF(OR(ISBLANK($G15),$G15=0),0,IF(AND($J15&gt;0,$F15=TEXT(Y$6,1)),$J15/$G15/12,IF(X15&gt;0,$J15/$G15/12,0)))</f>
        <v>0</v>
      </c>
      <c r="Z15" s="67">
        <f t="shared" si="26"/>
        <v>0</v>
      </c>
      <c r="AA15" s="67">
        <f t="shared" si="26"/>
        <v>0</v>
      </c>
      <c r="AB15" s="67">
        <f t="shared" si="26"/>
        <v>0</v>
      </c>
      <c r="AC15" s="67">
        <f t="shared" si="26"/>
        <v>0</v>
      </c>
      <c r="AD15" s="67">
        <f t="shared" si="26"/>
        <v>0</v>
      </c>
      <c r="AE15" s="67">
        <f t="shared" si="26"/>
        <v>0</v>
      </c>
      <c r="AF15" s="67">
        <f t="shared" si="26"/>
        <v>0</v>
      </c>
      <c r="AG15" s="67">
        <f t="shared" si="26"/>
        <v>0</v>
      </c>
      <c r="AH15" s="67">
        <f t="shared" si="26"/>
        <v>0</v>
      </c>
      <c r="AI15" s="67">
        <f t="shared" si="26"/>
        <v>0</v>
      </c>
      <c r="AJ15" s="231">
        <f t="shared" si="6"/>
        <v>0</v>
      </c>
      <c r="AK15" s="233">
        <f t="shared" si="14"/>
        <v>0</v>
      </c>
      <c r="AL15" s="231">
        <f t="shared" si="7"/>
        <v>0</v>
      </c>
      <c r="AM15" s="233">
        <f t="shared" si="15"/>
        <v>0</v>
      </c>
      <c r="AN15" s="231">
        <f t="shared" si="8"/>
        <v>0</v>
      </c>
      <c r="AO15" s="233">
        <f t="shared" si="16"/>
        <v>0</v>
      </c>
      <c r="AP15" s="231">
        <f t="shared" si="9"/>
        <v>0</v>
      </c>
      <c r="AQ15" s="233">
        <f t="shared" si="17"/>
        <v>0</v>
      </c>
      <c r="AR15" s="231">
        <f t="shared" si="10"/>
        <v>0</v>
      </c>
      <c r="AS15" s="233">
        <f t="shared" si="18"/>
        <v>0</v>
      </c>
      <c r="AT15" s="231">
        <f t="shared" si="11"/>
        <v>0</v>
      </c>
      <c r="AU15" s="233">
        <f t="shared" si="19"/>
        <v>0</v>
      </c>
      <c r="AW15" s="44">
        <f t="shared" si="12"/>
        <v>0</v>
      </c>
      <c r="AX15" s="44">
        <f t="shared" si="12"/>
        <v>0</v>
      </c>
      <c r="AY15" s="44">
        <f t="shared" si="12"/>
        <v>0</v>
      </c>
      <c r="AZ15" s="44">
        <f t="shared" si="12"/>
        <v>0</v>
      </c>
      <c r="BA15" s="44">
        <f t="shared" si="12"/>
        <v>0</v>
      </c>
      <c r="BB15" s="44">
        <f t="shared" si="12"/>
        <v>0</v>
      </c>
      <c r="BD15" s="44" t="s">
        <v>111</v>
      </c>
      <c r="BE15" s="44">
        <v>10</v>
      </c>
    </row>
    <row r="16" spans="2:57" x14ac:dyDescent="0.25">
      <c r="B16" s="62">
        <v>10</v>
      </c>
      <c r="C16" s="63"/>
      <c r="D16" s="64"/>
      <c r="E16" s="63"/>
      <c r="F16" s="65"/>
      <c r="G16" s="66">
        <v>0</v>
      </c>
      <c r="H16" s="67">
        <v>0</v>
      </c>
      <c r="I16" s="67">
        <f t="shared" si="0"/>
        <v>0</v>
      </c>
      <c r="J16" s="67">
        <f t="shared" si="1"/>
        <v>0</v>
      </c>
      <c r="K16" s="67">
        <f t="shared" si="2"/>
        <v>0</v>
      </c>
      <c r="L16" s="67">
        <f t="shared" si="3"/>
        <v>0</v>
      </c>
      <c r="M16" s="67">
        <f t="shared" si="3"/>
        <v>0</v>
      </c>
      <c r="N16" s="67">
        <f t="shared" si="3"/>
        <v>0</v>
      </c>
      <c r="O16" s="67">
        <f t="shared" si="3"/>
        <v>0</v>
      </c>
      <c r="P16" s="67">
        <f t="shared" si="3"/>
        <v>0</v>
      </c>
      <c r="Q16" s="67">
        <f t="shared" si="3"/>
        <v>0</v>
      </c>
      <c r="R16" s="67">
        <f t="shared" si="3"/>
        <v>0</v>
      </c>
      <c r="S16" s="67">
        <f t="shared" si="3"/>
        <v>0</v>
      </c>
      <c r="T16" s="67">
        <f t="shared" si="3"/>
        <v>0</v>
      </c>
      <c r="U16" s="67">
        <f t="shared" si="3"/>
        <v>0</v>
      </c>
      <c r="V16" s="67">
        <f t="shared" si="3"/>
        <v>0</v>
      </c>
      <c r="W16" s="67">
        <f t="shared" si="3"/>
        <v>0</v>
      </c>
      <c r="X16" s="67">
        <f t="shared" si="4"/>
        <v>0</v>
      </c>
      <c r="Y16" s="67">
        <f t="shared" ref="Y16:AI16" si="27">IF(OR(ISBLANK($G16),$G16=0),0,IF(AND($J16&gt;0,$F16=TEXT(Y$6,1)),$J16/$G16/12,IF(X16&gt;0,$J16/$G16/12,0)))</f>
        <v>0</v>
      </c>
      <c r="Z16" s="67">
        <f t="shared" si="27"/>
        <v>0</v>
      </c>
      <c r="AA16" s="67">
        <f t="shared" si="27"/>
        <v>0</v>
      </c>
      <c r="AB16" s="67">
        <f t="shared" si="27"/>
        <v>0</v>
      </c>
      <c r="AC16" s="67">
        <f t="shared" si="27"/>
        <v>0</v>
      </c>
      <c r="AD16" s="67">
        <f t="shared" si="27"/>
        <v>0</v>
      </c>
      <c r="AE16" s="67">
        <f t="shared" si="27"/>
        <v>0</v>
      </c>
      <c r="AF16" s="67">
        <f t="shared" si="27"/>
        <v>0</v>
      </c>
      <c r="AG16" s="67">
        <f t="shared" si="27"/>
        <v>0</v>
      </c>
      <c r="AH16" s="67">
        <f t="shared" si="27"/>
        <v>0</v>
      </c>
      <c r="AI16" s="67">
        <f t="shared" si="27"/>
        <v>0</v>
      </c>
      <c r="AJ16" s="231">
        <f t="shared" si="6"/>
        <v>0</v>
      </c>
      <c r="AK16" s="233">
        <f t="shared" si="14"/>
        <v>0</v>
      </c>
      <c r="AL16" s="231">
        <f t="shared" si="7"/>
        <v>0</v>
      </c>
      <c r="AM16" s="233">
        <f t="shared" si="15"/>
        <v>0</v>
      </c>
      <c r="AN16" s="231">
        <f t="shared" si="8"/>
        <v>0</v>
      </c>
      <c r="AO16" s="233">
        <f t="shared" si="16"/>
        <v>0</v>
      </c>
      <c r="AP16" s="231">
        <f t="shared" si="9"/>
        <v>0</v>
      </c>
      <c r="AQ16" s="233">
        <f t="shared" si="17"/>
        <v>0</v>
      </c>
      <c r="AR16" s="231">
        <f t="shared" si="10"/>
        <v>0</v>
      </c>
      <c r="AS16" s="233">
        <f t="shared" si="18"/>
        <v>0</v>
      </c>
      <c r="AT16" s="231">
        <f t="shared" si="11"/>
        <v>0</v>
      </c>
      <c r="AU16" s="233">
        <f t="shared" si="19"/>
        <v>0</v>
      </c>
      <c r="AW16" s="44">
        <f t="shared" si="12"/>
        <v>0</v>
      </c>
      <c r="AX16" s="44">
        <f t="shared" si="12"/>
        <v>0</v>
      </c>
      <c r="AY16" s="44">
        <f t="shared" si="12"/>
        <v>0</v>
      </c>
      <c r="AZ16" s="44">
        <f t="shared" si="12"/>
        <v>0</v>
      </c>
      <c r="BA16" s="44">
        <f t="shared" si="12"/>
        <v>0</v>
      </c>
      <c r="BB16" s="44">
        <f t="shared" si="12"/>
        <v>0</v>
      </c>
      <c r="BD16" s="44" t="s">
        <v>112</v>
      </c>
      <c r="BE16" s="44">
        <v>11</v>
      </c>
    </row>
    <row r="17" spans="2:57" x14ac:dyDescent="0.25">
      <c r="B17" s="62">
        <v>11</v>
      </c>
      <c r="C17" s="63"/>
      <c r="D17" s="64"/>
      <c r="E17" s="63"/>
      <c r="F17" s="65"/>
      <c r="G17" s="66">
        <v>0</v>
      </c>
      <c r="H17" s="67">
        <v>0</v>
      </c>
      <c r="I17" s="67">
        <f t="shared" si="0"/>
        <v>0</v>
      </c>
      <c r="J17" s="67">
        <f t="shared" si="1"/>
        <v>0</v>
      </c>
      <c r="K17" s="67">
        <f t="shared" si="2"/>
        <v>0</v>
      </c>
      <c r="L17" s="67">
        <f t="shared" ref="L17:W31" si="28">IF(AND($J17&gt;0,$F17=TEXT(L$6,1)),$J17,0)</f>
        <v>0</v>
      </c>
      <c r="M17" s="67">
        <f t="shared" si="28"/>
        <v>0</v>
      </c>
      <c r="N17" s="67">
        <f t="shared" si="28"/>
        <v>0</v>
      </c>
      <c r="O17" s="67">
        <f t="shared" si="28"/>
        <v>0</v>
      </c>
      <c r="P17" s="67">
        <f t="shared" si="28"/>
        <v>0</v>
      </c>
      <c r="Q17" s="67">
        <f t="shared" si="28"/>
        <v>0</v>
      </c>
      <c r="R17" s="67">
        <f t="shared" si="28"/>
        <v>0</v>
      </c>
      <c r="S17" s="67">
        <f t="shared" si="28"/>
        <v>0</v>
      </c>
      <c r="T17" s="67">
        <f t="shared" si="28"/>
        <v>0</v>
      </c>
      <c r="U17" s="67">
        <f t="shared" si="28"/>
        <v>0</v>
      </c>
      <c r="V17" s="67">
        <f t="shared" si="28"/>
        <v>0</v>
      </c>
      <c r="W17" s="67">
        <f t="shared" si="28"/>
        <v>0</v>
      </c>
      <c r="X17" s="67">
        <f t="shared" si="4"/>
        <v>0</v>
      </c>
      <c r="Y17" s="67">
        <f t="shared" ref="Y17:AI17" si="29">IF(OR(ISBLANK($G17),$G17=0),0,IF(AND($J17&gt;0,$F17=TEXT(Y$6,1)),$J17/$G17/12,IF(X17&gt;0,$J17/$G17/12,0)))</f>
        <v>0</v>
      </c>
      <c r="Z17" s="67">
        <f t="shared" si="29"/>
        <v>0</v>
      </c>
      <c r="AA17" s="67">
        <f t="shared" si="29"/>
        <v>0</v>
      </c>
      <c r="AB17" s="67">
        <f t="shared" si="29"/>
        <v>0</v>
      </c>
      <c r="AC17" s="67">
        <f t="shared" si="29"/>
        <v>0</v>
      </c>
      <c r="AD17" s="67">
        <f t="shared" si="29"/>
        <v>0</v>
      </c>
      <c r="AE17" s="67">
        <f t="shared" si="29"/>
        <v>0</v>
      </c>
      <c r="AF17" s="67">
        <f t="shared" si="29"/>
        <v>0</v>
      </c>
      <c r="AG17" s="67">
        <f t="shared" si="29"/>
        <v>0</v>
      </c>
      <c r="AH17" s="67">
        <f t="shared" si="29"/>
        <v>0</v>
      </c>
      <c r="AI17" s="67">
        <f t="shared" si="29"/>
        <v>0</v>
      </c>
      <c r="AJ17" s="231">
        <f t="shared" si="6"/>
        <v>0</v>
      </c>
      <c r="AK17" s="233">
        <f t="shared" si="14"/>
        <v>0</v>
      </c>
      <c r="AL17" s="231">
        <f t="shared" si="7"/>
        <v>0</v>
      </c>
      <c r="AM17" s="233">
        <f t="shared" si="15"/>
        <v>0</v>
      </c>
      <c r="AN17" s="231">
        <f t="shared" si="8"/>
        <v>0</v>
      </c>
      <c r="AO17" s="233">
        <f t="shared" si="16"/>
        <v>0</v>
      </c>
      <c r="AP17" s="231">
        <f t="shared" si="9"/>
        <v>0</v>
      </c>
      <c r="AQ17" s="233">
        <f t="shared" si="17"/>
        <v>0</v>
      </c>
      <c r="AR17" s="231">
        <f t="shared" si="10"/>
        <v>0</v>
      </c>
      <c r="AS17" s="233">
        <f t="shared" si="18"/>
        <v>0</v>
      </c>
      <c r="AT17" s="231">
        <f t="shared" si="11"/>
        <v>0</v>
      </c>
      <c r="AU17" s="233">
        <f t="shared" si="19"/>
        <v>0</v>
      </c>
      <c r="AW17" s="44">
        <f t="shared" si="12"/>
        <v>0</v>
      </c>
      <c r="AX17" s="44">
        <f t="shared" si="12"/>
        <v>0</v>
      </c>
      <c r="AY17" s="44">
        <f t="shared" si="12"/>
        <v>0</v>
      </c>
      <c r="AZ17" s="44">
        <f t="shared" si="12"/>
        <v>0</v>
      </c>
      <c r="BA17" s="44">
        <f t="shared" si="12"/>
        <v>0</v>
      </c>
      <c r="BB17" s="44">
        <f t="shared" si="12"/>
        <v>0</v>
      </c>
      <c r="BD17" s="44" t="s">
        <v>113</v>
      </c>
      <c r="BE17" s="44">
        <v>12</v>
      </c>
    </row>
    <row r="18" spans="2:57" x14ac:dyDescent="0.25">
      <c r="B18" s="62">
        <v>12</v>
      </c>
      <c r="C18" s="63"/>
      <c r="D18" s="64"/>
      <c r="E18" s="63"/>
      <c r="F18" s="65"/>
      <c r="G18" s="66">
        <v>0</v>
      </c>
      <c r="H18" s="67">
        <v>0</v>
      </c>
      <c r="I18" s="67">
        <f t="shared" si="0"/>
        <v>0</v>
      </c>
      <c r="J18" s="67">
        <f t="shared" si="1"/>
        <v>0</v>
      </c>
      <c r="K18" s="67">
        <f t="shared" si="2"/>
        <v>0</v>
      </c>
      <c r="L18" s="67">
        <f t="shared" si="28"/>
        <v>0</v>
      </c>
      <c r="M18" s="67">
        <f t="shared" si="28"/>
        <v>0</v>
      </c>
      <c r="N18" s="67">
        <f t="shared" si="28"/>
        <v>0</v>
      </c>
      <c r="O18" s="67">
        <f t="shared" si="28"/>
        <v>0</v>
      </c>
      <c r="P18" s="67">
        <f t="shared" si="28"/>
        <v>0</v>
      </c>
      <c r="Q18" s="67">
        <f t="shared" si="28"/>
        <v>0</v>
      </c>
      <c r="R18" s="67">
        <f t="shared" si="28"/>
        <v>0</v>
      </c>
      <c r="S18" s="67">
        <f t="shared" si="28"/>
        <v>0</v>
      </c>
      <c r="T18" s="67">
        <f t="shared" si="28"/>
        <v>0</v>
      </c>
      <c r="U18" s="67">
        <f t="shared" si="28"/>
        <v>0</v>
      </c>
      <c r="V18" s="67">
        <f t="shared" si="28"/>
        <v>0</v>
      </c>
      <c r="W18" s="67">
        <f t="shared" si="28"/>
        <v>0</v>
      </c>
      <c r="X18" s="67">
        <f t="shared" si="4"/>
        <v>0</v>
      </c>
      <c r="Y18" s="67">
        <f t="shared" ref="Y18:AI18" si="30">IF(OR(ISBLANK($G18),$G18=0),0,IF(AND($J18&gt;0,$F18=TEXT(Y$6,1)),$J18/$G18/12,IF(X18&gt;0,$J18/$G18/12,0)))</f>
        <v>0</v>
      </c>
      <c r="Z18" s="67">
        <f t="shared" si="30"/>
        <v>0</v>
      </c>
      <c r="AA18" s="67">
        <f t="shared" si="30"/>
        <v>0</v>
      </c>
      <c r="AB18" s="67">
        <f t="shared" si="30"/>
        <v>0</v>
      </c>
      <c r="AC18" s="67">
        <f t="shared" si="30"/>
        <v>0</v>
      </c>
      <c r="AD18" s="67">
        <f t="shared" si="30"/>
        <v>0</v>
      </c>
      <c r="AE18" s="67">
        <f t="shared" si="30"/>
        <v>0</v>
      </c>
      <c r="AF18" s="67">
        <f t="shared" si="30"/>
        <v>0</v>
      </c>
      <c r="AG18" s="67">
        <f t="shared" si="30"/>
        <v>0</v>
      </c>
      <c r="AH18" s="67">
        <f t="shared" si="30"/>
        <v>0</v>
      </c>
      <c r="AI18" s="67">
        <f t="shared" si="30"/>
        <v>0</v>
      </c>
      <c r="AJ18" s="231">
        <f t="shared" si="6"/>
        <v>0</v>
      </c>
      <c r="AK18" s="233">
        <f t="shared" si="14"/>
        <v>0</v>
      </c>
      <c r="AL18" s="231">
        <f t="shared" si="7"/>
        <v>0</v>
      </c>
      <c r="AM18" s="233">
        <f t="shared" si="15"/>
        <v>0</v>
      </c>
      <c r="AN18" s="231">
        <f t="shared" si="8"/>
        <v>0</v>
      </c>
      <c r="AO18" s="233">
        <f t="shared" si="16"/>
        <v>0</v>
      </c>
      <c r="AP18" s="231">
        <f t="shared" si="9"/>
        <v>0</v>
      </c>
      <c r="AQ18" s="233">
        <f t="shared" si="17"/>
        <v>0</v>
      </c>
      <c r="AR18" s="231">
        <f t="shared" si="10"/>
        <v>0</v>
      </c>
      <c r="AS18" s="233">
        <f t="shared" si="18"/>
        <v>0</v>
      </c>
      <c r="AT18" s="231">
        <f t="shared" si="11"/>
        <v>0</v>
      </c>
      <c r="AU18" s="233">
        <f t="shared" si="19"/>
        <v>0</v>
      </c>
      <c r="AW18" s="44">
        <f t="shared" si="12"/>
        <v>0</v>
      </c>
      <c r="AX18" s="44">
        <f t="shared" si="12"/>
        <v>0</v>
      </c>
      <c r="AY18" s="44">
        <f t="shared" si="12"/>
        <v>0</v>
      </c>
      <c r="AZ18" s="44">
        <f t="shared" si="12"/>
        <v>0</v>
      </c>
      <c r="BA18" s="44">
        <f t="shared" si="12"/>
        <v>0</v>
      </c>
      <c r="BB18" s="44">
        <f t="shared" si="12"/>
        <v>0</v>
      </c>
    </row>
    <row r="19" spans="2:57" x14ac:dyDescent="0.25">
      <c r="B19" s="62">
        <v>13</v>
      </c>
      <c r="C19" s="63"/>
      <c r="D19" s="64"/>
      <c r="E19" s="63"/>
      <c r="F19" s="65"/>
      <c r="G19" s="66">
        <v>0</v>
      </c>
      <c r="H19" s="67">
        <v>0</v>
      </c>
      <c r="I19" s="67">
        <f t="shared" si="0"/>
        <v>0</v>
      </c>
      <c r="J19" s="67">
        <f t="shared" si="1"/>
        <v>0</v>
      </c>
      <c r="K19" s="67">
        <f t="shared" si="2"/>
        <v>0</v>
      </c>
      <c r="L19" s="67">
        <f t="shared" si="28"/>
        <v>0</v>
      </c>
      <c r="M19" s="67">
        <f t="shared" si="28"/>
        <v>0</v>
      </c>
      <c r="N19" s="67">
        <f t="shared" si="28"/>
        <v>0</v>
      </c>
      <c r="O19" s="67">
        <f t="shared" si="28"/>
        <v>0</v>
      </c>
      <c r="P19" s="67">
        <f t="shared" si="28"/>
        <v>0</v>
      </c>
      <c r="Q19" s="67">
        <f t="shared" si="28"/>
        <v>0</v>
      </c>
      <c r="R19" s="67">
        <f t="shared" si="28"/>
        <v>0</v>
      </c>
      <c r="S19" s="67">
        <f t="shared" si="28"/>
        <v>0</v>
      </c>
      <c r="T19" s="67">
        <f t="shared" si="28"/>
        <v>0</v>
      </c>
      <c r="U19" s="67">
        <f t="shared" si="28"/>
        <v>0</v>
      </c>
      <c r="V19" s="67">
        <f t="shared" si="28"/>
        <v>0</v>
      </c>
      <c r="W19" s="67">
        <f t="shared" si="28"/>
        <v>0</v>
      </c>
      <c r="X19" s="67">
        <f t="shared" si="4"/>
        <v>0</v>
      </c>
      <c r="Y19" s="67">
        <f t="shared" ref="Y19:AI19" si="31">IF(OR(ISBLANK($G19),$G19=0),0,IF(AND($J19&gt;0,$F19=TEXT(Y$6,1)),$J19/$G19/12,IF(X19&gt;0,$J19/$G19/12,0)))</f>
        <v>0</v>
      </c>
      <c r="Z19" s="67">
        <f t="shared" si="31"/>
        <v>0</v>
      </c>
      <c r="AA19" s="67">
        <f t="shared" si="31"/>
        <v>0</v>
      </c>
      <c r="AB19" s="67">
        <f t="shared" si="31"/>
        <v>0</v>
      </c>
      <c r="AC19" s="67">
        <f t="shared" si="31"/>
        <v>0</v>
      </c>
      <c r="AD19" s="67">
        <f t="shared" si="31"/>
        <v>0</v>
      </c>
      <c r="AE19" s="67">
        <f t="shared" si="31"/>
        <v>0</v>
      </c>
      <c r="AF19" s="67">
        <f t="shared" si="31"/>
        <v>0</v>
      </c>
      <c r="AG19" s="67">
        <f t="shared" si="31"/>
        <v>0</v>
      </c>
      <c r="AH19" s="67">
        <f t="shared" si="31"/>
        <v>0</v>
      </c>
      <c r="AI19" s="67">
        <f t="shared" si="31"/>
        <v>0</v>
      </c>
      <c r="AJ19" s="231">
        <f t="shared" si="6"/>
        <v>0</v>
      </c>
      <c r="AK19" s="233">
        <f t="shared" si="14"/>
        <v>0</v>
      </c>
      <c r="AL19" s="231">
        <f t="shared" si="7"/>
        <v>0</v>
      </c>
      <c r="AM19" s="233">
        <f t="shared" si="15"/>
        <v>0</v>
      </c>
      <c r="AN19" s="231">
        <f t="shared" si="8"/>
        <v>0</v>
      </c>
      <c r="AO19" s="233">
        <f t="shared" si="16"/>
        <v>0</v>
      </c>
      <c r="AP19" s="231">
        <f t="shared" si="9"/>
        <v>0</v>
      </c>
      <c r="AQ19" s="233">
        <f t="shared" si="17"/>
        <v>0</v>
      </c>
      <c r="AR19" s="231">
        <f t="shared" si="10"/>
        <v>0</v>
      </c>
      <c r="AS19" s="233">
        <f t="shared" si="18"/>
        <v>0</v>
      </c>
      <c r="AT19" s="231">
        <f t="shared" si="11"/>
        <v>0</v>
      </c>
      <c r="AU19" s="233">
        <f t="shared" si="19"/>
        <v>0</v>
      </c>
      <c r="AW19" s="44">
        <f t="shared" si="12"/>
        <v>0</v>
      </c>
      <c r="AX19" s="44">
        <f t="shared" si="12"/>
        <v>0</v>
      </c>
      <c r="AY19" s="44">
        <f t="shared" si="12"/>
        <v>0</v>
      </c>
      <c r="AZ19" s="44">
        <f t="shared" si="12"/>
        <v>0</v>
      </c>
      <c r="BA19" s="44">
        <f t="shared" si="12"/>
        <v>0</v>
      </c>
      <c r="BB19" s="44">
        <f t="shared" si="12"/>
        <v>0</v>
      </c>
    </row>
    <row r="20" spans="2:57" x14ac:dyDescent="0.25">
      <c r="B20" s="62">
        <v>14</v>
      </c>
      <c r="C20" s="63"/>
      <c r="D20" s="64"/>
      <c r="E20" s="63"/>
      <c r="F20" s="65"/>
      <c r="G20" s="66">
        <v>0</v>
      </c>
      <c r="H20" s="67">
        <v>0</v>
      </c>
      <c r="I20" s="67">
        <f t="shared" si="0"/>
        <v>0</v>
      </c>
      <c r="J20" s="67">
        <f t="shared" si="1"/>
        <v>0</v>
      </c>
      <c r="K20" s="67">
        <f t="shared" si="2"/>
        <v>0</v>
      </c>
      <c r="L20" s="67">
        <f t="shared" si="28"/>
        <v>0</v>
      </c>
      <c r="M20" s="67">
        <f t="shared" si="28"/>
        <v>0</v>
      </c>
      <c r="N20" s="67">
        <f t="shared" si="28"/>
        <v>0</v>
      </c>
      <c r="O20" s="67">
        <f t="shared" si="28"/>
        <v>0</v>
      </c>
      <c r="P20" s="67">
        <f t="shared" si="28"/>
        <v>0</v>
      </c>
      <c r="Q20" s="67">
        <f t="shared" si="28"/>
        <v>0</v>
      </c>
      <c r="R20" s="67">
        <f t="shared" si="28"/>
        <v>0</v>
      </c>
      <c r="S20" s="67">
        <f t="shared" si="28"/>
        <v>0</v>
      </c>
      <c r="T20" s="67">
        <f t="shared" si="28"/>
        <v>0</v>
      </c>
      <c r="U20" s="67">
        <f t="shared" si="28"/>
        <v>0</v>
      </c>
      <c r="V20" s="67">
        <f t="shared" si="28"/>
        <v>0</v>
      </c>
      <c r="W20" s="67">
        <f t="shared" si="28"/>
        <v>0</v>
      </c>
      <c r="X20" s="67">
        <f t="shared" si="4"/>
        <v>0</v>
      </c>
      <c r="Y20" s="67">
        <f t="shared" ref="Y20:AI20" si="32">IF(OR(ISBLANK($G20),$G20=0),0,IF(AND($J20&gt;0,$F20=TEXT(Y$6,1)),$J20/$G20/12,IF(X20&gt;0,$J20/$G20/12,0)))</f>
        <v>0</v>
      </c>
      <c r="Z20" s="67">
        <f t="shared" si="32"/>
        <v>0</v>
      </c>
      <c r="AA20" s="67">
        <f t="shared" si="32"/>
        <v>0</v>
      </c>
      <c r="AB20" s="67">
        <f t="shared" si="32"/>
        <v>0</v>
      </c>
      <c r="AC20" s="67">
        <f t="shared" si="32"/>
        <v>0</v>
      </c>
      <c r="AD20" s="67">
        <f t="shared" si="32"/>
        <v>0</v>
      </c>
      <c r="AE20" s="67">
        <f t="shared" si="32"/>
        <v>0</v>
      </c>
      <c r="AF20" s="67">
        <f t="shared" si="32"/>
        <v>0</v>
      </c>
      <c r="AG20" s="67">
        <f t="shared" si="32"/>
        <v>0</v>
      </c>
      <c r="AH20" s="67">
        <f t="shared" si="32"/>
        <v>0</v>
      </c>
      <c r="AI20" s="67">
        <f t="shared" si="32"/>
        <v>0</v>
      </c>
      <c r="AJ20" s="231">
        <f t="shared" si="6"/>
        <v>0</v>
      </c>
      <c r="AK20" s="233">
        <f t="shared" si="14"/>
        <v>0</v>
      </c>
      <c r="AL20" s="231">
        <f t="shared" si="7"/>
        <v>0</v>
      </c>
      <c r="AM20" s="233">
        <f t="shared" si="15"/>
        <v>0</v>
      </c>
      <c r="AN20" s="231">
        <f t="shared" si="8"/>
        <v>0</v>
      </c>
      <c r="AO20" s="233">
        <f t="shared" si="16"/>
        <v>0</v>
      </c>
      <c r="AP20" s="231">
        <f t="shared" si="9"/>
        <v>0</v>
      </c>
      <c r="AQ20" s="233">
        <f t="shared" si="17"/>
        <v>0</v>
      </c>
      <c r="AR20" s="231">
        <f t="shared" si="10"/>
        <v>0</v>
      </c>
      <c r="AS20" s="233">
        <f t="shared" si="18"/>
        <v>0</v>
      </c>
      <c r="AT20" s="231">
        <f t="shared" si="11"/>
        <v>0</v>
      </c>
      <c r="AU20" s="233">
        <f t="shared" si="19"/>
        <v>0</v>
      </c>
      <c r="AW20" s="44">
        <f t="shared" si="12"/>
        <v>0</v>
      </c>
      <c r="AX20" s="44">
        <f t="shared" si="12"/>
        <v>0</v>
      </c>
      <c r="AY20" s="44">
        <f t="shared" si="12"/>
        <v>0</v>
      </c>
      <c r="AZ20" s="44">
        <f t="shared" si="12"/>
        <v>0</v>
      </c>
      <c r="BA20" s="44">
        <f t="shared" si="12"/>
        <v>0</v>
      </c>
      <c r="BB20" s="44">
        <f t="shared" si="12"/>
        <v>0</v>
      </c>
    </row>
    <row r="21" spans="2:57" x14ac:dyDescent="0.25">
      <c r="B21" s="62">
        <v>15</v>
      </c>
      <c r="C21" s="63"/>
      <c r="D21" s="64"/>
      <c r="E21" s="63"/>
      <c r="F21" s="65"/>
      <c r="G21" s="66">
        <v>0</v>
      </c>
      <c r="H21" s="67">
        <v>0</v>
      </c>
      <c r="I21" s="67">
        <f t="shared" si="0"/>
        <v>0</v>
      </c>
      <c r="J21" s="67">
        <f t="shared" si="1"/>
        <v>0</v>
      </c>
      <c r="K21" s="67">
        <f t="shared" si="2"/>
        <v>0</v>
      </c>
      <c r="L21" s="67">
        <f t="shared" si="28"/>
        <v>0</v>
      </c>
      <c r="M21" s="67">
        <f t="shared" si="28"/>
        <v>0</v>
      </c>
      <c r="N21" s="67">
        <f t="shared" si="28"/>
        <v>0</v>
      </c>
      <c r="O21" s="67">
        <f t="shared" si="28"/>
        <v>0</v>
      </c>
      <c r="P21" s="67">
        <f t="shared" si="28"/>
        <v>0</v>
      </c>
      <c r="Q21" s="67">
        <f t="shared" si="28"/>
        <v>0</v>
      </c>
      <c r="R21" s="67">
        <f t="shared" si="28"/>
        <v>0</v>
      </c>
      <c r="S21" s="67">
        <f t="shared" si="28"/>
        <v>0</v>
      </c>
      <c r="T21" s="67">
        <f t="shared" si="28"/>
        <v>0</v>
      </c>
      <c r="U21" s="67">
        <f t="shared" si="28"/>
        <v>0</v>
      </c>
      <c r="V21" s="67">
        <f t="shared" si="28"/>
        <v>0</v>
      </c>
      <c r="W21" s="67">
        <f t="shared" si="28"/>
        <v>0</v>
      </c>
      <c r="X21" s="67">
        <f t="shared" si="4"/>
        <v>0</v>
      </c>
      <c r="Y21" s="67">
        <f t="shared" ref="Y21:AI21" si="33">IF(OR(ISBLANK($G21),$G21=0),0,IF(AND($J21&gt;0,$F21=TEXT(Y$6,1)),$J21/$G21/12,IF(X21&gt;0,$J21/$G21/12,0)))</f>
        <v>0</v>
      </c>
      <c r="Z21" s="67">
        <f t="shared" si="33"/>
        <v>0</v>
      </c>
      <c r="AA21" s="67">
        <f t="shared" si="33"/>
        <v>0</v>
      </c>
      <c r="AB21" s="67">
        <f t="shared" si="33"/>
        <v>0</v>
      </c>
      <c r="AC21" s="67">
        <f t="shared" si="33"/>
        <v>0</v>
      </c>
      <c r="AD21" s="67">
        <f t="shared" si="33"/>
        <v>0</v>
      </c>
      <c r="AE21" s="67">
        <f t="shared" si="33"/>
        <v>0</v>
      </c>
      <c r="AF21" s="67">
        <f t="shared" si="33"/>
        <v>0</v>
      </c>
      <c r="AG21" s="67">
        <f t="shared" si="33"/>
        <v>0</v>
      </c>
      <c r="AH21" s="67">
        <f t="shared" si="33"/>
        <v>0</v>
      </c>
      <c r="AI21" s="67">
        <f t="shared" si="33"/>
        <v>0</v>
      </c>
      <c r="AJ21" s="231">
        <f t="shared" si="6"/>
        <v>0</v>
      </c>
      <c r="AK21" s="233">
        <f t="shared" si="14"/>
        <v>0</v>
      </c>
      <c r="AL21" s="231">
        <f t="shared" si="7"/>
        <v>0</v>
      </c>
      <c r="AM21" s="233">
        <f t="shared" si="15"/>
        <v>0</v>
      </c>
      <c r="AN21" s="231">
        <f t="shared" si="8"/>
        <v>0</v>
      </c>
      <c r="AO21" s="233">
        <f t="shared" si="16"/>
        <v>0</v>
      </c>
      <c r="AP21" s="231">
        <f t="shared" si="9"/>
        <v>0</v>
      </c>
      <c r="AQ21" s="233">
        <f t="shared" si="17"/>
        <v>0</v>
      </c>
      <c r="AR21" s="231">
        <f t="shared" si="10"/>
        <v>0</v>
      </c>
      <c r="AS21" s="233">
        <f t="shared" si="18"/>
        <v>0</v>
      </c>
      <c r="AT21" s="231">
        <f t="shared" si="11"/>
        <v>0</v>
      </c>
      <c r="AU21" s="233">
        <f t="shared" si="19"/>
        <v>0</v>
      </c>
      <c r="AW21" s="44">
        <f t="shared" si="12"/>
        <v>0</v>
      </c>
      <c r="AX21" s="44">
        <f t="shared" si="12"/>
        <v>0</v>
      </c>
      <c r="AY21" s="44">
        <f t="shared" si="12"/>
        <v>0</v>
      </c>
      <c r="AZ21" s="44">
        <f t="shared" si="12"/>
        <v>0</v>
      </c>
      <c r="BA21" s="44">
        <f t="shared" si="12"/>
        <v>0</v>
      </c>
      <c r="BB21" s="44">
        <f t="shared" si="12"/>
        <v>0</v>
      </c>
    </row>
    <row r="22" spans="2:57" x14ac:dyDescent="0.25">
      <c r="B22" s="62">
        <v>16</v>
      </c>
      <c r="C22" s="63"/>
      <c r="D22" s="64"/>
      <c r="E22" s="63"/>
      <c r="F22" s="65"/>
      <c r="G22" s="66">
        <v>0</v>
      </c>
      <c r="H22" s="67">
        <v>0</v>
      </c>
      <c r="I22" s="67">
        <f t="shared" si="0"/>
        <v>0</v>
      </c>
      <c r="J22" s="67">
        <f t="shared" si="1"/>
        <v>0</v>
      </c>
      <c r="K22" s="67">
        <f t="shared" si="2"/>
        <v>0</v>
      </c>
      <c r="L22" s="67">
        <f t="shared" si="28"/>
        <v>0</v>
      </c>
      <c r="M22" s="67">
        <f t="shared" si="28"/>
        <v>0</v>
      </c>
      <c r="N22" s="67">
        <f t="shared" si="28"/>
        <v>0</v>
      </c>
      <c r="O22" s="67">
        <f t="shared" si="28"/>
        <v>0</v>
      </c>
      <c r="P22" s="67">
        <f t="shared" si="28"/>
        <v>0</v>
      </c>
      <c r="Q22" s="67">
        <f t="shared" si="28"/>
        <v>0</v>
      </c>
      <c r="R22" s="67">
        <f t="shared" si="28"/>
        <v>0</v>
      </c>
      <c r="S22" s="67">
        <f t="shared" si="28"/>
        <v>0</v>
      </c>
      <c r="T22" s="67">
        <f t="shared" si="28"/>
        <v>0</v>
      </c>
      <c r="U22" s="67">
        <f t="shared" si="28"/>
        <v>0</v>
      </c>
      <c r="V22" s="67">
        <f t="shared" si="28"/>
        <v>0</v>
      </c>
      <c r="W22" s="67">
        <f t="shared" si="28"/>
        <v>0</v>
      </c>
      <c r="X22" s="67">
        <f t="shared" si="4"/>
        <v>0</v>
      </c>
      <c r="Y22" s="67">
        <f t="shared" ref="Y22:AI22" si="34">IF(OR(ISBLANK($G22),$G22=0),0,IF(AND($J22&gt;0,$F22=TEXT(Y$6,1)),$J22/$G22/12,IF(X22&gt;0,$J22/$G22/12,0)))</f>
        <v>0</v>
      </c>
      <c r="Z22" s="67">
        <f t="shared" si="34"/>
        <v>0</v>
      </c>
      <c r="AA22" s="67">
        <f t="shared" si="34"/>
        <v>0</v>
      </c>
      <c r="AB22" s="67">
        <f t="shared" si="34"/>
        <v>0</v>
      </c>
      <c r="AC22" s="67">
        <f t="shared" si="34"/>
        <v>0</v>
      </c>
      <c r="AD22" s="67">
        <f t="shared" si="34"/>
        <v>0</v>
      </c>
      <c r="AE22" s="67">
        <f t="shared" si="34"/>
        <v>0</v>
      </c>
      <c r="AF22" s="67">
        <f t="shared" si="34"/>
        <v>0</v>
      </c>
      <c r="AG22" s="67">
        <f t="shared" si="34"/>
        <v>0</v>
      </c>
      <c r="AH22" s="67">
        <f t="shared" si="34"/>
        <v>0</v>
      </c>
      <c r="AI22" s="67">
        <f t="shared" si="34"/>
        <v>0</v>
      </c>
      <c r="AJ22" s="231">
        <f t="shared" si="6"/>
        <v>0</v>
      </c>
      <c r="AK22" s="233">
        <f t="shared" si="14"/>
        <v>0</v>
      </c>
      <c r="AL22" s="231">
        <f t="shared" si="7"/>
        <v>0</v>
      </c>
      <c r="AM22" s="233">
        <f t="shared" si="15"/>
        <v>0</v>
      </c>
      <c r="AN22" s="231">
        <f t="shared" si="8"/>
        <v>0</v>
      </c>
      <c r="AO22" s="233">
        <f t="shared" si="16"/>
        <v>0</v>
      </c>
      <c r="AP22" s="231">
        <f t="shared" si="9"/>
        <v>0</v>
      </c>
      <c r="AQ22" s="233">
        <f t="shared" si="17"/>
        <v>0</v>
      </c>
      <c r="AR22" s="231">
        <f t="shared" si="10"/>
        <v>0</v>
      </c>
      <c r="AS22" s="233">
        <f t="shared" si="18"/>
        <v>0</v>
      </c>
      <c r="AT22" s="231">
        <f t="shared" si="11"/>
        <v>0</v>
      </c>
      <c r="AU22" s="233">
        <f t="shared" si="19"/>
        <v>0</v>
      </c>
      <c r="AW22" s="44">
        <f t="shared" si="12"/>
        <v>0</v>
      </c>
      <c r="AX22" s="44">
        <f t="shared" si="12"/>
        <v>0</v>
      </c>
      <c r="AY22" s="44">
        <f t="shared" si="12"/>
        <v>0</v>
      </c>
      <c r="AZ22" s="44">
        <f t="shared" si="12"/>
        <v>0</v>
      </c>
      <c r="BA22" s="44">
        <f t="shared" si="12"/>
        <v>0</v>
      </c>
      <c r="BB22" s="44">
        <f t="shared" si="12"/>
        <v>0</v>
      </c>
    </row>
    <row r="23" spans="2:57" x14ac:dyDescent="0.25">
      <c r="B23" s="62">
        <v>17</v>
      </c>
      <c r="C23" s="63"/>
      <c r="D23" s="64"/>
      <c r="E23" s="63"/>
      <c r="F23" s="65"/>
      <c r="G23" s="66">
        <v>0</v>
      </c>
      <c r="H23" s="67">
        <v>0</v>
      </c>
      <c r="I23" s="67">
        <f t="shared" si="0"/>
        <v>0</v>
      </c>
      <c r="J23" s="67">
        <f t="shared" si="1"/>
        <v>0</v>
      </c>
      <c r="K23" s="67">
        <f t="shared" si="2"/>
        <v>0</v>
      </c>
      <c r="L23" s="67">
        <f t="shared" si="28"/>
        <v>0</v>
      </c>
      <c r="M23" s="67">
        <f t="shared" si="28"/>
        <v>0</v>
      </c>
      <c r="N23" s="67">
        <f t="shared" si="28"/>
        <v>0</v>
      </c>
      <c r="O23" s="67">
        <f t="shared" si="28"/>
        <v>0</v>
      </c>
      <c r="P23" s="67">
        <f t="shared" si="28"/>
        <v>0</v>
      </c>
      <c r="Q23" s="67">
        <f t="shared" si="28"/>
        <v>0</v>
      </c>
      <c r="R23" s="67">
        <f t="shared" si="28"/>
        <v>0</v>
      </c>
      <c r="S23" s="67">
        <f t="shared" si="28"/>
        <v>0</v>
      </c>
      <c r="T23" s="67">
        <f t="shared" si="28"/>
        <v>0</v>
      </c>
      <c r="U23" s="67">
        <f t="shared" si="28"/>
        <v>0</v>
      </c>
      <c r="V23" s="67">
        <f t="shared" si="28"/>
        <v>0</v>
      </c>
      <c r="W23" s="67">
        <f t="shared" si="28"/>
        <v>0</v>
      </c>
      <c r="X23" s="67">
        <f t="shared" si="4"/>
        <v>0</v>
      </c>
      <c r="Y23" s="67">
        <f t="shared" ref="Y23:AI23" si="35">IF(OR(ISBLANK($G23),$G23=0),0,IF(AND($J23&gt;0,$F23=TEXT(Y$6,1)),$J23/$G23/12,IF(X23&gt;0,$J23/$G23/12,0)))</f>
        <v>0</v>
      </c>
      <c r="Z23" s="67">
        <f t="shared" si="35"/>
        <v>0</v>
      </c>
      <c r="AA23" s="67">
        <f t="shared" si="35"/>
        <v>0</v>
      </c>
      <c r="AB23" s="67">
        <f t="shared" si="35"/>
        <v>0</v>
      </c>
      <c r="AC23" s="67">
        <f t="shared" si="35"/>
        <v>0</v>
      </c>
      <c r="AD23" s="67">
        <f t="shared" si="35"/>
        <v>0</v>
      </c>
      <c r="AE23" s="67">
        <f t="shared" si="35"/>
        <v>0</v>
      </c>
      <c r="AF23" s="67">
        <f t="shared" si="35"/>
        <v>0</v>
      </c>
      <c r="AG23" s="67">
        <f t="shared" si="35"/>
        <v>0</v>
      </c>
      <c r="AH23" s="67">
        <f t="shared" si="35"/>
        <v>0</v>
      </c>
      <c r="AI23" s="67">
        <f t="shared" si="35"/>
        <v>0</v>
      </c>
      <c r="AJ23" s="231">
        <f t="shared" si="6"/>
        <v>0</v>
      </c>
      <c r="AK23" s="233">
        <f t="shared" si="14"/>
        <v>0</v>
      </c>
      <c r="AL23" s="231">
        <f t="shared" si="7"/>
        <v>0</v>
      </c>
      <c r="AM23" s="233">
        <f t="shared" si="15"/>
        <v>0</v>
      </c>
      <c r="AN23" s="231">
        <f t="shared" si="8"/>
        <v>0</v>
      </c>
      <c r="AO23" s="233">
        <f t="shared" si="16"/>
        <v>0</v>
      </c>
      <c r="AP23" s="231">
        <f t="shared" si="9"/>
        <v>0</v>
      </c>
      <c r="AQ23" s="233">
        <f t="shared" si="17"/>
        <v>0</v>
      </c>
      <c r="AR23" s="231">
        <f t="shared" si="10"/>
        <v>0</v>
      </c>
      <c r="AS23" s="233">
        <f t="shared" si="18"/>
        <v>0</v>
      </c>
      <c r="AT23" s="231">
        <f t="shared" si="11"/>
        <v>0</v>
      </c>
      <c r="AU23" s="233">
        <f t="shared" si="19"/>
        <v>0</v>
      </c>
      <c r="AW23" s="44">
        <f t="shared" ref="AW23:BB31" si="36">IF($E23=AW$5,$D23,0)</f>
        <v>0</v>
      </c>
      <c r="AX23" s="44">
        <f t="shared" si="36"/>
        <v>0</v>
      </c>
      <c r="AY23" s="44">
        <f t="shared" si="36"/>
        <v>0</v>
      </c>
      <c r="AZ23" s="44">
        <f t="shared" si="36"/>
        <v>0</v>
      </c>
      <c r="BA23" s="44">
        <f t="shared" si="36"/>
        <v>0</v>
      </c>
      <c r="BB23" s="44">
        <f t="shared" si="36"/>
        <v>0</v>
      </c>
    </row>
    <row r="24" spans="2:57" x14ac:dyDescent="0.25">
      <c r="B24" s="62">
        <v>18</v>
      </c>
      <c r="C24" s="63"/>
      <c r="D24" s="64"/>
      <c r="E24" s="63"/>
      <c r="F24" s="65"/>
      <c r="G24" s="66">
        <v>0</v>
      </c>
      <c r="H24" s="67">
        <v>0</v>
      </c>
      <c r="I24" s="67">
        <f t="shared" si="0"/>
        <v>0</v>
      </c>
      <c r="J24" s="67">
        <f t="shared" si="1"/>
        <v>0</v>
      </c>
      <c r="K24" s="67">
        <f t="shared" si="2"/>
        <v>0</v>
      </c>
      <c r="L24" s="67">
        <f t="shared" si="28"/>
        <v>0</v>
      </c>
      <c r="M24" s="67">
        <f t="shared" si="28"/>
        <v>0</v>
      </c>
      <c r="N24" s="67">
        <f t="shared" si="28"/>
        <v>0</v>
      </c>
      <c r="O24" s="67">
        <f t="shared" si="28"/>
        <v>0</v>
      </c>
      <c r="P24" s="67">
        <f t="shared" si="28"/>
        <v>0</v>
      </c>
      <c r="Q24" s="67">
        <f t="shared" si="28"/>
        <v>0</v>
      </c>
      <c r="R24" s="67">
        <f t="shared" si="28"/>
        <v>0</v>
      </c>
      <c r="S24" s="67">
        <f t="shared" si="28"/>
        <v>0</v>
      </c>
      <c r="T24" s="67">
        <f t="shared" si="28"/>
        <v>0</v>
      </c>
      <c r="U24" s="67">
        <f t="shared" si="28"/>
        <v>0</v>
      </c>
      <c r="V24" s="67">
        <f t="shared" si="28"/>
        <v>0</v>
      </c>
      <c r="W24" s="67">
        <f t="shared" si="28"/>
        <v>0</v>
      </c>
      <c r="X24" s="67">
        <f t="shared" si="4"/>
        <v>0</v>
      </c>
      <c r="Y24" s="67">
        <f t="shared" ref="Y24:AI24" si="37">IF(OR(ISBLANK($G24),$G24=0),0,IF(AND($J24&gt;0,$F24=TEXT(Y$6,1)),$J24/$G24/12,IF(X24&gt;0,$J24/$G24/12,0)))</f>
        <v>0</v>
      </c>
      <c r="Z24" s="67">
        <f t="shared" si="37"/>
        <v>0</v>
      </c>
      <c r="AA24" s="67">
        <f t="shared" si="37"/>
        <v>0</v>
      </c>
      <c r="AB24" s="67">
        <f t="shared" si="37"/>
        <v>0</v>
      </c>
      <c r="AC24" s="67">
        <f t="shared" si="37"/>
        <v>0</v>
      </c>
      <c r="AD24" s="67">
        <f t="shared" si="37"/>
        <v>0</v>
      </c>
      <c r="AE24" s="67">
        <f t="shared" si="37"/>
        <v>0</v>
      </c>
      <c r="AF24" s="67">
        <f t="shared" si="37"/>
        <v>0</v>
      </c>
      <c r="AG24" s="67">
        <f t="shared" si="37"/>
        <v>0</v>
      </c>
      <c r="AH24" s="67">
        <f t="shared" si="37"/>
        <v>0</v>
      </c>
      <c r="AI24" s="67">
        <f t="shared" si="37"/>
        <v>0</v>
      </c>
      <c r="AJ24" s="231">
        <f t="shared" si="6"/>
        <v>0</v>
      </c>
      <c r="AK24" s="233">
        <f t="shared" si="14"/>
        <v>0</v>
      </c>
      <c r="AL24" s="231">
        <f t="shared" si="7"/>
        <v>0</v>
      </c>
      <c r="AM24" s="233">
        <f t="shared" si="15"/>
        <v>0</v>
      </c>
      <c r="AN24" s="231">
        <f t="shared" si="8"/>
        <v>0</v>
      </c>
      <c r="AO24" s="233">
        <f t="shared" si="16"/>
        <v>0</v>
      </c>
      <c r="AP24" s="231">
        <f t="shared" si="9"/>
        <v>0</v>
      </c>
      <c r="AQ24" s="233">
        <f t="shared" si="17"/>
        <v>0</v>
      </c>
      <c r="AR24" s="231">
        <f t="shared" si="10"/>
        <v>0</v>
      </c>
      <c r="AS24" s="233">
        <f t="shared" si="18"/>
        <v>0</v>
      </c>
      <c r="AT24" s="231">
        <f t="shared" si="11"/>
        <v>0</v>
      </c>
      <c r="AU24" s="233">
        <f t="shared" si="19"/>
        <v>0</v>
      </c>
      <c r="AW24" s="44">
        <f t="shared" si="36"/>
        <v>0</v>
      </c>
      <c r="AX24" s="44">
        <f t="shared" si="36"/>
        <v>0</v>
      </c>
      <c r="AY24" s="44">
        <f t="shared" si="36"/>
        <v>0</v>
      </c>
      <c r="AZ24" s="44">
        <f t="shared" si="36"/>
        <v>0</v>
      </c>
      <c r="BA24" s="44">
        <f t="shared" si="36"/>
        <v>0</v>
      </c>
      <c r="BB24" s="44">
        <f t="shared" si="36"/>
        <v>0</v>
      </c>
    </row>
    <row r="25" spans="2:57" x14ac:dyDescent="0.25">
      <c r="B25" s="62">
        <v>19</v>
      </c>
      <c r="C25" s="63"/>
      <c r="D25" s="64"/>
      <c r="E25" s="63"/>
      <c r="F25" s="65"/>
      <c r="G25" s="66">
        <v>0</v>
      </c>
      <c r="H25" s="67">
        <v>0</v>
      </c>
      <c r="I25" s="67">
        <f t="shared" si="0"/>
        <v>0</v>
      </c>
      <c r="J25" s="67">
        <f t="shared" si="1"/>
        <v>0</v>
      </c>
      <c r="K25" s="67">
        <f t="shared" si="2"/>
        <v>0</v>
      </c>
      <c r="L25" s="67">
        <f t="shared" si="28"/>
        <v>0</v>
      </c>
      <c r="M25" s="67">
        <f t="shared" si="28"/>
        <v>0</v>
      </c>
      <c r="N25" s="67">
        <f t="shared" si="28"/>
        <v>0</v>
      </c>
      <c r="O25" s="67">
        <f t="shared" si="28"/>
        <v>0</v>
      </c>
      <c r="P25" s="67">
        <f t="shared" si="28"/>
        <v>0</v>
      </c>
      <c r="Q25" s="67">
        <f t="shared" si="28"/>
        <v>0</v>
      </c>
      <c r="R25" s="67">
        <f t="shared" si="28"/>
        <v>0</v>
      </c>
      <c r="S25" s="67">
        <f t="shared" si="28"/>
        <v>0</v>
      </c>
      <c r="T25" s="67">
        <f t="shared" si="28"/>
        <v>0</v>
      </c>
      <c r="U25" s="67">
        <f t="shared" si="28"/>
        <v>0</v>
      </c>
      <c r="V25" s="67">
        <f t="shared" si="28"/>
        <v>0</v>
      </c>
      <c r="W25" s="67">
        <f t="shared" si="28"/>
        <v>0</v>
      </c>
      <c r="X25" s="67">
        <f t="shared" si="4"/>
        <v>0</v>
      </c>
      <c r="Y25" s="67">
        <f t="shared" ref="Y25:AI25" si="38">IF(OR(ISBLANK($G25),$G25=0),0,IF(AND($J25&gt;0,$F25=TEXT(Y$6,1)),$J25/$G25/12,IF(X25&gt;0,$J25/$G25/12,0)))</f>
        <v>0</v>
      </c>
      <c r="Z25" s="67">
        <f t="shared" si="38"/>
        <v>0</v>
      </c>
      <c r="AA25" s="67">
        <f t="shared" si="38"/>
        <v>0</v>
      </c>
      <c r="AB25" s="67">
        <f t="shared" si="38"/>
        <v>0</v>
      </c>
      <c r="AC25" s="67">
        <f t="shared" si="38"/>
        <v>0</v>
      </c>
      <c r="AD25" s="67">
        <f t="shared" si="38"/>
        <v>0</v>
      </c>
      <c r="AE25" s="67">
        <f t="shared" si="38"/>
        <v>0</v>
      </c>
      <c r="AF25" s="67">
        <f t="shared" si="38"/>
        <v>0</v>
      </c>
      <c r="AG25" s="67">
        <f t="shared" si="38"/>
        <v>0</v>
      </c>
      <c r="AH25" s="67">
        <f t="shared" si="38"/>
        <v>0</v>
      </c>
      <c r="AI25" s="67">
        <f t="shared" si="38"/>
        <v>0</v>
      </c>
      <c r="AJ25" s="231">
        <f t="shared" si="6"/>
        <v>0</v>
      </c>
      <c r="AK25" s="233">
        <f t="shared" si="14"/>
        <v>0</v>
      </c>
      <c r="AL25" s="231">
        <f t="shared" si="7"/>
        <v>0</v>
      </c>
      <c r="AM25" s="233">
        <f t="shared" si="15"/>
        <v>0</v>
      </c>
      <c r="AN25" s="231">
        <f t="shared" si="8"/>
        <v>0</v>
      </c>
      <c r="AO25" s="233">
        <f t="shared" si="16"/>
        <v>0</v>
      </c>
      <c r="AP25" s="231">
        <f t="shared" si="9"/>
        <v>0</v>
      </c>
      <c r="AQ25" s="233">
        <f t="shared" si="17"/>
        <v>0</v>
      </c>
      <c r="AR25" s="231">
        <f t="shared" si="10"/>
        <v>0</v>
      </c>
      <c r="AS25" s="233">
        <f t="shared" si="18"/>
        <v>0</v>
      </c>
      <c r="AT25" s="231">
        <f t="shared" si="11"/>
        <v>0</v>
      </c>
      <c r="AU25" s="233">
        <f t="shared" si="19"/>
        <v>0</v>
      </c>
      <c r="AW25" s="44">
        <f t="shared" si="36"/>
        <v>0</v>
      </c>
      <c r="AX25" s="44">
        <f t="shared" si="36"/>
        <v>0</v>
      </c>
      <c r="AY25" s="44">
        <f t="shared" si="36"/>
        <v>0</v>
      </c>
      <c r="AZ25" s="44">
        <f t="shared" si="36"/>
        <v>0</v>
      </c>
      <c r="BA25" s="44">
        <f t="shared" si="36"/>
        <v>0</v>
      </c>
      <c r="BB25" s="44">
        <f t="shared" si="36"/>
        <v>0</v>
      </c>
    </row>
    <row r="26" spans="2:57" x14ac:dyDescent="0.25">
      <c r="B26" s="62">
        <v>20</v>
      </c>
      <c r="C26" s="63"/>
      <c r="D26" s="64"/>
      <c r="E26" s="63"/>
      <c r="F26" s="65"/>
      <c r="G26" s="66">
        <v>0</v>
      </c>
      <c r="H26" s="67">
        <v>0</v>
      </c>
      <c r="I26" s="67">
        <f t="shared" si="0"/>
        <v>0</v>
      </c>
      <c r="J26" s="67">
        <f t="shared" si="1"/>
        <v>0</v>
      </c>
      <c r="K26" s="67">
        <f t="shared" si="2"/>
        <v>0</v>
      </c>
      <c r="L26" s="67">
        <f t="shared" si="28"/>
        <v>0</v>
      </c>
      <c r="M26" s="67">
        <f t="shared" si="28"/>
        <v>0</v>
      </c>
      <c r="N26" s="67">
        <f t="shared" si="28"/>
        <v>0</v>
      </c>
      <c r="O26" s="67">
        <f t="shared" si="28"/>
        <v>0</v>
      </c>
      <c r="P26" s="67">
        <f t="shared" si="28"/>
        <v>0</v>
      </c>
      <c r="Q26" s="67">
        <f t="shared" si="28"/>
        <v>0</v>
      </c>
      <c r="R26" s="67">
        <f t="shared" si="28"/>
        <v>0</v>
      </c>
      <c r="S26" s="67">
        <f t="shared" si="28"/>
        <v>0</v>
      </c>
      <c r="T26" s="67">
        <f t="shared" si="28"/>
        <v>0</v>
      </c>
      <c r="U26" s="67">
        <f t="shared" si="28"/>
        <v>0</v>
      </c>
      <c r="V26" s="67">
        <f t="shared" si="28"/>
        <v>0</v>
      </c>
      <c r="W26" s="67">
        <f t="shared" si="28"/>
        <v>0</v>
      </c>
      <c r="X26" s="67">
        <f t="shared" si="4"/>
        <v>0</v>
      </c>
      <c r="Y26" s="67">
        <f t="shared" ref="Y26:AI26" si="39">IF(OR(ISBLANK($G26),$G26=0),0,IF(AND($J26&gt;0,$F26=TEXT(Y$6,1)),$J26/$G26/12,IF(X26&gt;0,$J26/$G26/12,0)))</f>
        <v>0</v>
      </c>
      <c r="Z26" s="67">
        <f t="shared" si="39"/>
        <v>0</v>
      </c>
      <c r="AA26" s="67">
        <f t="shared" si="39"/>
        <v>0</v>
      </c>
      <c r="AB26" s="67">
        <f t="shared" si="39"/>
        <v>0</v>
      </c>
      <c r="AC26" s="67">
        <f t="shared" si="39"/>
        <v>0</v>
      </c>
      <c r="AD26" s="67">
        <f t="shared" si="39"/>
        <v>0</v>
      </c>
      <c r="AE26" s="67">
        <f t="shared" si="39"/>
        <v>0</v>
      </c>
      <c r="AF26" s="67">
        <f t="shared" si="39"/>
        <v>0</v>
      </c>
      <c r="AG26" s="67">
        <f t="shared" si="39"/>
        <v>0</v>
      </c>
      <c r="AH26" s="67">
        <f t="shared" si="39"/>
        <v>0</v>
      </c>
      <c r="AI26" s="67">
        <f t="shared" si="39"/>
        <v>0</v>
      </c>
      <c r="AJ26" s="231">
        <f t="shared" si="6"/>
        <v>0</v>
      </c>
      <c r="AK26" s="233">
        <f t="shared" si="14"/>
        <v>0</v>
      </c>
      <c r="AL26" s="231">
        <f t="shared" si="7"/>
        <v>0</v>
      </c>
      <c r="AM26" s="233">
        <f t="shared" si="15"/>
        <v>0</v>
      </c>
      <c r="AN26" s="231">
        <f t="shared" si="8"/>
        <v>0</v>
      </c>
      <c r="AO26" s="233">
        <f t="shared" si="16"/>
        <v>0</v>
      </c>
      <c r="AP26" s="231">
        <f t="shared" si="9"/>
        <v>0</v>
      </c>
      <c r="AQ26" s="233">
        <f t="shared" si="17"/>
        <v>0</v>
      </c>
      <c r="AR26" s="231">
        <f t="shared" si="10"/>
        <v>0</v>
      </c>
      <c r="AS26" s="233">
        <f t="shared" si="18"/>
        <v>0</v>
      </c>
      <c r="AT26" s="231">
        <f t="shared" si="11"/>
        <v>0</v>
      </c>
      <c r="AU26" s="233">
        <f t="shared" si="19"/>
        <v>0</v>
      </c>
      <c r="AW26" s="44">
        <f t="shared" si="36"/>
        <v>0</v>
      </c>
      <c r="AX26" s="44">
        <f t="shared" si="36"/>
        <v>0</v>
      </c>
      <c r="AY26" s="44">
        <f t="shared" si="36"/>
        <v>0</v>
      </c>
      <c r="AZ26" s="44">
        <f t="shared" si="36"/>
        <v>0</v>
      </c>
      <c r="BA26" s="44">
        <f t="shared" si="36"/>
        <v>0</v>
      </c>
      <c r="BB26" s="44">
        <f t="shared" si="36"/>
        <v>0</v>
      </c>
    </row>
    <row r="27" spans="2:57" x14ac:dyDescent="0.25">
      <c r="B27" s="62">
        <v>21</v>
      </c>
      <c r="C27" s="63"/>
      <c r="D27" s="64"/>
      <c r="E27" s="63"/>
      <c r="F27" s="65"/>
      <c r="G27" s="66">
        <v>0</v>
      </c>
      <c r="H27" s="67">
        <v>0</v>
      </c>
      <c r="I27" s="67">
        <f t="shared" si="0"/>
        <v>0</v>
      </c>
      <c r="J27" s="67">
        <f t="shared" si="1"/>
        <v>0</v>
      </c>
      <c r="K27" s="67">
        <f t="shared" si="2"/>
        <v>0</v>
      </c>
      <c r="L27" s="67">
        <f t="shared" si="28"/>
        <v>0</v>
      </c>
      <c r="M27" s="67">
        <f t="shared" si="28"/>
        <v>0</v>
      </c>
      <c r="N27" s="67">
        <f t="shared" si="28"/>
        <v>0</v>
      </c>
      <c r="O27" s="67">
        <f t="shared" si="28"/>
        <v>0</v>
      </c>
      <c r="P27" s="67">
        <f t="shared" si="28"/>
        <v>0</v>
      </c>
      <c r="Q27" s="67">
        <f t="shared" si="28"/>
        <v>0</v>
      </c>
      <c r="R27" s="67">
        <f t="shared" si="28"/>
        <v>0</v>
      </c>
      <c r="S27" s="67">
        <f t="shared" si="28"/>
        <v>0</v>
      </c>
      <c r="T27" s="67">
        <f t="shared" si="28"/>
        <v>0</v>
      </c>
      <c r="U27" s="67">
        <f t="shared" si="28"/>
        <v>0</v>
      </c>
      <c r="V27" s="67">
        <f t="shared" si="28"/>
        <v>0</v>
      </c>
      <c r="W27" s="67">
        <f t="shared" si="28"/>
        <v>0</v>
      </c>
      <c r="X27" s="67">
        <f t="shared" si="4"/>
        <v>0</v>
      </c>
      <c r="Y27" s="67">
        <f t="shared" ref="Y27:AI27" si="40">IF(OR(ISBLANK($G27),$G27=0),0,IF(AND($J27&gt;0,$F27=TEXT(Y$6,1)),$J27/$G27/12,IF(X27&gt;0,$J27/$G27/12,0)))</f>
        <v>0</v>
      </c>
      <c r="Z27" s="67">
        <f t="shared" si="40"/>
        <v>0</v>
      </c>
      <c r="AA27" s="67">
        <f t="shared" si="40"/>
        <v>0</v>
      </c>
      <c r="AB27" s="67">
        <f t="shared" si="40"/>
        <v>0</v>
      </c>
      <c r="AC27" s="67">
        <f t="shared" si="40"/>
        <v>0</v>
      </c>
      <c r="AD27" s="67">
        <f t="shared" si="40"/>
        <v>0</v>
      </c>
      <c r="AE27" s="67">
        <f t="shared" si="40"/>
        <v>0</v>
      </c>
      <c r="AF27" s="67">
        <f t="shared" si="40"/>
        <v>0</v>
      </c>
      <c r="AG27" s="67">
        <f t="shared" si="40"/>
        <v>0</v>
      </c>
      <c r="AH27" s="67">
        <f t="shared" si="40"/>
        <v>0</v>
      </c>
      <c r="AI27" s="67">
        <f t="shared" si="40"/>
        <v>0</v>
      </c>
      <c r="AJ27" s="231">
        <f t="shared" si="6"/>
        <v>0</v>
      </c>
      <c r="AK27" s="233">
        <f t="shared" si="14"/>
        <v>0</v>
      </c>
      <c r="AL27" s="231">
        <f t="shared" si="7"/>
        <v>0</v>
      </c>
      <c r="AM27" s="233">
        <f t="shared" si="15"/>
        <v>0</v>
      </c>
      <c r="AN27" s="231">
        <f t="shared" si="8"/>
        <v>0</v>
      </c>
      <c r="AO27" s="233">
        <f t="shared" si="16"/>
        <v>0</v>
      </c>
      <c r="AP27" s="231">
        <f t="shared" si="9"/>
        <v>0</v>
      </c>
      <c r="AQ27" s="233">
        <f t="shared" si="17"/>
        <v>0</v>
      </c>
      <c r="AR27" s="231">
        <f t="shared" si="10"/>
        <v>0</v>
      </c>
      <c r="AS27" s="233">
        <f t="shared" si="18"/>
        <v>0</v>
      </c>
      <c r="AT27" s="231">
        <f t="shared" si="11"/>
        <v>0</v>
      </c>
      <c r="AU27" s="233">
        <f t="shared" si="19"/>
        <v>0</v>
      </c>
      <c r="AW27" s="44">
        <f t="shared" si="36"/>
        <v>0</v>
      </c>
      <c r="AX27" s="44">
        <f t="shared" si="36"/>
        <v>0</v>
      </c>
      <c r="AY27" s="44">
        <f t="shared" si="36"/>
        <v>0</v>
      </c>
      <c r="AZ27" s="44">
        <f t="shared" si="36"/>
        <v>0</v>
      </c>
      <c r="BA27" s="44">
        <f t="shared" si="36"/>
        <v>0</v>
      </c>
      <c r="BB27" s="44">
        <f t="shared" si="36"/>
        <v>0</v>
      </c>
    </row>
    <row r="28" spans="2:57" x14ac:dyDescent="0.25">
      <c r="B28" s="62">
        <v>22</v>
      </c>
      <c r="C28" s="63"/>
      <c r="D28" s="64"/>
      <c r="E28" s="63"/>
      <c r="F28" s="65"/>
      <c r="G28" s="66">
        <v>0</v>
      </c>
      <c r="H28" s="67">
        <v>0</v>
      </c>
      <c r="I28" s="67">
        <f t="shared" si="0"/>
        <v>0</v>
      </c>
      <c r="J28" s="67">
        <f t="shared" si="1"/>
        <v>0</v>
      </c>
      <c r="K28" s="67">
        <f t="shared" si="2"/>
        <v>0</v>
      </c>
      <c r="L28" s="67">
        <f t="shared" si="28"/>
        <v>0</v>
      </c>
      <c r="M28" s="67">
        <f t="shared" si="28"/>
        <v>0</v>
      </c>
      <c r="N28" s="67">
        <f t="shared" si="28"/>
        <v>0</v>
      </c>
      <c r="O28" s="67">
        <f t="shared" si="28"/>
        <v>0</v>
      </c>
      <c r="P28" s="67">
        <f t="shared" si="28"/>
        <v>0</v>
      </c>
      <c r="Q28" s="67">
        <f t="shared" si="28"/>
        <v>0</v>
      </c>
      <c r="R28" s="67">
        <f t="shared" si="28"/>
        <v>0</v>
      </c>
      <c r="S28" s="67">
        <f t="shared" si="28"/>
        <v>0</v>
      </c>
      <c r="T28" s="67">
        <f t="shared" si="28"/>
        <v>0</v>
      </c>
      <c r="U28" s="67">
        <f t="shared" si="28"/>
        <v>0</v>
      </c>
      <c r="V28" s="67">
        <f t="shared" si="28"/>
        <v>0</v>
      </c>
      <c r="W28" s="67">
        <f t="shared" si="28"/>
        <v>0</v>
      </c>
      <c r="X28" s="67">
        <f t="shared" si="4"/>
        <v>0</v>
      </c>
      <c r="Y28" s="67">
        <f t="shared" ref="Y28:AI28" si="41">IF(OR(ISBLANK($G28),$G28=0),0,IF(AND($J28&gt;0,$F28=TEXT(Y$6,1)),$J28/$G28/12,IF(X28&gt;0,$J28/$G28/12,0)))</f>
        <v>0</v>
      </c>
      <c r="Z28" s="67">
        <f t="shared" si="41"/>
        <v>0</v>
      </c>
      <c r="AA28" s="67">
        <f t="shared" si="41"/>
        <v>0</v>
      </c>
      <c r="AB28" s="67">
        <f t="shared" si="41"/>
        <v>0</v>
      </c>
      <c r="AC28" s="67">
        <f t="shared" si="41"/>
        <v>0</v>
      </c>
      <c r="AD28" s="67">
        <f t="shared" si="41"/>
        <v>0</v>
      </c>
      <c r="AE28" s="67">
        <f t="shared" si="41"/>
        <v>0</v>
      </c>
      <c r="AF28" s="67">
        <f t="shared" si="41"/>
        <v>0</v>
      </c>
      <c r="AG28" s="67">
        <f t="shared" si="41"/>
        <v>0</v>
      </c>
      <c r="AH28" s="67">
        <f t="shared" si="41"/>
        <v>0</v>
      </c>
      <c r="AI28" s="67">
        <f t="shared" si="41"/>
        <v>0</v>
      </c>
      <c r="AJ28" s="231">
        <f t="shared" si="6"/>
        <v>0</v>
      </c>
      <c r="AK28" s="233">
        <f t="shared" si="14"/>
        <v>0</v>
      </c>
      <c r="AL28" s="231">
        <f t="shared" si="7"/>
        <v>0</v>
      </c>
      <c r="AM28" s="233">
        <f t="shared" si="15"/>
        <v>0</v>
      </c>
      <c r="AN28" s="231">
        <f t="shared" si="8"/>
        <v>0</v>
      </c>
      <c r="AO28" s="233">
        <f t="shared" si="16"/>
        <v>0</v>
      </c>
      <c r="AP28" s="231">
        <f t="shared" si="9"/>
        <v>0</v>
      </c>
      <c r="AQ28" s="233">
        <f t="shared" si="17"/>
        <v>0</v>
      </c>
      <c r="AR28" s="231">
        <f t="shared" si="10"/>
        <v>0</v>
      </c>
      <c r="AS28" s="233">
        <f t="shared" si="18"/>
        <v>0</v>
      </c>
      <c r="AT28" s="231">
        <f t="shared" si="11"/>
        <v>0</v>
      </c>
      <c r="AU28" s="233">
        <f t="shared" si="19"/>
        <v>0</v>
      </c>
      <c r="AW28" s="44">
        <f t="shared" si="36"/>
        <v>0</v>
      </c>
      <c r="AX28" s="44">
        <f t="shared" si="36"/>
        <v>0</v>
      </c>
      <c r="AY28" s="44">
        <f t="shared" si="36"/>
        <v>0</v>
      </c>
      <c r="AZ28" s="44">
        <f t="shared" si="36"/>
        <v>0</v>
      </c>
      <c r="BA28" s="44">
        <f t="shared" si="36"/>
        <v>0</v>
      </c>
      <c r="BB28" s="44">
        <f t="shared" si="36"/>
        <v>0</v>
      </c>
    </row>
    <row r="29" spans="2:57" x14ac:dyDescent="0.25">
      <c r="B29" s="62">
        <v>23</v>
      </c>
      <c r="C29" s="63"/>
      <c r="D29" s="64"/>
      <c r="E29" s="63"/>
      <c r="F29" s="65"/>
      <c r="G29" s="66">
        <v>0</v>
      </c>
      <c r="H29" s="67">
        <v>0</v>
      </c>
      <c r="I29" s="67">
        <f t="shared" si="0"/>
        <v>0</v>
      </c>
      <c r="J29" s="67">
        <f t="shared" si="1"/>
        <v>0</v>
      </c>
      <c r="K29" s="67">
        <f t="shared" si="2"/>
        <v>0</v>
      </c>
      <c r="L29" s="67">
        <f t="shared" si="28"/>
        <v>0</v>
      </c>
      <c r="M29" s="67">
        <f t="shared" si="28"/>
        <v>0</v>
      </c>
      <c r="N29" s="67">
        <f t="shared" si="28"/>
        <v>0</v>
      </c>
      <c r="O29" s="67">
        <f t="shared" si="28"/>
        <v>0</v>
      </c>
      <c r="P29" s="67">
        <f t="shared" si="28"/>
        <v>0</v>
      </c>
      <c r="Q29" s="67">
        <f t="shared" si="28"/>
        <v>0</v>
      </c>
      <c r="R29" s="67">
        <f t="shared" si="28"/>
        <v>0</v>
      </c>
      <c r="S29" s="67">
        <f t="shared" si="28"/>
        <v>0</v>
      </c>
      <c r="T29" s="67">
        <f t="shared" si="28"/>
        <v>0</v>
      </c>
      <c r="U29" s="67">
        <f t="shared" si="28"/>
        <v>0</v>
      </c>
      <c r="V29" s="67">
        <f t="shared" si="28"/>
        <v>0</v>
      </c>
      <c r="W29" s="67">
        <f t="shared" si="28"/>
        <v>0</v>
      </c>
      <c r="X29" s="67">
        <f t="shared" si="4"/>
        <v>0</v>
      </c>
      <c r="Y29" s="67">
        <f t="shared" ref="Y29:AI29" si="42">IF(OR(ISBLANK($G29),$G29=0),0,IF(AND($J29&gt;0,$F29=TEXT(Y$6,1)),$J29/$G29/12,IF(X29&gt;0,$J29/$G29/12,0)))</f>
        <v>0</v>
      </c>
      <c r="Z29" s="67">
        <f t="shared" si="42"/>
        <v>0</v>
      </c>
      <c r="AA29" s="67">
        <f t="shared" si="42"/>
        <v>0</v>
      </c>
      <c r="AB29" s="67">
        <f t="shared" si="42"/>
        <v>0</v>
      </c>
      <c r="AC29" s="67">
        <f t="shared" si="42"/>
        <v>0</v>
      </c>
      <c r="AD29" s="67">
        <f t="shared" si="42"/>
        <v>0</v>
      </c>
      <c r="AE29" s="67">
        <f t="shared" si="42"/>
        <v>0</v>
      </c>
      <c r="AF29" s="67">
        <f t="shared" si="42"/>
        <v>0</v>
      </c>
      <c r="AG29" s="67">
        <f t="shared" si="42"/>
        <v>0</v>
      </c>
      <c r="AH29" s="67">
        <f t="shared" si="42"/>
        <v>0</v>
      </c>
      <c r="AI29" s="67">
        <f t="shared" si="42"/>
        <v>0</v>
      </c>
      <c r="AJ29" s="231">
        <f t="shared" si="6"/>
        <v>0</v>
      </c>
      <c r="AK29" s="233">
        <f t="shared" si="14"/>
        <v>0</v>
      </c>
      <c r="AL29" s="231">
        <f t="shared" si="7"/>
        <v>0</v>
      </c>
      <c r="AM29" s="233">
        <f t="shared" si="15"/>
        <v>0</v>
      </c>
      <c r="AN29" s="231">
        <f t="shared" si="8"/>
        <v>0</v>
      </c>
      <c r="AO29" s="233">
        <f t="shared" si="16"/>
        <v>0</v>
      </c>
      <c r="AP29" s="231">
        <f t="shared" si="9"/>
        <v>0</v>
      </c>
      <c r="AQ29" s="233">
        <f t="shared" si="17"/>
        <v>0</v>
      </c>
      <c r="AR29" s="231">
        <f t="shared" si="10"/>
        <v>0</v>
      </c>
      <c r="AS29" s="233">
        <f t="shared" si="18"/>
        <v>0</v>
      </c>
      <c r="AT29" s="231">
        <f t="shared" si="11"/>
        <v>0</v>
      </c>
      <c r="AU29" s="233">
        <f t="shared" si="19"/>
        <v>0</v>
      </c>
      <c r="AW29" s="44">
        <f t="shared" si="36"/>
        <v>0</v>
      </c>
      <c r="AX29" s="44">
        <f t="shared" si="36"/>
        <v>0</v>
      </c>
      <c r="AY29" s="44">
        <f t="shared" si="36"/>
        <v>0</v>
      </c>
      <c r="AZ29" s="44">
        <f t="shared" si="36"/>
        <v>0</v>
      </c>
      <c r="BA29" s="44">
        <f t="shared" si="36"/>
        <v>0</v>
      </c>
      <c r="BB29" s="44">
        <f t="shared" si="36"/>
        <v>0</v>
      </c>
    </row>
    <row r="30" spans="2:57" x14ac:dyDescent="0.25">
      <c r="B30" s="62">
        <v>24</v>
      </c>
      <c r="C30" s="63"/>
      <c r="D30" s="64"/>
      <c r="E30" s="63"/>
      <c r="F30" s="65"/>
      <c r="G30" s="66">
        <v>0</v>
      </c>
      <c r="H30" s="67">
        <v>0</v>
      </c>
      <c r="I30" s="67">
        <f t="shared" si="0"/>
        <v>0</v>
      </c>
      <c r="J30" s="67">
        <f t="shared" si="1"/>
        <v>0</v>
      </c>
      <c r="K30" s="67">
        <f t="shared" si="2"/>
        <v>0</v>
      </c>
      <c r="L30" s="67">
        <f t="shared" si="28"/>
        <v>0</v>
      </c>
      <c r="M30" s="67">
        <f t="shared" si="28"/>
        <v>0</v>
      </c>
      <c r="N30" s="67">
        <f t="shared" si="28"/>
        <v>0</v>
      </c>
      <c r="O30" s="67">
        <f t="shared" si="28"/>
        <v>0</v>
      </c>
      <c r="P30" s="67">
        <f t="shared" si="28"/>
        <v>0</v>
      </c>
      <c r="Q30" s="67">
        <f t="shared" si="28"/>
        <v>0</v>
      </c>
      <c r="R30" s="67">
        <f t="shared" si="28"/>
        <v>0</v>
      </c>
      <c r="S30" s="67">
        <f t="shared" si="28"/>
        <v>0</v>
      </c>
      <c r="T30" s="67">
        <f t="shared" si="28"/>
        <v>0</v>
      </c>
      <c r="U30" s="67">
        <f t="shared" si="28"/>
        <v>0</v>
      </c>
      <c r="V30" s="67">
        <f t="shared" si="28"/>
        <v>0</v>
      </c>
      <c r="W30" s="67">
        <f t="shared" si="28"/>
        <v>0</v>
      </c>
      <c r="X30" s="67">
        <f t="shared" si="4"/>
        <v>0</v>
      </c>
      <c r="Y30" s="67">
        <f t="shared" ref="Y30:AI30" si="43">IF(OR(ISBLANK($G30),$G30=0),0,IF(AND($J30&gt;0,$F30=TEXT(Y$6,1)),$J30/$G30/12,IF(X30&gt;0,$J30/$G30/12,0)))</f>
        <v>0</v>
      </c>
      <c r="Z30" s="67">
        <f t="shared" si="43"/>
        <v>0</v>
      </c>
      <c r="AA30" s="67">
        <f t="shared" si="43"/>
        <v>0</v>
      </c>
      <c r="AB30" s="67">
        <f t="shared" si="43"/>
        <v>0</v>
      </c>
      <c r="AC30" s="67">
        <f t="shared" si="43"/>
        <v>0</v>
      </c>
      <c r="AD30" s="67">
        <f t="shared" si="43"/>
        <v>0</v>
      </c>
      <c r="AE30" s="67">
        <f t="shared" si="43"/>
        <v>0</v>
      </c>
      <c r="AF30" s="67">
        <f t="shared" si="43"/>
        <v>0</v>
      </c>
      <c r="AG30" s="67">
        <f t="shared" si="43"/>
        <v>0</v>
      </c>
      <c r="AH30" s="67">
        <f t="shared" si="43"/>
        <v>0</v>
      </c>
      <c r="AI30" s="67">
        <f t="shared" si="43"/>
        <v>0</v>
      </c>
      <c r="AJ30" s="231">
        <f t="shared" si="6"/>
        <v>0</v>
      </c>
      <c r="AK30" s="233">
        <f t="shared" si="14"/>
        <v>0</v>
      </c>
      <c r="AL30" s="231">
        <f t="shared" si="7"/>
        <v>0</v>
      </c>
      <c r="AM30" s="233">
        <f t="shared" si="15"/>
        <v>0</v>
      </c>
      <c r="AN30" s="231">
        <f t="shared" si="8"/>
        <v>0</v>
      </c>
      <c r="AO30" s="233">
        <f t="shared" si="16"/>
        <v>0</v>
      </c>
      <c r="AP30" s="231">
        <f t="shared" si="9"/>
        <v>0</v>
      </c>
      <c r="AQ30" s="233">
        <f t="shared" si="17"/>
        <v>0</v>
      </c>
      <c r="AR30" s="231">
        <f t="shared" si="10"/>
        <v>0</v>
      </c>
      <c r="AS30" s="233">
        <f t="shared" si="18"/>
        <v>0</v>
      </c>
      <c r="AT30" s="231">
        <f t="shared" si="11"/>
        <v>0</v>
      </c>
      <c r="AU30" s="233">
        <f t="shared" si="19"/>
        <v>0</v>
      </c>
      <c r="AW30" s="44">
        <f t="shared" si="36"/>
        <v>0</v>
      </c>
      <c r="AX30" s="44">
        <f t="shared" si="36"/>
        <v>0</v>
      </c>
      <c r="AY30" s="44">
        <f t="shared" si="36"/>
        <v>0</v>
      </c>
      <c r="AZ30" s="44">
        <f t="shared" si="36"/>
        <v>0</v>
      </c>
      <c r="BA30" s="44">
        <f t="shared" si="36"/>
        <v>0</v>
      </c>
      <c r="BB30" s="44">
        <f t="shared" si="36"/>
        <v>0</v>
      </c>
    </row>
    <row r="31" spans="2:57" x14ac:dyDescent="0.25">
      <c r="B31" s="62">
        <v>25</v>
      </c>
      <c r="C31" s="63"/>
      <c r="D31" s="64"/>
      <c r="E31" s="63"/>
      <c r="F31" s="65"/>
      <c r="G31" s="66">
        <v>0</v>
      </c>
      <c r="H31" s="67">
        <v>0</v>
      </c>
      <c r="I31" s="67">
        <f t="shared" si="0"/>
        <v>0</v>
      </c>
      <c r="J31" s="67">
        <f t="shared" si="1"/>
        <v>0</v>
      </c>
      <c r="K31" s="67">
        <f t="shared" si="2"/>
        <v>0</v>
      </c>
      <c r="L31" s="67">
        <f t="shared" si="28"/>
        <v>0</v>
      </c>
      <c r="M31" s="67">
        <f t="shared" si="28"/>
        <v>0</v>
      </c>
      <c r="N31" s="67">
        <f t="shared" si="28"/>
        <v>0</v>
      </c>
      <c r="O31" s="67">
        <f t="shared" si="28"/>
        <v>0</v>
      </c>
      <c r="P31" s="67">
        <f t="shared" si="28"/>
        <v>0</v>
      </c>
      <c r="Q31" s="67">
        <f t="shared" si="28"/>
        <v>0</v>
      </c>
      <c r="R31" s="67">
        <f t="shared" si="28"/>
        <v>0</v>
      </c>
      <c r="S31" s="67">
        <f t="shared" si="28"/>
        <v>0</v>
      </c>
      <c r="T31" s="67">
        <f t="shared" si="28"/>
        <v>0</v>
      </c>
      <c r="U31" s="67">
        <f t="shared" si="28"/>
        <v>0</v>
      </c>
      <c r="V31" s="67">
        <f t="shared" si="28"/>
        <v>0</v>
      </c>
      <c r="W31" s="67">
        <f t="shared" si="28"/>
        <v>0</v>
      </c>
      <c r="X31" s="67">
        <f t="shared" si="4"/>
        <v>0</v>
      </c>
      <c r="Y31" s="67">
        <f t="shared" ref="Y31:AI31" si="44">IF(OR(ISBLANK($G31),$G31=0),0,IF(AND($J31&gt;0,$F31=TEXT(Y$6,1)),$J31/$G31/12,IF(X31&gt;0,$J31/$G31/12,0)))</f>
        <v>0</v>
      </c>
      <c r="Z31" s="67">
        <f t="shared" si="44"/>
        <v>0</v>
      </c>
      <c r="AA31" s="67">
        <f t="shared" si="44"/>
        <v>0</v>
      </c>
      <c r="AB31" s="67">
        <f t="shared" si="44"/>
        <v>0</v>
      </c>
      <c r="AC31" s="67">
        <f t="shared" si="44"/>
        <v>0</v>
      </c>
      <c r="AD31" s="67">
        <f t="shared" si="44"/>
        <v>0</v>
      </c>
      <c r="AE31" s="67">
        <f t="shared" si="44"/>
        <v>0</v>
      </c>
      <c r="AF31" s="67">
        <f t="shared" si="44"/>
        <v>0</v>
      </c>
      <c r="AG31" s="67">
        <f t="shared" si="44"/>
        <v>0</v>
      </c>
      <c r="AH31" s="67">
        <f t="shared" si="44"/>
        <v>0</v>
      </c>
      <c r="AI31" s="67">
        <f t="shared" si="44"/>
        <v>0</v>
      </c>
      <c r="AJ31" s="231">
        <f t="shared" si="6"/>
        <v>0</v>
      </c>
      <c r="AK31" s="233">
        <f t="shared" si="14"/>
        <v>0</v>
      </c>
      <c r="AL31" s="231">
        <f t="shared" si="7"/>
        <v>0</v>
      </c>
      <c r="AM31" s="233">
        <f t="shared" si="15"/>
        <v>0</v>
      </c>
      <c r="AN31" s="231">
        <f t="shared" si="8"/>
        <v>0</v>
      </c>
      <c r="AO31" s="233">
        <f t="shared" si="16"/>
        <v>0</v>
      </c>
      <c r="AP31" s="231">
        <f t="shared" si="9"/>
        <v>0</v>
      </c>
      <c r="AQ31" s="233">
        <f t="shared" si="17"/>
        <v>0</v>
      </c>
      <c r="AR31" s="231">
        <f t="shared" si="10"/>
        <v>0</v>
      </c>
      <c r="AS31" s="233">
        <f t="shared" si="18"/>
        <v>0</v>
      </c>
      <c r="AT31" s="231">
        <f t="shared" si="11"/>
        <v>0</v>
      </c>
      <c r="AU31" s="233">
        <f t="shared" si="19"/>
        <v>0</v>
      </c>
      <c r="AW31" s="44">
        <f t="shared" si="36"/>
        <v>0</v>
      </c>
      <c r="AX31" s="44">
        <f t="shared" si="36"/>
        <v>0</v>
      </c>
      <c r="AY31" s="44">
        <f t="shared" si="36"/>
        <v>0</v>
      </c>
      <c r="AZ31" s="44">
        <f t="shared" si="36"/>
        <v>0</v>
      </c>
      <c r="BA31" s="44">
        <f t="shared" si="36"/>
        <v>0</v>
      </c>
      <c r="BB31" s="44">
        <f t="shared" si="36"/>
        <v>0</v>
      </c>
    </row>
    <row r="32" spans="2:57" x14ac:dyDescent="0.25">
      <c r="B32" s="234"/>
      <c r="C32" s="235" t="s">
        <v>139</v>
      </c>
      <c r="D32" s="249"/>
      <c r="E32" s="235"/>
      <c r="F32" s="236"/>
      <c r="G32" s="237"/>
      <c r="H32" s="238">
        <f>SUM(H7:H31)</f>
        <v>0</v>
      </c>
      <c r="I32" s="238">
        <f>SUM(I7:I31)</f>
        <v>2950000</v>
      </c>
      <c r="J32" s="238">
        <f t="shared" ref="J32:AU32" si="45">SUM(J7:J31)</f>
        <v>2950000</v>
      </c>
      <c r="K32" s="238"/>
      <c r="L32" s="238">
        <f t="shared" si="45"/>
        <v>2950000</v>
      </c>
      <c r="M32" s="238">
        <f t="shared" si="45"/>
        <v>0</v>
      </c>
      <c r="N32" s="238">
        <f t="shared" si="45"/>
        <v>0</v>
      </c>
      <c r="O32" s="238">
        <f t="shared" si="45"/>
        <v>0</v>
      </c>
      <c r="P32" s="238">
        <f t="shared" si="45"/>
        <v>0</v>
      </c>
      <c r="Q32" s="238">
        <f t="shared" si="45"/>
        <v>0</v>
      </c>
      <c r="R32" s="238">
        <f t="shared" si="45"/>
        <v>0</v>
      </c>
      <c r="S32" s="238">
        <f t="shared" si="45"/>
        <v>0</v>
      </c>
      <c r="T32" s="238">
        <f t="shared" si="45"/>
        <v>0</v>
      </c>
      <c r="U32" s="238">
        <f t="shared" si="45"/>
        <v>0</v>
      </c>
      <c r="V32" s="238">
        <f t="shared" si="45"/>
        <v>0</v>
      </c>
      <c r="W32" s="238">
        <f t="shared" si="45"/>
        <v>0</v>
      </c>
      <c r="X32" s="238">
        <f t="shared" si="45"/>
        <v>24583.333333333332</v>
      </c>
      <c r="Y32" s="238">
        <f t="shared" si="45"/>
        <v>24583.333333333332</v>
      </c>
      <c r="Z32" s="238">
        <f t="shared" si="45"/>
        <v>24583.333333333332</v>
      </c>
      <c r="AA32" s="238">
        <f t="shared" si="45"/>
        <v>24583.333333333332</v>
      </c>
      <c r="AB32" s="238">
        <f t="shared" si="45"/>
        <v>24583.333333333332</v>
      </c>
      <c r="AC32" s="238">
        <f t="shared" si="45"/>
        <v>24583.333333333332</v>
      </c>
      <c r="AD32" s="238">
        <f t="shared" si="45"/>
        <v>24583.333333333332</v>
      </c>
      <c r="AE32" s="238">
        <f t="shared" si="45"/>
        <v>24583.333333333332</v>
      </c>
      <c r="AF32" s="238">
        <f t="shared" si="45"/>
        <v>24583.333333333332</v>
      </c>
      <c r="AG32" s="238">
        <f t="shared" si="45"/>
        <v>24583.333333333332</v>
      </c>
      <c r="AH32" s="238">
        <f t="shared" si="45"/>
        <v>24583.333333333332</v>
      </c>
      <c r="AI32" s="238">
        <f t="shared" si="45"/>
        <v>24583.333333333332</v>
      </c>
      <c r="AJ32" s="238"/>
      <c r="AK32" s="238">
        <f t="shared" si="45"/>
        <v>295000</v>
      </c>
      <c r="AL32" s="238"/>
      <c r="AM32" s="238">
        <f t="shared" si="45"/>
        <v>295000</v>
      </c>
      <c r="AN32" s="238"/>
      <c r="AO32" s="238">
        <f t="shared" si="45"/>
        <v>295000</v>
      </c>
      <c r="AP32" s="238"/>
      <c r="AQ32" s="238">
        <f t="shared" si="45"/>
        <v>295000</v>
      </c>
      <c r="AR32" s="238"/>
      <c r="AS32" s="238">
        <f t="shared" si="45"/>
        <v>295000</v>
      </c>
      <c r="AT32" s="238"/>
      <c r="AU32" s="238">
        <f t="shared" si="45"/>
        <v>295000</v>
      </c>
    </row>
    <row r="33" spans="2:54" ht="13" x14ac:dyDescent="0.3">
      <c r="B33" s="245"/>
      <c r="C33" s="246"/>
      <c r="D33" s="247"/>
      <c r="E33" s="247"/>
      <c r="F33" s="247"/>
      <c r="G33" s="247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</row>
    <row r="34" spans="2:54" hidden="1" x14ac:dyDescent="0.25">
      <c r="C34" s="44" t="s">
        <v>81</v>
      </c>
      <c r="D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K34" s="68">
        <f>SUM(AK7:AK31)</f>
        <v>295000</v>
      </c>
      <c r="AM34" s="68">
        <f>SUM(AM7:AM31)</f>
        <v>295000</v>
      </c>
      <c r="AO34" s="68">
        <f>SUM(AO7:AO31)</f>
        <v>295000</v>
      </c>
      <c r="AQ34" s="68">
        <f>SUM(AQ7:AQ31)</f>
        <v>295000</v>
      </c>
      <c r="AS34" s="68">
        <f>SUM(AS7:AS31)</f>
        <v>295000</v>
      </c>
      <c r="AU34" s="68">
        <f>SUM(AU7:AU31)</f>
        <v>295000</v>
      </c>
      <c r="AW34" s="44">
        <f t="shared" ref="AW34:BB34" si="46">SUM(AW7:AW31)</f>
        <v>2950000</v>
      </c>
      <c r="AX34" s="44">
        <f t="shared" si="46"/>
        <v>0</v>
      </c>
      <c r="AY34" s="44">
        <f t="shared" si="46"/>
        <v>0</v>
      </c>
      <c r="AZ34" s="44">
        <f t="shared" si="46"/>
        <v>0</v>
      </c>
      <c r="BA34" s="44">
        <f t="shared" si="46"/>
        <v>0</v>
      </c>
      <c r="BB34" s="44">
        <f t="shared" si="46"/>
        <v>0</v>
      </c>
    </row>
    <row r="35" spans="2:54" x14ac:dyDescent="0.25">
      <c r="D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K35" s="68"/>
      <c r="AM35" s="68"/>
      <c r="AO35" s="68"/>
      <c r="AQ35" s="68"/>
      <c r="AS35" s="68"/>
      <c r="AU35" s="68"/>
    </row>
  </sheetData>
  <dataValidations count="2">
    <dataValidation type="list" allowBlank="1" showInputMessage="1" showErrorMessage="1" sqref="F7:F32">
      <formula1>$BD$6:$BD$17</formula1>
    </dataValidation>
    <dataValidation type="decimal" operator="greaterThanOrEqual" allowBlank="1" showErrorMessage="1" errorTitle="Asset Value" error="This is not considered an Asset as the Value is less than $5,000.00" sqref="D7:D32">
      <formula1>5000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K20"/>
  <sheetViews>
    <sheetView workbookViewId="0">
      <pane xSplit="11" ySplit="6" topLeftCell="L7" activePane="bottomRight" state="frozen"/>
      <selection pane="topRight" activeCell="J1" sqref="J1"/>
      <selection pane="bottomLeft" activeCell="A6" sqref="A6"/>
      <selection pane="bottomRight" activeCell="G7" sqref="G7"/>
    </sheetView>
  </sheetViews>
  <sheetFormatPr defaultColWidth="9.1796875" defaultRowHeight="10.5" x14ac:dyDescent="0.25"/>
  <cols>
    <col min="1" max="1" width="2.81640625" style="44" customWidth="1"/>
    <col min="2" max="2" width="2.453125" style="44" customWidth="1"/>
    <col min="3" max="3" width="5.1796875" style="44" bestFit="1" customWidth="1"/>
    <col min="4" max="4" width="17.26953125" style="44" customWidth="1"/>
    <col min="5" max="6" width="8.1796875" style="44" bestFit="1" customWidth="1"/>
    <col min="7" max="7" width="6.453125" style="44" customWidth="1"/>
    <col min="8" max="8" width="5.81640625" style="44" customWidth="1"/>
    <col min="9" max="9" width="9.453125" style="44" customWidth="1"/>
    <col min="10" max="10" width="9.54296875" style="44" customWidth="1"/>
    <col min="11" max="16" width="9.54296875" style="44" hidden="1" customWidth="1"/>
    <col min="17" max="17" width="6.453125" style="44" hidden="1" customWidth="1"/>
    <col min="18" max="24" width="10.453125" style="44" hidden="1" customWidth="1"/>
    <col min="25" max="36" width="9.54296875" style="44" hidden="1" customWidth="1"/>
    <col min="37" max="48" width="8.453125" style="44" hidden="1" customWidth="1"/>
    <col min="49" max="60" width="7" style="44" hidden="1" customWidth="1"/>
    <col min="61" max="61" width="7.1796875" style="44" customWidth="1"/>
    <col min="62" max="62" width="8.7265625" style="44" bestFit="1" customWidth="1"/>
    <col min="63" max="63" width="7.453125" style="44" bestFit="1" customWidth="1"/>
    <col min="64" max="64" width="6.1796875" style="44" bestFit="1" customWidth="1"/>
    <col min="65" max="65" width="8.7265625" style="44" bestFit="1" customWidth="1"/>
    <col min="66" max="66" width="7.453125" style="44" bestFit="1" customWidth="1"/>
    <col min="67" max="67" width="6.1796875" style="44" bestFit="1" customWidth="1"/>
    <col min="68" max="68" width="8.7265625" style="44" bestFit="1" customWidth="1"/>
    <col min="69" max="69" width="7.453125" style="44" bestFit="1" customWidth="1"/>
    <col min="70" max="70" width="6.1796875" style="44" bestFit="1" customWidth="1"/>
    <col min="71" max="71" width="8.7265625" style="44" bestFit="1" customWidth="1"/>
    <col min="72" max="72" width="7.453125" style="44" bestFit="1" customWidth="1"/>
    <col min="73" max="73" width="6.1796875" style="44" bestFit="1" customWidth="1"/>
    <col min="74" max="74" width="8.7265625" style="44" bestFit="1" customWidth="1"/>
    <col min="75" max="75" width="7.453125" style="44" bestFit="1" customWidth="1"/>
    <col min="76" max="76" width="6.1796875" style="44" bestFit="1" customWidth="1"/>
    <col min="77" max="77" width="7.81640625" style="44" bestFit="1" customWidth="1"/>
    <col min="78" max="78" width="6.54296875" style="44" bestFit="1" customWidth="1"/>
    <col min="79" max="79" width="2.1796875" style="44" customWidth="1"/>
    <col min="80" max="80" width="2.1796875" style="76" customWidth="1"/>
    <col min="81" max="81" width="9.54296875" style="44" hidden="1" customWidth="1"/>
    <col min="82" max="86" width="4.453125" style="44" hidden="1" customWidth="1"/>
    <col min="87" max="87" width="9.1796875" style="44" hidden="1" customWidth="1"/>
    <col min="88" max="88" width="8.453125" style="44" hidden="1" customWidth="1"/>
    <col min="89" max="89" width="2.7265625" style="44" hidden="1" customWidth="1"/>
    <col min="90" max="90" width="0" style="44" hidden="1" customWidth="1"/>
    <col min="91" max="16384" width="9.1796875" style="44"/>
  </cols>
  <sheetData>
    <row r="2" spans="2:89" ht="18.5" x14ac:dyDescent="0.3">
      <c r="B2" s="372" t="str">
        <f>TitlePage!D2</f>
        <v>Lahab Automotive</v>
      </c>
      <c r="C2" s="222"/>
      <c r="D2" s="223"/>
      <c r="E2" s="224"/>
      <c r="F2" s="224"/>
      <c r="G2" s="224"/>
      <c r="H2" s="224"/>
      <c r="I2" s="225"/>
      <c r="J2" s="225"/>
      <c r="K2" s="225"/>
      <c r="L2" s="225"/>
      <c r="M2" s="225"/>
      <c r="N2" s="225"/>
      <c r="O2" s="225"/>
      <c r="P2" s="225"/>
      <c r="Q2" s="224"/>
      <c r="R2" s="224"/>
      <c r="S2" s="224"/>
      <c r="T2" s="224"/>
      <c r="U2" s="224"/>
      <c r="V2" s="224"/>
      <c r="W2" s="224"/>
      <c r="X2" s="224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  <c r="BN2" s="225"/>
      <c r="BO2" s="225"/>
      <c r="BP2" s="225"/>
      <c r="BQ2" s="225"/>
      <c r="BR2" s="225"/>
      <c r="BS2" s="225"/>
      <c r="BT2" s="225"/>
      <c r="BU2" s="225"/>
      <c r="BV2" s="225"/>
      <c r="BW2" s="225"/>
      <c r="BX2" s="225"/>
      <c r="BY2" s="225"/>
      <c r="BZ2" s="225"/>
      <c r="CA2" s="221"/>
      <c r="CB2" s="328"/>
    </row>
    <row r="3" spans="2:89" ht="14.5" x14ac:dyDescent="0.3">
      <c r="B3" s="373" t="str">
        <f>"All Numbers are in "&amp;TEXT(TitlePage!D4,0)</f>
        <v>All Numbers are in SAR</v>
      </c>
      <c r="C3" s="222"/>
      <c r="D3" s="223"/>
      <c r="E3" s="224"/>
      <c r="F3" s="224"/>
      <c r="G3" s="224"/>
      <c r="H3" s="224"/>
      <c r="I3" s="225"/>
      <c r="J3" s="225"/>
      <c r="K3" s="225"/>
      <c r="L3" s="225"/>
      <c r="M3" s="225"/>
      <c r="N3" s="225"/>
      <c r="O3" s="225"/>
      <c r="P3" s="225"/>
      <c r="Q3" s="224"/>
      <c r="R3" s="224"/>
      <c r="S3" s="224"/>
      <c r="T3" s="224"/>
      <c r="U3" s="224"/>
      <c r="V3" s="224"/>
      <c r="W3" s="224"/>
      <c r="X3" s="224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  <c r="AO3" s="225"/>
      <c r="AP3" s="225"/>
      <c r="AQ3" s="225"/>
      <c r="AR3" s="225"/>
      <c r="AS3" s="225"/>
      <c r="AT3" s="225"/>
      <c r="AU3" s="225"/>
      <c r="AV3" s="225"/>
      <c r="AW3" s="225"/>
      <c r="AX3" s="225"/>
      <c r="AY3" s="225"/>
      <c r="AZ3" s="225"/>
      <c r="BA3" s="225"/>
      <c r="BB3" s="225"/>
      <c r="BC3" s="225"/>
      <c r="BD3" s="225"/>
      <c r="BE3" s="225"/>
      <c r="BF3" s="225"/>
      <c r="BG3" s="225"/>
      <c r="BH3" s="225"/>
      <c r="BI3" s="225"/>
      <c r="BJ3" s="225"/>
      <c r="BK3" s="225"/>
      <c r="BL3" s="225"/>
      <c r="BM3" s="225"/>
      <c r="BN3" s="225"/>
      <c r="BO3" s="225"/>
      <c r="BP3" s="225"/>
      <c r="BQ3" s="225"/>
      <c r="BR3" s="225"/>
      <c r="BS3" s="225"/>
      <c r="BT3" s="225"/>
      <c r="BU3" s="225"/>
      <c r="BV3" s="225"/>
      <c r="BW3" s="225"/>
      <c r="BX3" s="225"/>
      <c r="BY3" s="225"/>
      <c r="BZ3" s="225"/>
      <c r="CA3" s="221"/>
      <c r="CB3" s="328"/>
    </row>
    <row r="4" spans="2:89" ht="21" x14ac:dyDescent="0.5">
      <c r="B4" s="359" t="s">
        <v>153</v>
      </c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1"/>
      <c r="CB4" s="328"/>
    </row>
    <row r="5" spans="2:89" ht="21" x14ac:dyDescent="0.25">
      <c r="B5" s="221"/>
      <c r="C5" s="226" t="s">
        <v>124</v>
      </c>
      <c r="D5" s="226" t="s">
        <v>125</v>
      </c>
      <c r="E5" s="227" t="s">
        <v>143</v>
      </c>
      <c r="F5" s="227" t="s">
        <v>144</v>
      </c>
      <c r="G5" s="227" t="s">
        <v>213</v>
      </c>
      <c r="H5" s="226" t="s">
        <v>145</v>
      </c>
      <c r="I5" s="226" t="s">
        <v>148</v>
      </c>
      <c r="J5" s="226" t="s">
        <v>154</v>
      </c>
      <c r="K5" s="226">
        <v>2016</v>
      </c>
      <c r="L5" s="226">
        <v>2017</v>
      </c>
      <c r="M5" s="226">
        <v>2018</v>
      </c>
      <c r="N5" s="226">
        <v>2019</v>
      </c>
      <c r="O5" s="226">
        <v>2020</v>
      </c>
      <c r="P5" s="226">
        <v>2021</v>
      </c>
      <c r="Q5" s="227" t="s">
        <v>211</v>
      </c>
      <c r="R5" s="227" t="s">
        <v>214</v>
      </c>
      <c r="S5" s="415" t="s">
        <v>216</v>
      </c>
      <c r="T5" s="415"/>
      <c r="U5" s="415"/>
      <c r="V5" s="415"/>
      <c r="W5" s="415"/>
      <c r="X5" s="415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9" t="s">
        <v>146</v>
      </c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28"/>
      <c r="AW5" s="229" t="s">
        <v>147</v>
      </c>
      <c r="AX5" s="228"/>
      <c r="AY5" s="228"/>
      <c r="AZ5" s="228"/>
      <c r="BA5" s="228"/>
      <c r="BB5" s="228"/>
      <c r="BC5" s="228"/>
      <c r="BD5" s="228"/>
      <c r="BE5" s="228"/>
      <c r="BF5" s="228"/>
      <c r="BG5" s="228"/>
      <c r="BH5" s="228"/>
      <c r="BI5" s="229">
        <v>2016</v>
      </c>
      <c r="BJ5" s="229"/>
      <c r="BK5" s="229"/>
      <c r="BL5" s="229">
        <v>2017</v>
      </c>
      <c r="BM5" s="229"/>
      <c r="BN5" s="229"/>
      <c r="BO5" s="229">
        <v>2018</v>
      </c>
      <c r="BP5" s="229"/>
      <c r="BQ5" s="229"/>
      <c r="BR5" s="229">
        <v>2019</v>
      </c>
      <c r="BS5" s="229"/>
      <c r="BT5" s="229"/>
      <c r="BU5" s="229">
        <v>2020</v>
      </c>
      <c r="BV5" s="229"/>
      <c r="BW5" s="229"/>
      <c r="BX5" s="229">
        <v>2021</v>
      </c>
      <c r="BY5" s="229"/>
      <c r="BZ5" s="229"/>
      <c r="CA5" s="221"/>
      <c r="CB5" s="328"/>
      <c r="CC5" s="44">
        <v>2016</v>
      </c>
      <c r="CD5" s="44">
        <v>2017</v>
      </c>
      <c r="CE5" s="44">
        <v>2018</v>
      </c>
      <c r="CF5" s="44">
        <v>2019</v>
      </c>
      <c r="CG5" s="44">
        <v>2020</v>
      </c>
      <c r="CH5" s="44">
        <v>2021</v>
      </c>
    </row>
    <row r="6" spans="2:89" x14ac:dyDescent="0.25">
      <c r="B6" s="221"/>
      <c r="C6" s="226"/>
      <c r="D6" s="226"/>
      <c r="E6" s="227"/>
      <c r="F6" s="227"/>
      <c r="G6" s="227" t="s">
        <v>97</v>
      </c>
      <c r="H6" s="230" t="s">
        <v>135</v>
      </c>
      <c r="I6" s="230" t="s">
        <v>149</v>
      </c>
      <c r="J6" s="230"/>
      <c r="K6" s="230" t="s">
        <v>150</v>
      </c>
      <c r="L6" s="230" t="s">
        <v>150</v>
      </c>
      <c r="M6" s="230" t="s">
        <v>150</v>
      </c>
      <c r="N6" s="230" t="s">
        <v>150</v>
      </c>
      <c r="O6" s="230" t="s">
        <v>150</v>
      </c>
      <c r="P6" s="230" t="s">
        <v>150</v>
      </c>
      <c r="Q6" s="227" t="s">
        <v>212</v>
      </c>
      <c r="R6" s="227" t="s">
        <v>215</v>
      </c>
      <c r="S6" s="227">
        <v>2016</v>
      </c>
      <c r="T6" s="227">
        <v>2017</v>
      </c>
      <c r="U6" s="227">
        <v>2018</v>
      </c>
      <c r="V6" s="227">
        <v>2019</v>
      </c>
      <c r="W6" s="227">
        <v>2020</v>
      </c>
      <c r="X6" s="227">
        <v>2021</v>
      </c>
      <c r="Y6" s="205" t="s">
        <v>102</v>
      </c>
      <c r="Z6" s="205" t="s">
        <v>103</v>
      </c>
      <c r="AA6" s="205" t="s">
        <v>104</v>
      </c>
      <c r="AB6" s="205" t="s">
        <v>105</v>
      </c>
      <c r="AC6" s="205" t="s">
        <v>106</v>
      </c>
      <c r="AD6" s="205" t="s">
        <v>107</v>
      </c>
      <c r="AE6" s="205" t="s">
        <v>108</v>
      </c>
      <c r="AF6" s="205" t="s">
        <v>109</v>
      </c>
      <c r="AG6" s="205" t="s">
        <v>110</v>
      </c>
      <c r="AH6" s="205" t="s">
        <v>111</v>
      </c>
      <c r="AI6" s="205" t="s">
        <v>112</v>
      </c>
      <c r="AJ6" s="205" t="s">
        <v>113</v>
      </c>
      <c r="AK6" s="205" t="s">
        <v>102</v>
      </c>
      <c r="AL6" s="205" t="s">
        <v>103</v>
      </c>
      <c r="AM6" s="205" t="s">
        <v>104</v>
      </c>
      <c r="AN6" s="205" t="s">
        <v>105</v>
      </c>
      <c r="AO6" s="205" t="s">
        <v>106</v>
      </c>
      <c r="AP6" s="205" t="s">
        <v>107</v>
      </c>
      <c r="AQ6" s="205" t="s">
        <v>108</v>
      </c>
      <c r="AR6" s="205" t="s">
        <v>109</v>
      </c>
      <c r="AS6" s="205" t="s">
        <v>110</v>
      </c>
      <c r="AT6" s="205" t="s">
        <v>111</v>
      </c>
      <c r="AU6" s="205" t="s">
        <v>112</v>
      </c>
      <c r="AV6" s="205" t="s">
        <v>113</v>
      </c>
      <c r="AW6" s="205" t="s">
        <v>102</v>
      </c>
      <c r="AX6" s="205" t="s">
        <v>103</v>
      </c>
      <c r="AY6" s="205" t="s">
        <v>104</v>
      </c>
      <c r="AZ6" s="205" t="s">
        <v>105</v>
      </c>
      <c r="BA6" s="205" t="s">
        <v>106</v>
      </c>
      <c r="BB6" s="205" t="s">
        <v>107</v>
      </c>
      <c r="BC6" s="205" t="s">
        <v>108</v>
      </c>
      <c r="BD6" s="205" t="s">
        <v>109</v>
      </c>
      <c r="BE6" s="205" t="s">
        <v>110</v>
      </c>
      <c r="BF6" s="205" t="s">
        <v>111</v>
      </c>
      <c r="BG6" s="205" t="s">
        <v>112</v>
      </c>
      <c r="BH6" s="205" t="s">
        <v>113</v>
      </c>
      <c r="BI6" s="226" t="s">
        <v>136</v>
      </c>
      <c r="BJ6" s="226" t="s">
        <v>151</v>
      </c>
      <c r="BK6" s="226" t="s">
        <v>152</v>
      </c>
      <c r="BL6" s="226" t="s">
        <v>136</v>
      </c>
      <c r="BM6" s="226" t="s">
        <v>151</v>
      </c>
      <c r="BN6" s="226" t="s">
        <v>152</v>
      </c>
      <c r="BO6" s="226" t="s">
        <v>136</v>
      </c>
      <c r="BP6" s="226" t="s">
        <v>151</v>
      </c>
      <c r="BQ6" s="226" t="s">
        <v>152</v>
      </c>
      <c r="BR6" s="226" t="s">
        <v>136</v>
      </c>
      <c r="BS6" s="226" t="s">
        <v>151</v>
      </c>
      <c r="BT6" s="226" t="s">
        <v>152</v>
      </c>
      <c r="BU6" s="226" t="s">
        <v>136</v>
      </c>
      <c r="BV6" s="226" t="s">
        <v>151</v>
      </c>
      <c r="BW6" s="226" t="s">
        <v>152</v>
      </c>
      <c r="BX6" s="226" t="s">
        <v>136</v>
      </c>
      <c r="BY6" s="226" t="s">
        <v>151</v>
      </c>
      <c r="BZ6" s="226" t="s">
        <v>152</v>
      </c>
      <c r="CA6" s="221"/>
      <c r="CB6" s="328"/>
      <c r="CC6" s="44" t="s">
        <v>138</v>
      </c>
      <c r="CE6" s="44" t="s">
        <v>138</v>
      </c>
      <c r="CF6" s="44" t="s">
        <v>138</v>
      </c>
      <c r="CG6" s="44" t="s">
        <v>138</v>
      </c>
      <c r="CH6" s="44" t="s">
        <v>138</v>
      </c>
      <c r="CJ6" s="44" t="s">
        <v>102</v>
      </c>
      <c r="CK6" s="44">
        <v>1</v>
      </c>
    </row>
    <row r="7" spans="2:89" x14ac:dyDescent="0.25">
      <c r="B7" s="77"/>
      <c r="C7" s="62">
        <v>1</v>
      </c>
      <c r="D7" s="63" t="s">
        <v>210</v>
      </c>
      <c r="E7" s="63">
        <v>2016</v>
      </c>
      <c r="F7" s="65" t="s">
        <v>102</v>
      </c>
      <c r="G7" s="65">
        <v>0</v>
      </c>
      <c r="H7" s="66">
        <v>5</v>
      </c>
      <c r="I7" s="426">
        <v>0</v>
      </c>
      <c r="J7" s="64">
        <v>3300000</v>
      </c>
      <c r="K7" s="417">
        <f>IF($E7=K$5,$J7,0)</f>
        <v>3300000</v>
      </c>
      <c r="L7" s="417">
        <f t="shared" ref="L7:P16" si="0">IF($E7=L$5,$J7,0)</f>
        <v>0</v>
      </c>
      <c r="M7" s="417">
        <f t="shared" si="0"/>
        <v>0</v>
      </c>
      <c r="N7" s="417">
        <f t="shared" si="0"/>
        <v>0</v>
      </c>
      <c r="O7" s="417">
        <f t="shared" si="0"/>
        <v>0</v>
      </c>
      <c r="P7" s="417">
        <f t="shared" si="0"/>
        <v>0</v>
      </c>
      <c r="Q7" s="418">
        <f t="shared" ref="Q7:Q16" si="1">IF(ISNA(VLOOKUP(F7,$CJ$6:$CK$16,2,FALSE)),0,VLOOKUP(F7,$CJ$6:$CK$16,2,FALSE))</f>
        <v>1</v>
      </c>
      <c r="R7" s="418">
        <f>E7+G7</f>
        <v>2016</v>
      </c>
      <c r="S7" s="419">
        <f>ROUND(IF(S$6=$R7,($J7/($H7*12))*12-$Q7,0),0)</f>
        <v>659999</v>
      </c>
      <c r="T7" s="419">
        <f t="shared" ref="T7:X16" si="2">ROUND(IF(S7&gt;0,($J7/($H7*12))*12,IF(T$6=$R7,($J7/($H7*12))*(12-$Q7),0)),0)</f>
        <v>660000</v>
      </c>
      <c r="U7" s="419">
        <f t="shared" si="2"/>
        <v>660000</v>
      </c>
      <c r="V7" s="419">
        <f t="shared" si="2"/>
        <v>660000</v>
      </c>
      <c r="W7" s="419">
        <f t="shared" si="2"/>
        <v>660000</v>
      </c>
      <c r="X7" s="419">
        <f t="shared" si="2"/>
        <v>660000</v>
      </c>
      <c r="Y7" s="417">
        <f t="shared" ref="Y7:AJ16" si="3">IF(AND($K7&gt;0,$F7=(TEXT(Y$6,1))),$K7,0)</f>
        <v>3300000</v>
      </c>
      <c r="Z7" s="417">
        <f t="shared" si="3"/>
        <v>0</v>
      </c>
      <c r="AA7" s="417">
        <f t="shared" si="3"/>
        <v>0</v>
      </c>
      <c r="AB7" s="417">
        <f t="shared" si="3"/>
        <v>0</v>
      </c>
      <c r="AC7" s="417">
        <f t="shared" si="3"/>
        <v>0</v>
      </c>
      <c r="AD7" s="417">
        <f t="shared" si="3"/>
        <v>0</v>
      </c>
      <c r="AE7" s="417">
        <f t="shared" si="3"/>
        <v>0</v>
      </c>
      <c r="AF7" s="417">
        <f t="shared" si="3"/>
        <v>0</v>
      </c>
      <c r="AG7" s="417">
        <f t="shared" si="3"/>
        <v>0</v>
      </c>
      <c r="AH7" s="417">
        <f t="shared" si="3"/>
        <v>0</v>
      </c>
      <c r="AI7" s="417">
        <f t="shared" si="3"/>
        <v>0</v>
      </c>
      <c r="AJ7" s="417">
        <f t="shared" si="3"/>
        <v>0</v>
      </c>
      <c r="AK7" s="67">
        <f>IF(_xlfn.NUMBERVALUE(LEFT($AK$5,4))=$R7,IF(AND($K7&gt;0,$F7=TEXT(AK$6,1)),$K7/$H7/12,0),)</f>
        <v>55000</v>
      </c>
      <c r="AL7" s="67">
        <f t="shared" ref="AL7:AV7" si="4">IF(AK7&gt;0,AK7,IF(_xlfn.NUMBERVALUE(LEFT($AK$5,4))=$R7,IF(AND($K7&gt;0,$F7=TEXT(AL$6,1)),$K7/$H7/12,0),))</f>
        <v>55000</v>
      </c>
      <c r="AM7" s="67">
        <f t="shared" si="4"/>
        <v>55000</v>
      </c>
      <c r="AN7" s="67">
        <f t="shared" si="4"/>
        <v>55000</v>
      </c>
      <c r="AO7" s="67">
        <f t="shared" si="4"/>
        <v>55000</v>
      </c>
      <c r="AP7" s="67">
        <f t="shared" si="4"/>
        <v>55000</v>
      </c>
      <c r="AQ7" s="67">
        <f t="shared" si="4"/>
        <v>55000</v>
      </c>
      <c r="AR7" s="67">
        <f t="shared" si="4"/>
        <v>55000</v>
      </c>
      <c r="AS7" s="67">
        <f t="shared" si="4"/>
        <v>55000</v>
      </c>
      <c r="AT7" s="67">
        <f t="shared" si="4"/>
        <v>55000</v>
      </c>
      <c r="AU7" s="67">
        <f t="shared" si="4"/>
        <v>55000</v>
      </c>
      <c r="AV7" s="67">
        <f t="shared" si="4"/>
        <v>55000</v>
      </c>
      <c r="AW7" s="67">
        <f>IF(AND($K7&gt;0,F7=TEXT(AW$6,1)),$K7*$I7/12,0)</f>
        <v>0</v>
      </c>
      <c r="AX7" s="67">
        <f t="shared" ref="AX7:BH7" si="5">IF(AND($K7&gt;0,$F7=TEXT(AX$6,1)),$K7*$I7/12,IF(AW7&gt;0,$K7*$I7/12,0))</f>
        <v>0</v>
      </c>
      <c r="AY7" s="67">
        <f t="shared" si="5"/>
        <v>0</v>
      </c>
      <c r="AZ7" s="67">
        <f t="shared" si="5"/>
        <v>0</v>
      </c>
      <c r="BA7" s="67">
        <f t="shared" si="5"/>
        <v>0</v>
      </c>
      <c r="BB7" s="67">
        <f t="shared" si="5"/>
        <v>0</v>
      </c>
      <c r="BC7" s="67">
        <f t="shared" si="5"/>
        <v>0</v>
      </c>
      <c r="BD7" s="67">
        <f t="shared" si="5"/>
        <v>0</v>
      </c>
      <c r="BE7" s="67">
        <f t="shared" si="5"/>
        <v>0</v>
      </c>
      <c r="BF7" s="67">
        <f t="shared" si="5"/>
        <v>0</v>
      </c>
      <c r="BG7" s="67">
        <f t="shared" si="5"/>
        <v>0</v>
      </c>
      <c r="BH7" s="67">
        <f t="shared" si="5"/>
        <v>0</v>
      </c>
      <c r="BI7" s="231">
        <f t="shared" ref="BI7:BI16" si="6">IF((BI$5-$E7)*12&gt;$H7*12,0,IF(BI$5-$E7&lt;0,0,IF(BI$5-$E7=0,13-$Q7,IF((BI$5-$E7)*12=$H7*12,($H7*12)-0,IF((BI$5-$E7)&gt;0,12,0)))))</f>
        <v>12</v>
      </c>
      <c r="BJ7" s="232">
        <f>IF(ISERROR(($K7/($H7*12)*BI7)),0,($K7/($H7*12)*BI7))</f>
        <v>660000</v>
      </c>
      <c r="BK7" s="233">
        <f>($K7*$I7)/12*BI7</f>
        <v>0</v>
      </c>
      <c r="BL7" s="231">
        <f t="shared" ref="BL7:BL16" si="7">IF((BL$5-$E7)*12&gt;$H7*12,0,IF(BL$5-$E7&lt;0,0,IF(BL$5-$E7=0,13-$Q7,IF((BL$5-$E7)*12=$H7*12,($H7*12)-BI7,IF((BL$5-$E7)&gt;0,12,0)))))</f>
        <v>12</v>
      </c>
      <c r="BM7" s="232">
        <f>IF(ISERROR(($J7/($H7*12)*BL7)),0,($J7/($H7*12)*BL7))</f>
        <v>660000</v>
      </c>
      <c r="BN7" s="233">
        <f>($J7*$I7)/12*BL7</f>
        <v>0</v>
      </c>
      <c r="BO7" s="231">
        <f t="shared" ref="BO7:BO16" si="8">IF((BO$5-$E7)*12&gt;$H7*12,0,IF(BO$5-$E7&lt;0,0,IF(BO$5-$E7=0,13-$Q7,IF((BO$5-$E7)*12=$H7*12,($H7*12)-(BL7+BI7),IF((BO$5-$E7)&gt;0,12,0)))))</f>
        <v>12</v>
      </c>
      <c r="BP7" s="232">
        <f>IF(ISERROR(($J7/($H7*12)*BO7)),0,($J7/($H7*12)*BO7))</f>
        <v>660000</v>
      </c>
      <c r="BQ7" s="233">
        <f>($J7*$I7)/12*BO7</f>
        <v>0</v>
      </c>
      <c r="BR7" s="231">
        <f t="shared" ref="BR7:BR16" si="9">IF((BR$5-$E7)*12&gt;$H7*12,0,IF(BR$5-$E7&lt;0,0,IF(BR$5-$E7=0,13-$Q7,IF((BR$5-$E7)*12=$H7*12,($H7*12)-(BI7+BO7+BL7),IF((BR$5-$E7)&gt;0,12,0)))))</f>
        <v>12</v>
      </c>
      <c r="BS7" s="232">
        <f>IF(ISERROR(($J7/($H7*12)*BR7)),0,($J7/($H7*12)*BR7))</f>
        <v>660000</v>
      </c>
      <c r="BT7" s="233">
        <f>($J7*$I7)/12*BR7</f>
        <v>0</v>
      </c>
      <c r="BU7" s="231">
        <f t="shared" ref="BU7:BU16" si="10">IF((BU$5-$E7)*12&gt;$H7*12,0,IF(BU$5-$E7&lt;0,0,IF(BU$5-$E7=0,13-$Q7,IF((BU$5-$E7)*12=$H7*12,($H7*12)-(BI7+BL7+BR7+BO7),IF((BU$5-$E7)&gt;0,12,0)))))</f>
        <v>12</v>
      </c>
      <c r="BV7" s="232">
        <f>IF(ISERROR(($J7/($H7*12)*BU7)),0,($J7/($H7*12)*BU7))</f>
        <v>660000</v>
      </c>
      <c r="BW7" s="233">
        <f>($J7*$I7)/12*BU7</f>
        <v>0</v>
      </c>
      <c r="BX7" s="231">
        <f t="shared" ref="BX7:BX16" si="11">IF((BX$5-$E7)*12&gt;$H7*12,0,IF(BX$5-$E7&lt;0,0,IF(BX$5-$E7=0,13-$Q7,IF((BX$5-$E7)*12=$H7*12,($H7*12)-(BI7+BL7+BO7+BU7+BR7),IF((BX$5-$E7)&gt;0,12,0)))))</f>
        <v>0</v>
      </c>
      <c r="BY7" s="232">
        <f>IF(ISERROR(($J7/($H7*12)*BX7)),0,($J7/($H7*12)*BX7))</f>
        <v>0</v>
      </c>
      <c r="BZ7" s="233">
        <f>($J7*$I7)/12*BX7</f>
        <v>0</v>
      </c>
      <c r="CA7" s="77"/>
      <c r="CC7" s="327">
        <f>IF($E7=CC$5,J7,0)</f>
        <v>3300000</v>
      </c>
      <c r="CD7" s="327">
        <f>IF($E7=CD$5,J7,0)</f>
        <v>0</v>
      </c>
      <c r="CE7" s="327">
        <f>IF($E7=CE$5,J7,0)</f>
        <v>0</v>
      </c>
      <c r="CF7" s="327">
        <f>IF($E7=CF$5,J7,0)</f>
        <v>0</v>
      </c>
      <c r="CG7" s="327">
        <f>IF($E7=CG$5,J7,0)</f>
        <v>0</v>
      </c>
      <c r="CH7" s="327">
        <f>IF($E7=CH$5,J7,0)</f>
        <v>0</v>
      </c>
      <c r="CJ7" s="44" t="s">
        <v>103</v>
      </c>
      <c r="CK7" s="44">
        <v>2</v>
      </c>
    </row>
    <row r="8" spans="2:89" x14ac:dyDescent="0.25">
      <c r="B8" s="77"/>
      <c r="C8" s="62">
        <v>2</v>
      </c>
      <c r="D8" s="63"/>
      <c r="E8" s="63"/>
      <c r="F8" s="65"/>
      <c r="G8" s="65"/>
      <c r="H8" s="66"/>
      <c r="I8" s="426"/>
      <c r="J8" s="64"/>
      <c r="K8" s="417">
        <f t="shared" ref="K8:K16" si="12">IF($E8=K$5,$J8,0)</f>
        <v>0</v>
      </c>
      <c r="L8" s="417">
        <f t="shared" si="0"/>
        <v>0</v>
      </c>
      <c r="M8" s="417">
        <f t="shared" si="0"/>
        <v>0</v>
      </c>
      <c r="N8" s="417">
        <f t="shared" si="0"/>
        <v>0</v>
      </c>
      <c r="O8" s="417">
        <f t="shared" si="0"/>
        <v>0</v>
      </c>
      <c r="P8" s="417">
        <f t="shared" si="0"/>
        <v>0</v>
      </c>
      <c r="Q8" s="418">
        <f t="shared" si="1"/>
        <v>0</v>
      </c>
      <c r="R8" s="418">
        <f t="shared" ref="R8:R16" si="13">E8+G8</f>
        <v>0</v>
      </c>
      <c r="S8" s="419">
        <f t="shared" ref="S8:S16" si="14">ROUND(IF(S$6=$R8,($J8/($H8*12))*12-$Q8,0),0)</f>
        <v>0</v>
      </c>
      <c r="T8" s="419">
        <f t="shared" si="2"/>
        <v>0</v>
      </c>
      <c r="U8" s="419">
        <f t="shared" si="2"/>
        <v>0</v>
      </c>
      <c r="V8" s="419">
        <f t="shared" si="2"/>
        <v>0</v>
      </c>
      <c r="W8" s="419">
        <f t="shared" si="2"/>
        <v>0</v>
      </c>
      <c r="X8" s="419">
        <f t="shared" si="2"/>
        <v>0</v>
      </c>
      <c r="Y8" s="417">
        <f t="shared" si="3"/>
        <v>0</v>
      </c>
      <c r="Z8" s="417">
        <f t="shared" si="3"/>
        <v>0</v>
      </c>
      <c r="AA8" s="417">
        <f t="shared" si="3"/>
        <v>0</v>
      </c>
      <c r="AB8" s="417">
        <f t="shared" si="3"/>
        <v>0</v>
      </c>
      <c r="AC8" s="417">
        <f t="shared" si="3"/>
        <v>0</v>
      </c>
      <c r="AD8" s="417">
        <f t="shared" si="3"/>
        <v>0</v>
      </c>
      <c r="AE8" s="417">
        <f t="shared" si="3"/>
        <v>0</v>
      </c>
      <c r="AF8" s="417">
        <f t="shared" si="3"/>
        <v>0</v>
      </c>
      <c r="AG8" s="417">
        <f t="shared" si="3"/>
        <v>0</v>
      </c>
      <c r="AH8" s="417">
        <f t="shared" si="3"/>
        <v>0</v>
      </c>
      <c r="AI8" s="417">
        <f t="shared" si="3"/>
        <v>0</v>
      </c>
      <c r="AJ8" s="417">
        <f t="shared" si="3"/>
        <v>0</v>
      </c>
      <c r="AK8" s="67">
        <f t="shared" ref="AK8:AK16" si="15">IF(AND($K8&gt;0,$F8=TEXT(AK$6,1)),$K8/$H8/12,0)</f>
        <v>0</v>
      </c>
      <c r="AL8" s="67">
        <f t="shared" ref="AL8:AV8" si="16">IF(AK8&gt;0,AK8,IF(AND($K8&gt;0,$F8=TEXT(AL$6,1)),$K8/$H8/12,0))</f>
        <v>0</v>
      </c>
      <c r="AM8" s="67">
        <f t="shared" si="16"/>
        <v>0</v>
      </c>
      <c r="AN8" s="67">
        <f t="shared" si="16"/>
        <v>0</v>
      </c>
      <c r="AO8" s="67">
        <f t="shared" si="16"/>
        <v>0</v>
      </c>
      <c r="AP8" s="67">
        <f t="shared" si="16"/>
        <v>0</v>
      </c>
      <c r="AQ8" s="67">
        <f t="shared" si="16"/>
        <v>0</v>
      </c>
      <c r="AR8" s="67">
        <f t="shared" si="16"/>
        <v>0</v>
      </c>
      <c r="AS8" s="67">
        <f t="shared" si="16"/>
        <v>0</v>
      </c>
      <c r="AT8" s="67">
        <f t="shared" si="16"/>
        <v>0</v>
      </c>
      <c r="AU8" s="67">
        <f t="shared" si="16"/>
        <v>0</v>
      </c>
      <c r="AV8" s="67">
        <f t="shared" si="16"/>
        <v>0</v>
      </c>
      <c r="AW8" s="67">
        <f t="shared" ref="AW8:AW16" si="17">IF(AND($K8&gt;0,F8=TEXT(AW$6,1)),$K8*$I8/12,0)</f>
        <v>0</v>
      </c>
      <c r="AX8" s="67">
        <f t="shared" ref="AX8:BH8" si="18">IF(AND($K8&gt;0,$F8=TEXT(AX$6,1)),$K8*$I8/12,IF(AW8&gt;0,$K8*$I8/12,0))</f>
        <v>0</v>
      </c>
      <c r="AY8" s="67">
        <f t="shared" si="18"/>
        <v>0</v>
      </c>
      <c r="AZ8" s="67">
        <f t="shared" si="18"/>
        <v>0</v>
      </c>
      <c r="BA8" s="67">
        <f t="shared" si="18"/>
        <v>0</v>
      </c>
      <c r="BB8" s="67">
        <f t="shared" si="18"/>
        <v>0</v>
      </c>
      <c r="BC8" s="67">
        <f t="shared" si="18"/>
        <v>0</v>
      </c>
      <c r="BD8" s="67">
        <f t="shared" si="18"/>
        <v>0</v>
      </c>
      <c r="BE8" s="67">
        <f t="shared" si="18"/>
        <v>0</v>
      </c>
      <c r="BF8" s="67">
        <f t="shared" si="18"/>
        <v>0</v>
      </c>
      <c r="BG8" s="67">
        <f t="shared" si="18"/>
        <v>0</v>
      </c>
      <c r="BH8" s="67">
        <f t="shared" si="18"/>
        <v>0</v>
      </c>
      <c r="BI8" s="231">
        <f t="shared" si="6"/>
        <v>0</v>
      </c>
      <c r="BJ8" s="232">
        <f t="shared" ref="BJ8:BJ16" si="19">IF(ISERROR(($K8/($H8*12)*BI8)),0,($K8/($H8*12)*BI8))</f>
        <v>0</v>
      </c>
      <c r="BK8" s="233">
        <f t="shared" ref="BK8:BK16" si="20">($K8*$I8)/12*BI8</f>
        <v>0</v>
      </c>
      <c r="BL8" s="231">
        <f t="shared" si="7"/>
        <v>0</v>
      </c>
      <c r="BM8" s="232">
        <f t="shared" ref="BM8:BM16" si="21">IF(ISERROR(($J8/($H8*12)*BL8)),0,($J8/($H8*12)*BL8))</f>
        <v>0</v>
      </c>
      <c r="BN8" s="233">
        <f t="shared" ref="BN8:BN16" si="22">($J8*$I8)/12*BL8</f>
        <v>0</v>
      </c>
      <c r="BO8" s="231">
        <f t="shared" si="8"/>
        <v>0</v>
      </c>
      <c r="BP8" s="232">
        <f t="shared" ref="BP8:BP16" si="23">IF(ISERROR(($J8/($H8*12)*BO8)),0,($J8/($H8*12)*BO8))</f>
        <v>0</v>
      </c>
      <c r="BQ8" s="233">
        <f t="shared" ref="BQ8:BQ16" si="24">($J8*$I8)/12*BO8</f>
        <v>0</v>
      </c>
      <c r="BR8" s="231">
        <f t="shared" si="9"/>
        <v>0</v>
      </c>
      <c r="BS8" s="232">
        <f t="shared" ref="BS8:BS16" si="25">IF(ISERROR(($J8/($H8*12)*BR8)),0,($J8/($H8*12)*BR8))</f>
        <v>0</v>
      </c>
      <c r="BT8" s="233">
        <f t="shared" ref="BT8:BT16" si="26">($J8*$I8)/12*BR8</f>
        <v>0</v>
      </c>
      <c r="BU8" s="231">
        <f t="shared" si="10"/>
        <v>0</v>
      </c>
      <c r="BV8" s="232">
        <f t="shared" ref="BV8:BV16" si="27">IF(ISERROR(($J8/($H8*12)*BU8)),0,($J8/($H8*12)*BU8))</f>
        <v>0</v>
      </c>
      <c r="BW8" s="233">
        <f t="shared" ref="BW8:BW16" si="28">($J8*$I8)/12*BU8</f>
        <v>0</v>
      </c>
      <c r="BX8" s="231">
        <f t="shared" si="11"/>
        <v>0</v>
      </c>
      <c r="BY8" s="232">
        <f t="shared" ref="BY8:BY16" si="29">IF(ISERROR(($J8/($H8*12)*BX8)),0,($J8/($H8*12)*BX8))</f>
        <v>0</v>
      </c>
      <c r="BZ8" s="233">
        <f t="shared" ref="BZ8:BZ16" si="30">($J8*$I8)/12*BX8</f>
        <v>0</v>
      </c>
      <c r="CA8" s="77"/>
      <c r="CC8" s="327">
        <f t="shared" ref="CC8:CC16" si="31">IF($E8=CC$5,J8,0)</f>
        <v>0</v>
      </c>
      <c r="CD8" s="327">
        <f t="shared" ref="CD8:CD16" si="32">IF($E8=CD$5,J8,0)</f>
        <v>0</v>
      </c>
      <c r="CE8" s="327">
        <f t="shared" ref="CE8:CE16" si="33">IF($E8=CE$5,J8,0)</f>
        <v>0</v>
      </c>
      <c r="CF8" s="327">
        <f t="shared" ref="CF8:CF16" si="34">IF($E8=CF$5,J8,0)</f>
        <v>0</v>
      </c>
      <c r="CG8" s="327">
        <f t="shared" ref="CG8:CG16" si="35">IF($E8=CG$5,J8,0)</f>
        <v>0</v>
      </c>
      <c r="CH8" s="327">
        <f t="shared" ref="CH8:CH16" si="36">IF($E8=CH$5,J8,0)</f>
        <v>0</v>
      </c>
      <c r="CJ8" s="44" t="s">
        <v>104</v>
      </c>
      <c r="CK8" s="44">
        <v>3</v>
      </c>
    </row>
    <row r="9" spans="2:89" x14ac:dyDescent="0.25">
      <c r="B9" s="77"/>
      <c r="C9" s="62">
        <v>3</v>
      </c>
      <c r="D9" s="63"/>
      <c r="E9" s="63"/>
      <c r="F9" s="65"/>
      <c r="G9" s="65"/>
      <c r="H9" s="66">
        <v>0</v>
      </c>
      <c r="I9" s="426"/>
      <c r="J9" s="64"/>
      <c r="K9" s="417">
        <f t="shared" si="12"/>
        <v>0</v>
      </c>
      <c r="L9" s="417">
        <f t="shared" si="0"/>
        <v>0</v>
      </c>
      <c r="M9" s="417">
        <f t="shared" si="0"/>
        <v>0</v>
      </c>
      <c r="N9" s="417">
        <f t="shared" si="0"/>
        <v>0</v>
      </c>
      <c r="O9" s="417">
        <f t="shared" si="0"/>
        <v>0</v>
      </c>
      <c r="P9" s="417">
        <f t="shared" si="0"/>
        <v>0</v>
      </c>
      <c r="Q9" s="418">
        <f t="shared" si="1"/>
        <v>0</v>
      </c>
      <c r="R9" s="418">
        <f t="shared" si="13"/>
        <v>0</v>
      </c>
      <c r="S9" s="419">
        <f t="shared" si="14"/>
        <v>0</v>
      </c>
      <c r="T9" s="419">
        <f t="shared" si="2"/>
        <v>0</v>
      </c>
      <c r="U9" s="419">
        <f t="shared" si="2"/>
        <v>0</v>
      </c>
      <c r="V9" s="419">
        <f t="shared" si="2"/>
        <v>0</v>
      </c>
      <c r="W9" s="419">
        <f t="shared" si="2"/>
        <v>0</v>
      </c>
      <c r="X9" s="419">
        <f t="shared" si="2"/>
        <v>0</v>
      </c>
      <c r="Y9" s="417">
        <f t="shared" si="3"/>
        <v>0</v>
      </c>
      <c r="Z9" s="417">
        <f t="shared" si="3"/>
        <v>0</v>
      </c>
      <c r="AA9" s="417">
        <f t="shared" si="3"/>
        <v>0</v>
      </c>
      <c r="AB9" s="417">
        <f t="shared" si="3"/>
        <v>0</v>
      </c>
      <c r="AC9" s="417">
        <f t="shared" si="3"/>
        <v>0</v>
      </c>
      <c r="AD9" s="417">
        <f t="shared" si="3"/>
        <v>0</v>
      </c>
      <c r="AE9" s="417">
        <f t="shared" si="3"/>
        <v>0</v>
      </c>
      <c r="AF9" s="417">
        <f t="shared" si="3"/>
        <v>0</v>
      </c>
      <c r="AG9" s="417">
        <f t="shared" si="3"/>
        <v>0</v>
      </c>
      <c r="AH9" s="417">
        <f t="shared" si="3"/>
        <v>0</v>
      </c>
      <c r="AI9" s="417">
        <f t="shared" si="3"/>
        <v>0</v>
      </c>
      <c r="AJ9" s="417">
        <f t="shared" si="3"/>
        <v>0</v>
      </c>
      <c r="AK9" s="67">
        <f t="shared" si="15"/>
        <v>0</v>
      </c>
      <c r="AL9" s="67">
        <f t="shared" ref="AL9:AV9" si="37">IF(AK9&gt;0,AK9,IF(AND($K9&gt;0,$F9=TEXT(AL$6,1)),$K9/$H9/12,0))</f>
        <v>0</v>
      </c>
      <c r="AM9" s="67">
        <f t="shared" si="37"/>
        <v>0</v>
      </c>
      <c r="AN9" s="67">
        <f t="shared" si="37"/>
        <v>0</v>
      </c>
      <c r="AO9" s="67">
        <f t="shared" si="37"/>
        <v>0</v>
      </c>
      <c r="AP9" s="67">
        <f t="shared" si="37"/>
        <v>0</v>
      </c>
      <c r="AQ9" s="67">
        <f t="shared" si="37"/>
        <v>0</v>
      </c>
      <c r="AR9" s="67">
        <f t="shared" si="37"/>
        <v>0</v>
      </c>
      <c r="AS9" s="67">
        <f t="shared" si="37"/>
        <v>0</v>
      </c>
      <c r="AT9" s="67">
        <f t="shared" si="37"/>
        <v>0</v>
      </c>
      <c r="AU9" s="67">
        <f t="shared" si="37"/>
        <v>0</v>
      </c>
      <c r="AV9" s="67">
        <f t="shared" si="37"/>
        <v>0</v>
      </c>
      <c r="AW9" s="67">
        <f t="shared" si="17"/>
        <v>0</v>
      </c>
      <c r="AX9" s="67">
        <f t="shared" ref="AX9:BH9" si="38">IF(AND($K9&gt;0,$F9=TEXT(AX$6,1)),$K9*$I9/12,IF(AW9&gt;0,$K9*$I9/12,0))</f>
        <v>0</v>
      </c>
      <c r="AY9" s="67">
        <f t="shared" si="38"/>
        <v>0</v>
      </c>
      <c r="AZ9" s="67">
        <f t="shared" si="38"/>
        <v>0</v>
      </c>
      <c r="BA9" s="67">
        <f t="shared" si="38"/>
        <v>0</v>
      </c>
      <c r="BB9" s="67">
        <f t="shared" si="38"/>
        <v>0</v>
      </c>
      <c r="BC9" s="67">
        <f t="shared" si="38"/>
        <v>0</v>
      </c>
      <c r="BD9" s="67">
        <f t="shared" si="38"/>
        <v>0</v>
      </c>
      <c r="BE9" s="67">
        <f t="shared" si="38"/>
        <v>0</v>
      </c>
      <c r="BF9" s="67">
        <f t="shared" si="38"/>
        <v>0</v>
      </c>
      <c r="BG9" s="67">
        <f t="shared" si="38"/>
        <v>0</v>
      </c>
      <c r="BH9" s="67">
        <f t="shared" si="38"/>
        <v>0</v>
      </c>
      <c r="BI9" s="231">
        <f t="shared" si="6"/>
        <v>0</v>
      </c>
      <c r="BJ9" s="232">
        <f t="shared" si="19"/>
        <v>0</v>
      </c>
      <c r="BK9" s="233">
        <f t="shared" si="20"/>
        <v>0</v>
      </c>
      <c r="BL9" s="231">
        <f t="shared" si="7"/>
        <v>0</v>
      </c>
      <c r="BM9" s="232">
        <f t="shared" si="21"/>
        <v>0</v>
      </c>
      <c r="BN9" s="233">
        <f t="shared" si="22"/>
        <v>0</v>
      </c>
      <c r="BO9" s="231">
        <f t="shared" si="8"/>
        <v>0</v>
      </c>
      <c r="BP9" s="232">
        <f t="shared" si="23"/>
        <v>0</v>
      </c>
      <c r="BQ9" s="233">
        <f t="shared" si="24"/>
        <v>0</v>
      </c>
      <c r="BR9" s="231">
        <f t="shared" si="9"/>
        <v>0</v>
      </c>
      <c r="BS9" s="232">
        <f t="shared" si="25"/>
        <v>0</v>
      </c>
      <c r="BT9" s="233">
        <f t="shared" si="26"/>
        <v>0</v>
      </c>
      <c r="BU9" s="231">
        <f t="shared" si="10"/>
        <v>0</v>
      </c>
      <c r="BV9" s="232">
        <f t="shared" si="27"/>
        <v>0</v>
      </c>
      <c r="BW9" s="233">
        <f t="shared" si="28"/>
        <v>0</v>
      </c>
      <c r="BX9" s="231">
        <f t="shared" si="11"/>
        <v>0</v>
      </c>
      <c r="BY9" s="232">
        <f t="shared" si="29"/>
        <v>0</v>
      </c>
      <c r="BZ9" s="233">
        <f t="shared" si="30"/>
        <v>0</v>
      </c>
      <c r="CA9" s="77"/>
      <c r="CC9" s="327">
        <f t="shared" si="31"/>
        <v>0</v>
      </c>
      <c r="CD9" s="327">
        <f t="shared" si="32"/>
        <v>0</v>
      </c>
      <c r="CE9" s="327">
        <f t="shared" si="33"/>
        <v>0</v>
      </c>
      <c r="CF9" s="327">
        <f t="shared" si="34"/>
        <v>0</v>
      </c>
      <c r="CG9" s="327">
        <f t="shared" si="35"/>
        <v>0</v>
      </c>
      <c r="CH9" s="327">
        <f t="shared" si="36"/>
        <v>0</v>
      </c>
      <c r="CJ9" s="44" t="s">
        <v>105</v>
      </c>
      <c r="CK9" s="44">
        <v>4</v>
      </c>
    </row>
    <row r="10" spans="2:89" x14ac:dyDescent="0.25">
      <c r="B10" s="77"/>
      <c r="C10" s="62">
        <v>4</v>
      </c>
      <c r="D10" s="63"/>
      <c r="E10" s="63"/>
      <c r="F10" s="65"/>
      <c r="G10" s="65"/>
      <c r="H10" s="66">
        <v>0</v>
      </c>
      <c r="I10" s="426"/>
      <c r="J10" s="64"/>
      <c r="K10" s="417">
        <f t="shared" si="12"/>
        <v>0</v>
      </c>
      <c r="L10" s="417">
        <f t="shared" si="0"/>
        <v>0</v>
      </c>
      <c r="M10" s="417">
        <f t="shared" si="0"/>
        <v>0</v>
      </c>
      <c r="N10" s="417">
        <f t="shared" si="0"/>
        <v>0</v>
      </c>
      <c r="O10" s="417">
        <f t="shared" si="0"/>
        <v>0</v>
      </c>
      <c r="P10" s="417">
        <f t="shared" si="0"/>
        <v>0</v>
      </c>
      <c r="Q10" s="418">
        <f t="shared" si="1"/>
        <v>0</v>
      </c>
      <c r="R10" s="418">
        <f t="shared" si="13"/>
        <v>0</v>
      </c>
      <c r="S10" s="419">
        <f t="shared" si="14"/>
        <v>0</v>
      </c>
      <c r="T10" s="419">
        <f t="shared" si="2"/>
        <v>0</v>
      </c>
      <c r="U10" s="419">
        <f t="shared" si="2"/>
        <v>0</v>
      </c>
      <c r="V10" s="419">
        <f t="shared" si="2"/>
        <v>0</v>
      </c>
      <c r="W10" s="419">
        <f t="shared" si="2"/>
        <v>0</v>
      </c>
      <c r="X10" s="419">
        <f t="shared" si="2"/>
        <v>0</v>
      </c>
      <c r="Y10" s="417">
        <f t="shared" si="3"/>
        <v>0</v>
      </c>
      <c r="Z10" s="417">
        <f t="shared" si="3"/>
        <v>0</v>
      </c>
      <c r="AA10" s="417">
        <f t="shared" si="3"/>
        <v>0</v>
      </c>
      <c r="AB10" s="417">
        <f t="shared" si="3"/>
        <v>0</v>
      </c>
      <c r="AC10" s="417">
        <f t="shared" si="3"/>
        <v>0</v>
      </c>
      <c r="AD10" s="417">
        <f t="shared" si="3"/>
        <v>0</v>
      </c>
      <c r="AE10" s="417">
        <f t="shared" si="3"/>
        <v>0</v>
      </c>
      <c r="AF10" s="417">
        <f t="shared" si="3"/>
        <v>0</v>
      </c>
      <c r="AG10" s="417">
        <f t="shared" si="3"/>
        <v>0</v>
      </c>
      <c r="AH10" s="417">
        <f t="shared" si="3"/>
        <v>0</v>
      </c>
      <c r="AI10" s="417">
        <f t="shared" si="3"/>
        <v>0</v>
      </c>
      <c r="AJ10" s="417">
        <f t="shared" si="3"/>
        <v>0</v>
      </c>
      <c r="AK10" s="67">
        <f t="shared" si="15"/>
        <v>0</v>
      </c>
      <c r="AL10" s="67">
        <f t="shared" ref="AL10:AV10" si="39">IF(AK10&gt;0,AK10,IF(AND($K10&gt;0,$F10=TEXT(AL$6,1)),$K10/$H10/12,0))</f>
        <v>0</v>
      </c>
      <c r="AM10" s="67">
        <f t="shared" si="39"/>
        <v>0</v>
      </c>
      <c r="AN10" s="67">
        <f t="shared" si="39"/>
        <v>0</v>
      </c>
      <c r="AO10" s="67">
        <f t="shared" si="39"/>
        <v>0</v>
      </c>
      <c r="AP10" s="67">
        <f t="shared" si="39"/>
        <v>0</v>
      </c>
      <c r="AQ10" s="67">
        <f t="shared" si="39"/>
        <v>0</v>
      </c>
      <c r="AR10" s="67">
        <f t="shared" si="39"/>
        <v>0</v>
      </c>
      <c r="AS10" s="67">
        <f t="shared" si="39"/>
        <v>0</v>
      </c>
      <c r="AT10" s="67">
        <f t="shared" si="39"/>
        <v>0</v>
      </c>
      <c r="AU10" s="67">
        <f t="shared" si="39"/>
        <v>0</v>
      </c>
      <c r="AV10" s="67">
        <f t="shared" si="39"/>
        <v>0</v>
      </c>
      <c r="AW10" s="67">
        <f t="shared" si="17"/>
        <v>0</v>
      </c>
      <c r="AX10" s="67">
        <f t="shared" ref="AX10:BH10" si="40">IF(AND($K10&gt;0,$F10=TEXT(AX$6,1)),$K10*$I10/12,IF(AW10&gt;0,$K10*$I10/12,0))</f>
        <v>0</v>
      </c>
      <c r="AY10" s="67">
        <f t="shared" si="40"/>
        <v>0</v>
      </c>
      <c r="AZ10" s="67">
        <f t="shared" si="40"/>
        <v>0</v>
      </c>
      <c r="BA10" s="67">
        <f t="shared" si="40"/>
        <v>0</v>
      </c>
      <c r="BB10" s="67">
        <f t="shared" si="40"/>
        <v>0</v>
      </c>
      <c r="BC10" s="67">
        <f t="shared" si="40"/>
        <v>0</v>
      </c>
      <c r="BD10" s="67">
        <f t="shared" si="40"/>
        <v>0</v>
      </c>
      <c r="BE10" s="67">
        <f t="shared" si="40"/>
        <v>0</v>
      </c>
      <c r="BF10" s="67">
        <f t="shared" si="40"/>
        <v>0</v>
      </c>
      <c r="BG10" s="67">
        <f t="shared" si="40"/>
        <v>0</v>
      </c>
      <c r="BH10" s="67">
        <f t="shared" si="40"/>
        <v>0</v>
      </c>
      <c r="BI10" s="231">
        <f t="shared" si="6"/>
        <v>0</v>
      </c>
      <c r="BJ10" s="232">
        <f t="shared" si="19"/>
        <v>0</v>
      </c>
      <c r="BK10" s="233">
        <f t="shared" si="20"/>
        <v>0</v>
      </c>
      <c r="BL10" s="231">
        <f t="shared" si="7"/>
        <v>0</v>
      </c>
      <c r="BM10" s="232">
        <f t="shared" si="21"/>
        <v>0</v>
      </c>
      <c r="BN10" s="233">
        <f t="shared" si="22"/>
        <v>0</v>
      </c>
      <c r="BO10" s="231">
        <f t="shared" si="8"/>
        <v>0</v>
      </c>
      <c r="BP10" s="232">
        <f t="shared" si="23"/>
        <v>0</v>
      </c>
      <c r="BQ10" s="233">
        <f t="shared" si="24"/>
        <v>0</v>
      </c>
      <c r="BR10" s="231">
        <f t="shared" si="9"/>
        <v>0</v>
      </c>
      <c r="BS10" s="232">
        <f t="shared" si="25"/>
        <v>0</v>
      </c>
      <c r="BT10" s="233">
        <f t="shared" si="26"/>
        <v>0</v>
      </c>
      <c r="BU10" s="231">
        <f t="shared" si="10"/>
        <v>0</v>
      </c>
      <c r="BV10" s="232">
        <f t="shared" si="27"/>
        <v>0</v>
      </c>
      <c r="BW10" s="233">
        <f t="shared" si="28"/>
        <v>0</v>
      </c>
      <c r="BX10" s="231">
        <f t="shared" si="11"/>
        <v>0</v>
      </c>
      <c r="BY10" s="232">
        <f t="shared" si="29"/>
        <v>0</v>
      </c>
      <c r="BZ10" s="233">
        <f t="shared" si="30"/>
        <v>0</v>
      </c>
      <c r="CA10" s="77"/>
      <c r="CC10" s="327">
        <f t="shared" si="31"/>
        <v>0</v>
      </c>
      <c r="CD10" s="327">
        <f t="shared" si="32"/>
        <v>0</v>
      </c>
      <c r="CE10" s="327">
        <f t="shared" si="33"/>
        <v>0</v>
      </c>
      <c r="CF10" s="327">
        <f t="shared" si="34"/>
        <v>0</v>
      </c>
      <c r="CG10" s="327">
        <f t="shared" si="35"/>
        <v>0</v>
      </c>
      <c r="CH10" s="327">
        <f t="shared" si="36"/>
        <v>0</v>
      </c>
      <c r="CJ10" s="44" t="s">
        <v>106</v>
      </c>
      <c r="CK10" s="44">
        <v>5</v>
      </c>
    </row>
    <row r="11" spans="2:89" x14ac:dyDescent="0.25">
      <c r="B11" s="77"/>
      <c r="C11" s="62">
        <v>5</v>
      </c>
      <c r="D11" s="63"/>
      <c r="E11" s="63"/>
      <c r="F11" s="65"/>
      <c r="G11" s="65"/>
      <c r="H11" s="66">
        <v>0</v>
      </c>
      <c r="I11" s="426"/>
      <c r="J11" s="64"/>
      <c r="K11" s="417">
        <f t="shared" si="12"/>
        <v>0</v>
      </c>
      <c r="L11" s="417">
        <f t="shared" si="0"/>
        <v>0</v>
      </c>
      <c r="M11" s="417">
        <f t="shared" si="0"/>
        <v>0</v>
      </c>
      <c r="N11" s="417">
        <f t="shared" si="0"/>
        <v>0</v>
      </c>
      <c r="O11" s="417">
        <f t="shared" si="0"/>
        <v>0</v>
      </c>
      <c r="P11" s="417">
        <f t="shared" si="0"/>
        <v>0</v>
      </c>
      <c r="Q11" s="418">
        <f t="shared" si="1"/>
        <v>0</v>
      </c>
      <c r="R11" s="418">
        <f t="shared" si="13"/>
        <v>0</v>
      </c>
      <c r="S11" s="419">
        <f t="shared" si="14"/>
        <v>0</v>
      </c>
      <c r="T11" s="419">
        <f t="shared" si="2"/>
        <v>0</v>
      </c>
      <c r="U11" s="419">
        <f t="shared" si="2"/>
        <v>0</v>
      </c>
      <c r="V11" s="419">
        <f t="shared" si="2"/>
        <v>0</v>
      </c>
      <c r="W11" s="419">
        <f t="shared" si="2"/>
        <v>0</v>
      </c>
      <c r="X11" s="419">
        <f t="shared" si="2"/>
        <v>0</v>
      </c>
      <c r="Y11" s="417">
        <f t="shared" si="3"/>
        <v>0</v>
      </c>
      <c r="Z11" s="417">
        <f t="shared" si="3"/>
        <v>0</v>
      </c>
      <c r="AA11" s="417">
        <f t="shared" si="3"/>
        <v>0</v>
      </c>
      <c r="AB11" s="417">
        <f t="shared" si="3"/>
        <v>0</v>
      </c>
      <c r="AC11" s="417">
        <f t="shared" si="3"/>
        <v>0</v>
      </c>
      <c r="AD11" s="417">
        <f t="shared" si="3"/>
        <v>0</v>
      </c>
      <c r="AE11" s="417">
        <f t="shared" si="3"/>
        <v>0</v>
      </c>
      <c r="AF11" s="417">
        <f t="shared" si="3"/>
        <v>0</v>
      </c>
      <c r="AG11" s="417">
        <f t="shared" si="3"/>
        <v>0</v>
      </c>
      <c r="AH11" s="417">
        <f t="shared" si="3"/>
        <v>0</v>
      </c>
      <c r="AI11" s="417">
        <f t="shared" si="3"/>
        <v>0</v>
      </c>
      <c r="AJ11" s="417">
        <f t="shared" si="3"/>
        <v>0</v>
      </c>
      <c r="AK11" s="67">
        <f t="shared" si="15"/>
        <v>0</v>
      </c>
      <c r="AL11" s="67">
        <f t="shared" ref="AL11:AV11" si="41">IF(AK11&gt;0,AK11,IF(AND($K11&gt;0,$F11=TEXT(AL$6,1)),$K11/$H11/12,0))</f>
        <v>0</v>
      </c>
      <c r="AM11" s="67">
        <f t="shared" si="41"/>
        <v>0</v>
      </c>
      <c r="AN11" s="67">
        <f t="shared" si="41"/>
        <v>0</v>
      </c>
      <c r="AO11" s="67">
        <f t="shared" si="41"/>
        <v>0</v>
      </c>
      <c r="AP11" s="67">
        <f t="shared" si="41"/>
        <v>0</v>
      </c>
      <c r="AQ11" s="67">
        <f t="shared" si="41"/>
        <v>0</v>
      </c>
      <c r="AR11" s="67">
        <f t="shared" si="41"/>
        <v>0</v>
      </c>
      <c r="AS11" s="67">
        <f t="shared" si="41"/>
        <v>0</v>
      </c>
      <c r="AT11" s="67">
        <f t="shared" si="41"/>
        <v>0</v>
      </c>
      <c r="AU11" s="67">
        <f t="shared" si="41"/>
        <v>0</v>
      </c>
      <c r="AV11" s="67">
        <f t="shared" si="41"/>
        <v>0</v>
      </c>
      <c r="AW11" s="67">
        <f t="shared" si="17"/>
        <v>0</v>
      </c>
      <c r="AX11" s="67">
        <f t="shared" ref="AX11:BH11" si="42">IF(AND($K11&gt;0,$F11=TEXT(AX$6,1)),$K11*$I11/12,IF(AW11&gt;0,$K11*$I11/12,0))</f>
        <v>0</v>
      </c>
      <c r="AY11" s="67">
        <f t="shared" si="42"/>
        <v>0</v>
      </c>
      <c r="AZ11" s="67">
        <f t="shared" si="42"/>
        <v>0</v>
      </c>
      <c r="BA11" s="67">
        <f t="shared" si="42"/>
        <v>0</v>
      </c>
      <c r="BB11" s="67">
        <f t="shared" si="42"/>
        <v>0</v>
      </c>
      <c r="BC11" s="67">
        <f t="shared" si="42"/>
        <v>0</v>
      </c>
      <c r="BD11" s="67">
        <f t="shared" si="42"/>
        <v>0</v>
      </c>
      <c r="BE11" s="67">
        <f t="shared" si="42"/>
        <v>0</v>
      </c>
      <c r="BF11" s="67">
        <f t="shared" si="42"/>
        <v>0</v>
      </c>
      <c r="BG11" s="67">
        <f t="shared" si="42"/>
        <v>0</v>
      </c>
      <c r="BH11" s="67">
        <f t="shared" si="42"/>
        <v>0</v>
      </c>
      <c r="BI11" s="231">
        <f t="shared" si="6"/>
        <v>0</v>
      </c>
      <c r="BJ11" s="232">
        <f t="shared" si="19"/>
        <v>0</v>
      </c>
      <c r="BK11" s="233">
        <f t="shared" si="20"/>
        <v>0</v>
      </c>
      <c r="BL11" s="231">
        <f t="shared" si="7"/>
        <v>0</v>
      </c>
      <c r="BM11" s="232">
        <f t="shared" si="21"/>
        <v>0</v>
      </c>
      <c r="BN11" s="233">
        <f t="shared" si="22"/>
        <v>0</v>
      </c>
      <c r="BO11" s="231">
        <f t="shared" si="8"/>
        <v>0</v>
      </c>
      <c r="BP11" s="232">
        <f t="shared" si="23"/>
        <v>0</v>
      </c>
      <c r="BQ11" s="233">
        <f t="shared" si="24"/>
        <v>0</v>
      </c>
      <c r="BR11" s="231">
        <f t="shared" si="9"/>
        <v>0</v>
      </c>
      <c r="BS11" s="232">
        <f t="shared" si="25"/>
        <v>0</v>
      </c>
      <c r="BT11" s="233">
        <f t="shared" si="26"/>
        <v>0</v>
      </c>
      <c r="BU11" s="231">
        <f t="shared" si="10"/>
        <v>0</v>
      </c>
      <c r="BV11" s="232">
        <f t="shared" si="27"/>
        <v>0</v>
      </c>
      <c r="BW11" s="233">
        <f t="shared" si="28"/>
        <v>0</v>
      </c>
      <c r="BX11" s="231">
        <f t="shared" si="11"/>
        <v>0</v>
      </c>
      <c r="BY11" s="232">
        <f t="shared" si="29"/>
        <v>0</v>
      </c>
      <c r="BZ11" s="233">
        <f t="shared" si="30"/>
        <v>0</v>
      </c>
      <c r="CA11" s="77"/>
      <c r="CC11" s="327">
        <f t="shared" si="31"/>
        <v>0</v>
      </c>
      <c r="CD11" s="327">
        <f t="shared" si="32"/>
        <v>0</v>
      </c>
      <c r="CE11" s="327">
        <f t="shared" si="33"/>
        <v>0</v>
      </c>
      <c r="CF11" s="327">
        <f t="shared" si="34"/>
        <v>0</v>
      </c>
      <c r="CG11" s="327">
        <f t="shared" si="35"/>
        <v>0</v>
      </c>
      <c r="CH11" s="327">
        <f t="shared" si="36"/>
        <v>0</v>
      </c>
      <c r="CJ11" s="44" t="s">
        <v>107</v>
      </c>
      <c r="CK11" s="44">
        <v>6</v>
      </c>
    </row>
    <row r="12" spans="2:89" x14ac:dyDescent="0.25">
      <c r="B12" s="77"/>
      <c r="C12" s="62">
        <v>6</v>
      </c>
      <c r="D12" s="63"/>
      <c r="E12" s="63"/>
      <c r="F12" s="65"/>
      <c r="G12" s="65"/>
      <c r="H12" s="66">
        <v>0</v>
      </c>
      <c r="I12" s="426"/>
      <c r="J12" s="64"/>
      <c r="K12" s="417">
        <f t="shared" si="12"/>
        <v>0</v>
      </c>
      <c r="L12" s="417">
        <f t="shared" si="0"/>
        <v>0</v>
      </c>
      <c r="M12" s="417">
        <f t="shared" si="0"/>
        <v>0</v>
      </c>
      <c r="N12" s="417">
        <f t="shared" si="0"/>
        <v>0</v>
      </c>
      <c r="O12" s="417">
        <f t="shared" si="0"/>
        <v>0</v>
      </c>
      <c r="P12" s="417">
        <f t="shared" si="0"/>
        <v>0</v>
      </c>
      <c r="Q12" s="418">
        <f t="shared" si="1"/>
        <v>0</v>
      </c>
      <c r="R12" s="418">
        <f t="shared" si="13"/>
        <v>0</v>
      </c>
      <c r="S12" s="419">
        <f t="shared" si="14"/>
        <v>0</v>
      </c>
      <c r="T12" s="419">
        <f t="shared" si="2"/>
        <v>0</v>
      </c>
      <c r="U12" s="419">
        <f t="shared" si="2"/>
        <v>0</v>
      </c>
      <c r="V12" s="419">
        <f t="shared" si="2"/>
        <v>0</v>
      </c>
      <c r="W12" s="419">
        <f t="shared" si="2"/>
        <v>0</v>
      </c>
      <c r="X12" s="419">
        <f t="shared" si="2"/>
        <v>0</v>
      </c>
      <c r="Y12" s="417">
        <f t="shared" si="3"/>
        <v>0</v>
      </c>
      <c r="Z12" s="417">
        <f t="shared" si="3"/>
        <v>0</v>
      </c>
      <c r="AA12" s="417">
        <f t="shared" si="3"/>
        <v>0</v>
      </c>
      <c r="AB12" s="417">
        <f t="shared" si="3"/>
        <v>0</v>
      </c>
      <c r="AC12" s="417">
        <f t="shared" si="3"/>
        <v>0</v>
      </c>
      <c r="AD12" s="417">
        <f t="shared" si="3"/>
        <v>0</v>
      </c>
      <c r="AE12" s="417">
        <f t="shared" si="3"/>
        <v>0</v>
      </c>
      <c r="AF12" s="417">
        <f t="shared" si="3"/>
        <v>0</v>
      </c>
      <c r="AG12" s="417">
        <f t="shared" si="3"/>
        <v>0</v>
      </c>
      <c r="AH12" s="417">
        <f t="shared" si="3"/>
        <v>0</v>
      </c>
      <c r="AI12" s="417">
        <f t="shared" si="3"/>
        <v>0</v>
      </c>
      <c r="AJ12" s="417">
        <f t="shared" si="3"/>
        <v>0</v>
      </c>
      <c r="AK12" s="67">
        <f t="shared" si="15"/>
        <v>0</v>
      </c>
      <c r="AL12" s="67">
        <f t="shared" ref="AL12:AV12" si="43">IF(AK12&gt;0,AK12,IF(AND($K12&gt;0,$F12=TEXT(AL$6,1)),$K12/$H12/12,0))</f>
        <v>0</v>
      </c>
      <c r="AM12" s="67">
        <f t="shared" si="43"/>
        <v>0</v>
      </c>
      <c r="AN12" s="67">
        <f t="shared" si="43"/>
        <v>0</v>
      </c>
      <c r="AO12" s="67">
        <f t="shared" si="43"/>
        <v>0</v>
      </c>
      <c r="AP12" s="67">
        <f t="shared" si="43"/>
        <v>0</v>
      </c>
      <c r="AQ12" s="67">
        <f t="shared" si="43"/>
        <v>0</v>
      </c>
      <c r="AR12" s="67">
        <f t="shared" si="43"/>
        <v>0</v>
      </c>
      <c r="AS12" s="67">
        <f t="shared" si="43"/>
        <v>0</v>
      </c>
      <c r="AT12" s="67">
        <f t="shared" si="43"/>
        <v>0</v>
      </c>
      <c r="AU12" s="67">
        <f t="shared" si="43"/>
        <v>0</v>
      </c>
      <c r="AV12" s="67">
        <f t="shared" si="43"/>
        <v>0</v>
      </c>
      <c r="AW12" s="67">
        <f t="shared" si="17"/>
        <v>0</v>
      </c>
      <c r="AX12" s="67">
        <f t="shared" ref="AX12:BH12" si="44">IF(AND($K12&gt;0,$F12=TEXT(AX$6,1)),$K12*$I12/12,IF(AW12&gt;0,$K12*$I12/12,0))</f>
        <v>0</v>
      </c>
      <c r="AY12" s="67">
        <f t="shared" si="44"/>
        <v>0</v>
      </c>
      <c r="AZ12" s="67">
        <f t="shared" si="44"/>
        <v>0</v>
      </c>
      <c r="BA12" s="67">
        <f t="shared" si="44"/>
        <v>0</v>
      </c>
      <c r="BB12" s="67">
        <f t="shared" si="44"/>
        <v>0</v>
      </c>
      <c r="BC12" s="67">
        <f t="shared" si="44"/>
        <v>0</v>
      </c>
      <c r="BD12" s="67">
        <f t="shared" si="44"/>
        <v>0</v>
      </c>
      <c r="BE12" s="67">
        <f t="shared" si="44"/>
        <v>0</v>
      </c>
      <c r="BF12" s="67">
        <f t="shared" si="44"/>
        <v>0</v>
      </c>
      <c r="BG12" s="67">
        <f t="shared" si="44"/>
        <v>0</v>
      </c>
      <c r="BH12" s="67">
        <f t="shared" si="44"/>
        <v>0</v>
      </c>
      <c r="BI12" s="231">
        <f t="shared" si="6"/>
        <v>0</v>
      </c>
      <c r="BJ12" s="232">
        <f t="shared" si="19"/>
        <v>0</v>
      </c>
      <c r="BK12" s="233">
        <f t="shared" si="20"/>
        <v>0</v>
      </c>
      <c r="BL12" s="231">
        <f t="shared" si="7"/>
        <v>0</v>
      </c>
      <c r="BM12" s="232">
        <f t="shared" si="21"/>
        <v>0</v>
      </c>
      <c r="BN12" s="233">
        <f t="shared" si="22"/>
        <v>0</v>
      </c>
      <c r="BO12" s="231">
        <f t="shared" si="8"/>
        <v>0</v>
      </c>
      <c r="BP12" s="232">
        <f t="shared" si="23"/>
        <v>0</v>
      </c>
      <c r="BQ12" s="233">
        <f t="shared" si="24"/>
        <v>0</v>
      </c>
      <c r="BR12" s="231">
        <f t="shared" si="9"/>
        <v>0</v>
      </c>
      <c r="BS12" s="232">
        <f t="shared" si="25"/>
        <v>0</v>
      </c>
      <c r="BT12" s="233">
        <f t="shared" si="26"/>
        <v>0</v>
      </c>
      <c r="BU12" s="231">
        <f t="shared" si="10"/>
        <v>0</v>
      </c>
      <c r="BV12" s="232">
        <f t="shared" si="27"/>
        <v>0</v>
      </c>
      <c r="BW12" s="233">
        <f t="shared" si="28"/>
        <v>0</v>
      </c>
      <c r="BX12" s="231">
        <f t="shared" si="11"/>
        <v>0</v>
      </c>
      <c r="BY12" s="232">
        <f t="shared" si="29"/>
        <v>0</v>
      </c>
      <c r="BZ12" s="233">
        <f t="shared" si="30"/>
        <v>0</v>
      </c>
      <c r="CA12" s="77"/>
      <c r="CC12" s="327">
        <f t="shared" si="31"/>
        <v>0</v>
      </c>
      <c r="CD12" s="327">
        <f t="shared" si="32"/>
        <v>0</v>
      </c>
      <c r="CE12" s="327">
        <f t="shared" si="33"/>
        <v>0</v>
      </c>
      <c r="CF12" s="327">
        <f t="shared" si="34"/>
        <v>0</v>
      </c>
      <c r="CG12" s="327">
        <f t="shared" si="35"/>
        <v>0</v>
      </c>
      <c r="CH12" s="327">
        <f t="shared" si="36"/>
        <v>0</v>
      </c>
      <c r="CJ12" s="44" t="s">
        <v>108</v>
      </c>
      <c r="CK12" s="44">
        <v>7</v>
      </c>
    </row>
    <row r="13" spans="2:89" x14ac:dyDescent="0.25">
      <c r="B13" s="77"/>
      <c r="C13" s="62">
        <v>7</v>
      </c>
      <c r="D13" s="63"/>
      <c r="E13" s="63"/>
      <c r="F13" s="65"/>
      <c r="G13" s="65"/>
      <c r="H13" s="66">
        <v>0</v>
      </c>
      <c r="I13" s="426"/>
      <c r="J13" s="64"/>
      <c r="K13" s="417">
        <f t="shared" si="12"/>
        <v>0</v>
      </c>
      <c r="L13" s="417">
        <f t="shared" si="0"/>
        <v>0</v>
      </c>
      <c r="M13" s="417">
        <f t="shared" si="0"/>
        <v>0</v>
      </c>
      <c r="N13" s="417">
        <f t="shared" si="0"/>
        <v>0</v>
      </c>
      <c r="O13" s="417">
        <f t="shared" si="0"/>
        <v>0</v>
      </c>
      <c r="P13" s="417">
        <f t="shared" si="0"/>
        <v>0</v>
      </c>
      <c r="Q13" s="418">
        <f t="shared" si="1"/>
        <v>0</v>
      </c>
      <c r="R13" s="418">
        <f t="shared" si="13"/>
        <v>0</v>
      </c>
      <c r="S13" s="419">
        <f t="shared" si="14"/>
        <v>0</v>
      </c>
      <c r="T13" s="419">
        <f t="shared" si="2"/>
        <v>0</v>
      </c>
      <c r="U13" s="419">
        <f t="shared" si="2"/>
        <v>0</v>
      </c>
      <c r="V13" s="419">
        <f t="shared" si="2"/>
        <v>0</v>
      </c>
      <c r="W13" s="419">
        <f t="shared" si="2"/>
        <v>0</v>
      </c>
      <c r="X13" s="419">
        <f t="shared" si="2"/>
        <v>0</v>
      </c>
      <c r="Y13" s="417">
        <f t="shared" si="3"/>
        <v>0</v>
      </c>
      <c r="Z13" s="417">
        <f t="shared" si="3"/>
        <v>0</v>
      </c>
      <c r="AA13" s="417">
        <f t="shared" si="3"/>
        <v>0</v>
      </c>
      <c r="AB13" s="417">
        <f t="shared" si="3"/>
        <v>0</v>
      </c>
      <c r="AC13" s="417">
        <f t="shared" si="3"/>
        <v>0</v>
      </c>
      <c r="AD13" s="417">
        <f t="shared" si="3"/>
        <v>0</v>
      </c>
      <c r="AE13" s="417">
        <f t="shared" si="3"/>
        <v>0</v>
      </c>
      <c r="AF13" s="417">
        <f t="shared" si="3"/>
        <v>0</v>
      </c>
      <c r="AG13" s="417">
        <f t="shared" si="3"/>
        <v>0</v>
      </c>
      <c r="AH13" s="417">
        <f t="shared" si="3"/>
        <v>0</v>
      </c>
      <c r="AI13" s="417">
        <f t="shared" si="3"/>
        <v>0</v>
      </c>
      <c r="AJ13" s="417">
        <f t="shared" si="3"/>
        <v>0</v>
      </c>
      <c r="AK13" s="67">
        <f t="shared" si="15"/>
        <v>0</v>
      </c>
      <c r="AL13" s="67">
        <f t="shared" ref="AL13:AV13" si="45">IF(AK13&gt;0,AK13,IF(AND($K13&gt;0,$F13=TEXT(AL$6,1)),$K13/$H13/12,0))</f>
        <v>0</v>
      </c>
      <c r="AM13" s="67">
        <f t="shared" si="45"/>
        <v>0</v>
      </c>
      <c r="AN13" s="67">
        <f t="shared" si="45"/>
        <v>0</v>
      </c>
      <c r="AO13" s="67">
        <f t="shared" si="45"/>
        <v>0</v>
      </c>
      <c r="AP13" s="67">
        <f t="shared" si="45"/>
        <v>0</v>
      </c>
      <c r="AQ13" s="67">
        <f t="shared" si="45"/>
        <v>0</v>
      </c>
      <c r="AR13" s="67">
        <f t="shared" si="45"/>
        <v>0</v>
      </c>
      <c r="AS13" s="67">
        <f t="shared" si="45"/>
        <v>0</v>
      </c>
      <c r="AT13" s="67">
        <f t="shared" si="45"/>
        <v>0</v>
      </c>
      <c r="AU13" s="67">
        <f t="shared" si="45"/>
        <v>0</v>
      </c>
      <c r="AV13" s="67">
        <f t="shared" si="45"/>
        <v>0</v>
      </c>
      <c r="AW13" s="67">
        <f t="shared" si="17"/>
        <v>0</v>
      </c>
      <c r="AX13" s="67">
        <f t="shared" ref="AX13:BH13" si="46">IF(AND($K13&gt;0,$F13=TEXT(AX$6,1)),$K13*$I13/12,IF(AW13&gt;0,$K13*$I13/12,0))</f>
        <v>0</v>
      </c>
      <c r="AY13" s="67">
        <f t="shared" si="46"/>
        <v>0</v>
      </c>
      <c r="AZ13" s="67">
        <f t="shared" si="46"/>
        <v>0</v>
      </c>
      <c r="BA13" s="67">
        <f t="shared" si="46"/>
        <v>0</v>
      </c>
      <c r="BB13" s="67">
        <f t="shared" si="46"/>
        <v>0</v>
      </c>
      <c r="BC13" s="67">
        <f t="shared" si="46"/>
        <v>0</v>
      </c>
      <c r="BD13" s="67">
        <f t="shared" si="46"/>
        <v>0</v>
      </c>
      <c r="BE13" s="67">
        <f t="shared" si="46"/>
        <v>0</v>
      </c>
      <c r="BF13" s="67">
        <f t="shared" si="46"/>
        <v>0</v>
      </c>
      <c r="BG13" s="67">
        <f t="shared" si="46"/>
        <v>0</v>
      </c>
      <c r="BH13" s="67">
        <f t="shared" si="46"/>
        <v>0</v>
      </c>
      <c r="BI13" s="231">
        <f t="shared" si="6"/>
        <v>0</v>
      </c>
      <c r="BJ13" s="232">
        <f t="shared" si="19"/>
        <v>0</v>
      </c>
      <c r="BK13" s="233">
        <f t="shared" si="20"/>
        <v>0</v>
      </c>
      <c r="BL13" s="231">
        <f t="shared" si="7"/>
        <v>0</v>
      </c>
      <c r="BM13" s="232">
        <f t="shared" si="21"/>
        <v>0</v>
      </c>
      <c r="BN13" s="233">
        <f t="shared" si="22"/>
        <v>0</v>
      </c>
      <c r="BO13" s="231">
        <f t="shared" si="8"/>
        <v>0</v>
      </c>
      <c r="BP13" s="232">
        <f t="shared" si="23"/>
        <v>0</v>
      </c>
      <c r="BQ13" s="233">
        <f t="shared" si="24"/>
        <v>0</v>
      </c>
      <c r="BR13" s="231">
        <f t="shared" si="9"/>
        <v>0</v>
      </c>
      <c r="BS13" s="232">
        <f t="shared" si="25"/>
        <v>0</v>
      </c>
      <c r="BT13" s="233">
        <f t="shared" si="26"/>
        <v>0</v>
      </c>
      <c r="BU13" s="231">
        <f t="shared" si="10"/>
        <v>0</v>
      </c>
      <c r="BV13" s="232">
        <f t="shared" si="27"/>
        <v>0</v>
      </c>
      <c r="BW13" s="233">
        <f t="shared" si="28"/>
        <v>0</v>
      </c>
      <c r="BX13" s="231">
        <f t="shared" si="11"/>
        <v>0</v>
      </c>
      <c r="BY13" s="232">
        <f t="shared" si="29"/>
        <v>0</v>
      </c>
      <c r="BZ13" s="233">
        <f t="shared" si="30"/>
        <v>0</v>
      </c>
      <c r="CA13" s="77"/>
      <c r="CC13" s="327">
        <f t="shared" si="31"/>
        <v>0</v>
      </c>
      <c r="CD13" s="327">
        <f t="shared" si="32"/>
        <v>0</v>
      </c>
      <c r="CE13" s="327">
        <f t="shared" si="33"/>
        <v>0</v>
      </c>
      <c r="CF13" s="327">
        <f t="shared" si="34"/>
        <v>0</v>
      </c>
      <c r="CG13" s="327">
        <f t="shared" si="35"/>
        <v>0</v>
      </c>
      <c r="CH13" s="327">
        <f t="shared" si="36"/>
        <v>0</v>
      </c>
      <c r="CJ13" s="44" t="s">
        <v>109</v>
      </c>
      <c r="CK13" s="44">
        <v>8</v>
      </c>
    </row>
    <row r="14" spans="2:89" x14ac:dyDescent="0.25">
      <c r="B14" s="77"/>
      <c r="C14" s="62">
        <v>8</v>
      </c>
      <c r="D14" s="63"/>
      <c r="E14" s="63"/>
      <c r="F14" s="65"/>
      <c r="G14" s="65"/>
      <c r="H14" s="66">
        <v>0</v>
      </c>
      <c r="I14" s="426"/>
      <c r="J14" s="64"/>
      <c r="K14" s="417">
        <f t="shared" si="12"/>
        <v>0</v>
      </c>
      <c r="L14" s="417">
        <f t="shared" si="0"/>
        <v>0</v>
      </c>
      <c r="M14" s="417">
        <f t="shared" si="0"/>
        <v>0</v>
      </c>
      <c r="N14" s="417">
        <f t="shared" si="0"/>
        <v>0</v>
      </c>
      <c r="O14" s="417">
        <f t="shared" si="0"/>
        <v>0</v>
      </c>
      <c r="P14" s="417">
        <f t="shared" si="0"/>
        <v>0</v>
      </c>
      <c r="Q14" s="418">
        <f t="shared" si="1"/>
        <v>0</v>
      </c>
      <c r="R14" s="418">
        <f t="shared" si="13"/>
        <v>0</v>
      </c>
      <c r="S14" s="419">
        <f t="shared" si="14"/>
        <v>0</v>
      </c>
      <c r="T14" s="419">
        <f t="shared" si="2"/>
        <v>0</v>
      </c>
      <c r="U14" s="419">
        <f t="shared" si="2"/>
        <v>0</v>
      </c>
      <c r="V14" s="419">
        <f t="shared" si="2"/>
        <v>0</v>
      </c>
      <c r="W14" s="419">
        <f t="shared" si="2"/>
        <v>0</v>
      </c>
      <c r="X14" s="419">
        <f t="shared" si="2"/>
        <v>0</v>
      </c>
      <c r="Y14" s="417">
        <f t="shared" si="3"/>
        <v>0</v>
      </c>
      <c r="Z14" s="417">
        <f t="shared" si="3"/>
        <v>0</v>
      </c>
      <c r="AA14" s="417">
        <f t="shared" si="3"/>
        <v>0</v>
      </c>
      <c r="AB14" s="417">
        <f t="shared" si="3"/>
        <v>0</v>
      </c>
      <c r="AC14" s="417">
        <f t="shared" si="3"/>
        <v>0</v>
      </c>
      <c r="AD14" s="417">
        <f t="shared" si="3"/>
        <v>0</v>
      </c>
      <c r="AE14" s="417">
        <f t="shared" si="3"/>
        <v>0</v>
      </c>
      <c r="AF14" s="417">
        <f t="shared" si="3"/>
        <v>0</v>
      </c>
      <c r="AG14" s="417">
        <f t="shared" si="3"/>
        <v>0</v>
      </c>
      <c r="AH14" s="417">
        <f t="shared" si="3"/>
        <v>0</v>
      </c>
      <c r="AI14" s="417">
        <f t="shared" si="3"/>
        <v>0</v>
      </c>
      <c r="AJ14" s="417">
        <f t="shared" si="3"/>
        <v>0</v>
      </c>
      <c r="AK14" s="67">
        <f t="shared" si="15"/>
        <v>0</v>
      </c>
      <c r="AL14" s="67">
        <f t="shared" ref="AL14:AV14" si="47">IF(AK14&gt;0,AK14,IF(AND($K14&gt;0,$F14=TEXT(AL$6,1)),$K14/$H14/12,0))</f>
        <v>0</v>
      </c>
      <c r="AM14" s="67">
        <f t="shared" si="47"/>
        <v>0</v>
      </c>
      <c r="AN14" s="67">
        <f t="shared" si="47"/>
        <v>0</v>
      </c>
      <c r="AO14" s="67">
        <f t="shared" si="47"/>
        <v>0</v>
      </c>
      <c r="AP14" s="67">
        <f t="shared" si="47"/>
        <v>0</v>
      </c>
      <c r="AQ14" s="67">
        <f t="shared" si="47"/>
        <v>0</v>
      </c>
      <c r="AR14" s="67">
        <f t="shared" si="47"/>
        <v>0</v>
      </c>
      <c r="AS14" s="67">
        <f t="shared" si="47"/>
        <v>0</v>
      </c>
      <c r="AT14" s="67">
        <f t="shared" si="47"/>
        <v>0</v>
      </c>
      <c r="AU14" s="67">
        <f t="shared" si="47"/>
        <v>0</v>
      </c>
      <c r="AV14" s="67">
        <f t="shared" si="47"/>
        <v>0</v>
      </c>
      <c r="AW14" s="67">
        <f t="shared" si="17"/>
        <v>0</v>
      </c>
      <c r="AX14" s="67">
        <f t="shared" ref="AX14:BH14" si="48">IF(AND($K14&gt;0,$F14=TEXT(AX$6,1)),$K14*$I14/12,IF(AW14&gt;0,$K14*$I14/12,0))</f>
        <v>0</v>
      </c>
      <c r="AY14" s="67">
        <f t="shared" si="48"/>
        <v>0</v>
      </c>
      <c r="AZ14" s="67">
        <f t="shared" si="48"/>
        <v>0</v>
      </c>
      <c r="BA14" s="67">
        <f t="shared" si="48"/>
        <v>0</v>
      </c>
      <c r="BB14" s="67">
        <f t="shared" si="48"/>
        <v>0</v>
      </c>
      <c r="BC14" s="67">
        <f t="shared" si="48"/>
        <v>0</v>
      </c>
      <c r="BD14" s="67">
        <f t="shared" si="48"/>
        <v>0</v>
      </c>
      <c r="BE14" s="67">
        <f t="shared" si="48"/>
        <v>0</v>
      </c>
      <c r="BF14" s="67">
        <f t="shared" si="48"/>
        <v>0</v>
      </c>
      <c r="BG14" s="67">
        <f t="shared" si="48"/>
        <v>0</v>
      </c>
      <c r="BH14" s="67">
        <f t="shared" si="48"/>
        <v>0</v>
      </c>
      <c r="BI14" s="231">
        <f t="shared" si="6"/>
        <v>0</v>
      </c>
      <c r="BJ14" s="232">
        <f t="shared" si="19"/>
        <v>0</v>
      </c>
      <c r="BK14" s="233">
        <f t="shared" si="20"/>
        <v>0</v>
      </c>
      <c r="BL14" s="231">
        <f t="shared" si="7"/>
        <v>0</v>
      </c>
      <c r="BM14" s="232">
        <f t="shared" si="21"/>
        <v>0</v>
      </c>
      <c r="BN14" s="233">
        <f t="shared" si="22"/>
        <v>0</v>
      </c>
      <c r="BO14" s="231">
        <f t="shared" si="8"/>
        <v>0</v>
      </c>
      <c r="BP14" s="232">
        <f t="shared" si="23"/>
        <v>0</v>
      </c>
      <c r="BQ14" s="233">
        <f t="shared" si="24"/>
        <v>0</v>
      </c>
      <c r="BR14" s="231">
        <f t="shared" si="9"/>
        <v>0</v>
      </c>
      <c r="BS14" s="232">
        <f t="shared" si="25"/>
        <v>0</v>
      </c>
      <c r="BT14" s="233">
        <f t="shared" si="26"/>
        <v>0</v>
      </c>
      <c r="BU14" s="231">
        <f t="shared" si="10"/>
        <v>0</v>
      </c>
      <c r="BV14" s="232">
        <f t="shared" si="27"/>
        <v>0</v>
      </c>
      <c r="BW14" s="233">
        <f t="shared" si="28"/>
        <v>0</v>
      </c>
      <c r="BX14" s="231">
        <f t="shared" si="11"/>
        <v>0</v>
      </c>
      <c r="BY14" s="232">
        <f t="shared" si="29"/>
        <v>0</v>
      </c>
      <c r="BZ14" s="233">
        <f t="shared" si="30"/>
        <v>0</v>
      </c>
      <c r="CA14" s="77"/>
      <c r="CC14" s="327">
        <f t="shared" si="31"/>
        <v>0</v>
      </c>
      <c r="CD14" s="327">
        <f t="shared" si="32"/>
        <v>0</v>
      </c>
      <c r="CE14" s="327">
        <f t="shared" si="33"/>
        <v>0</v>
      </c>
      <c r="CF14" s="327">
        <f t="shared" si="34"/>
        <v>0</v>
      </c>
      <c r="CG14" s="327">
        <f t="shared" si="35"/>
        <v>0</v>
      </c>
      <c r="CH14" s="327">
        <f t="shared" si="36"/>
        <v>0</v>
      </c>
      <c r="CJ14" s="44" t="s">
        <v>110</v>
      </c>
      <c r="CK14" s="44">
        <v>9</v>
      </c>
    </row>
    <row r="15" spans="2:89" x14ac:dyDescent="0.25">
      <c r="B15" s="77"/>
      <c r="C15" s="62">
        <v>9</v>
      </c>
      <c r="D15" s="63"/>
      <c r="E15" s="63"/>
      <c r="F15" s="65"/>
      <c r="G15" s="65"/>
      <c r="H15" s="66">
        <v>0</v>
      </c>
      <c r="I15" s="426"/>
      <c r="J15" s="64"/>
      <c r="K15" s="417">
        <f t="shared" si="12"/>
        <v>0</v>
      </c>
      <c r="L15" s="417">
        <f t="shared" si="0"/>
        <v>0</v>
      </c>
      <c r="M15" s="417">
        <f t="shared" si="0"/>
        <v>0</v>
      </c>
      <c r="N15" s="417">
        <f t="shared" si="0"/>
        <v>0</v>
      </c>
      <c r="O15" s="417">
        <f t="shared" si="0"/>
        <v>0</v>
      </c>
      <c r="P15" s="417">
        <f t="shared" si="0"/>
        <v>0</v>
      </c>
      <c r="Q15" s="418">
        <f t="shared" si="1"/>
        <v>0</v>
      </c>
      <c r="R15" s="418">
        <f t="shared" si="13"/>
        <v>0</v>
      </c>
      <c r="S15" s="419">
        <f t="shared" si="14"/>
        <v>0</v>
      </c>
      <c r="T15" s="419">
        <f t="shared" si="2"/>
        <v>0</v>
      </c>
      <c r="U15" s="419">
        <f t="shared" si="2"/>
        <v>0</v>
      </c>
      <c r="V15" s="419">
        <f t="shared" si="2"/>
        <v>0</v>
      </c>
      <c r="W15" s="419">
        <f t="shared" si="2"/>
        <v>0</v>
      </c>
      <c r="X15" s="419">
        <f t="shared" si="2"/>
        <v>0</v>
      </c>
      <c r="Y15" s="417">
        <f t="shared" si="3"/>
        <v>0</v>
      </c>
      <c r="Z15" s="417">
        <f t="shared" si="3"/>
        <v>0</v>
      </c>
      <c r="AA15" s="417">
        <f t="shared" si="3"/>
        <v>0</v>
      </c>
      <c r="AB15" s="417">
        <f t="shared" si="3"/>
        <v>0</v>
      </c>
      <c r="AC15" s="417">
        <f t="shared" si="3"/>
        <v>0</v>
      </c>
      <c r="AD15" s="417">
        <f t="shared" si="3"/>
        <v>0</v>
      </c>
      <c r="AE15" s="417">
        <f t="shared" si="3"/>
        <v>0</v>
      </c>
      <c r="AF15" s="417">
        <f t="shared" si="3"/>
        <v>0</v>
      </c>
      <c r="AG15" s="417">
        <f t="shared" si="3"/>
        <v>0</v>
      </c>
      <c r="AH15" s="417">
        <f t="shared" si="3"/>
        <v>0</v>
      </c>
      <c r="AI15" s="417">
        <f t="shared" si="3"/>
        <v>0</v>
      </c>
      <c r="AJ15" s="417">
        <f t="shared" si="3"/>
        <v>0</v>
      </c>
      <c r="AK15" s="67">
        <f t="shared" si="15"/>
        <v>0</v>
      </c>
      <c r="AL15" s="67">
        <f t="shared" ref="AL15:AV15" si="49">IF(AK15&gt;0,AK15,IF(AND($K15&gt;0,$F15=TEXT(AL$6,1)),$K15/$H15/12,0))</f>
        <v>0</v>
      </c>
      <c r="AM15" s="67">
        <f t="shared" si="49"/>
        <v>0</v>
      </c>
      <c r="AN15" s="67">
        <f t="shared" si="49"/>
        <v>0</v>
      </c>
      <c r="AO15" s="67">
        <f t="shared" si="49"/>
        <v>0</v>
      </c>
      <c r="AP15" s="67">
        <f t="shared" si="49"/>
        <v>0</v>
      </c>
      <c r="AQ15" s="67">
        <f t="shared" si="49"/>
        <v>0</v>
      </c>
      <c r="AR15" s="67">
        <f t="shared" si="49"/>
        <v>0</v>
      </c>
      <c r="AS15" s="67">
        <f t="shared" si="49"/>
        <v>0</v>
      </c>
      <c r="AT15" s="67">
        <f t="shared" si="49"/>
        <v>0</v>
      </c>
      <c r="AU15" s="67">
        <f t="shared" si="49"/>
        <v>0</v>
      </c>
      <c r="AV15" s="67">
        <f t="shared" si="49"/>
        <v>0</v>
      </c>
      <c r="AW15" s="67">
        <f t="shared" si="17"/>
        <v>0</v>
      </c>
      <c r="AX15" s="67">
        <f t="shared" ref="AX15:BH15" si="50">IF(AND($K15&gt;0,$F15=TEXT(AX$6,1)),$K15*$I15/12,IF(AW15&gt;0,$K15*$I15/12,0))</f>
        <v>0</v>
      </c>
      <c r="AY15" s="67">
        <f t="shared" si="50"/>
        <v>0</v>
      </c>
      <c r="AZ15" s="67">
        <f t="shared" si="50"/>
        <v>0</v>
      </c>
      <c r="BA15" s="67">
        <f t="shared" si="50"/>
        <v>0</v>
      </c>
      <c r="BB15" s="67">
        <f t="shared" si="50"/>
        <v>0</v>
      </c>
      <c r="BC15" s="67">
        <f t="shared" si="50"/>
        <v>0</v>
      </c>
      <c r="BD15" s="67">
        <f t="shared" si="50"/>
        <v>0</v>
      </c>
      <c r="BE15" s="67">
        <f t="shared" si="50"/>
        <v>0</v>
      </c>
      <c r="BF15" s="67">
        <f t="shared" si="50"/>
        <v>0</v>
      </c>
      <c r="BG15" s="67">
        <f t="shared" si="50"/>
        <v>0</v>
      </c>
      <c r="BH15" s="67">
        <f t="shared" si="50"/>
        <v>0</v>
      </c>
      <c r="BI15" s="231">
        <f t="shared" si="6"/>
        <v>0</v>
      </c>
      <c r="BJ15" s="232">
        <f t="shared" si="19"/>
        <v>0</v>
      </c>
      <c r="BK15" s="233">
        <f t="shared" si="20"/>
        <v>0</v>
      </c>
      <c r="BL15" s="231">
        <f t="shared" si="7"/>
        <v>0</v>
      </c>
      <c r="BM15" s="232">
        <f t="shared" si="21"/>
        <v>0</v>
      </c>
      <c r="BN15" s="233">
        <f t="shared" si="22"/>
        <v>0</v>
      </c>
      <c r="BO15" s="231">
        <f t="shared" si="8"/>
        <v>0</v>
      </c>
      <c r="BP15" s="232">
        <f t="shared" si="23"/>
        <v>0</v>
      </c>
      <c r="BQ15" s="233">
        <f t="shared" si="24"/>
        <v>0</v>
      </c>
      <c r="BR15" s="231">
        <f t="shared" si="9"/>
        <v>0</v>
      </c>
      <c r="BS15" s="232">
        <f t="shared" si="25"/>
        <v>0</v>
      </c>
      <c r="BT15" s="233">
        <f t="shared" si="26"/>
        <v>0</v>
      </c>
      <c r="BU15" s="231">
        <f t="shared" si="10"/>
        <v>0</v>
      </c>
      <c r="BV15" s="232">
        <f t="shared" si="27"/>
        <v>0</v>
      </c>
      <c r="BW15" s="233">
        <f t="shared" si="28"/>
        <v>0</v>
      </c>
      <c r="BX15" s="231">
        <f t="shared" si="11"/>
        <v>0</v>
      </c>
      <c r="BY15" s="232">
        <f t="shared" si="29"/>
        <v>0</v>
      </c>
      <c r="BZ15" s="233">
        <f t="shared" si="30"/>
        <v>0</v>
      </c>
      <c r="CA15" s="77"/>
      <c r="CC15" s="327">
        <f t="shared" si="31"/>
        <v>0</v>
      </c>
      <c r="CD15" s="327">
        <f t="shared" si="32"/>
        <v>0</v>
      </c>
      <c r="CE15" s="327">
        <f t="shared" si="33"/>
        <v>0</v>
      </c>
      <c r="CF15" s="327">
        <f t="shared" si="34"/>
        <v>0</v>
      </c>
      <c r="CG15" s="327">
        <f t="shared" si="35"/>
        <v>0</v>
      </c>
      <c r="CH15" s="327">
        <f t="shared" si="36"/>
        <v>0</v>
      </c>
      <c r="CJ15" s="44" t="s">
        <v>111</v>
      </c>
      <c r="CK15" s="44">
        <v>10</v>
      </c>
    </row>
    <row r="16" spans="2:89" x14ac:dyDescent="0.25">
      <c r="B16" s="77"/>
      <c r="C16" s="62">
        <v>10</v>
      </c>
      <c r="D16" s="63"/>
      <c r="E16" s="63"/>
      <c r="F16" s="65"/>
      <c r="G16" s="65"/>
      <c r="H16" s="66">
        <v>0</v>
      </c>
      <c r="I16" s="426"/>
      <c r="J16" s="64"/>
      <c r="K16" s="417">
        <f t="shared" si="12"/>
        <v>0</v>
      </c>
      <c r="L16" s="417">
        <f t="shared" si="0"/>
        <v>0</v>
      </c>
      <c r="M16" s="417">
        <f t="shared" si="0"/>
        <v>0</v>
      </c>
      <c r="N16" s="417">
        <f t="shared" si="0"/>
        <v>0</v>
      </c>
      <c r="O16" s="417">
        <f t="shared" si="0"/>
        <v>0</v>
      </c>
      <c r="P16" s="417">
        <f t="shared" si="0"/>
        <v>0</v>
      </c>
      <c r="Q16" s="418">
        <f t="shared" si="1"/>
        <v>0</v>
      </c>
      <c r="R16" s="418">
        <f t="shared" si="13"/>
        <v>0</v>
      </c>
      <c r="S16" s="419">
        <f t="shared" si="14"/>
        <v>0</v>
      </c>
      <c r="T16" s="419">
        <f t="shared" si="2"/>
        <v>0</v>
      </c>
      <c r="U16" s="419">
        <f t="shared" si="2"/>
        <v>0</v>
      </c>
      <c r="V16" s="419">
        <f t="shared" si="2"/>
        <v>0</v>
      </c>
      <c r="W16" s="419">
        <f t="shared" si="2"/>
        <v>0</v>
      </c>
      <c r="X16" s="419">
        <f t="shared" si="2"/>
        <v>0</v>
      </c>
      <c r="Y16" s="417">
        <f t="shared" si="3"/>
        <v>0</v>
      </c>
      <c r="Z16" s="417">
        <f t="shared" si="3"/>
        <v>0</v>
      </c>
      <c r="AA16" s="417">
        <f t="shared" si="3"/>
        <v>0</v>
      </c>
      <c r="AB16" s="417">
        <f t="shared" si="3"/>
        <v>0</v>
      </c>
      <c r="AC16" s="417">
        <f t="shared" si="3"/>
        <v>0</v>
      </c>
      <c r="AD16" s="417">
        <f t="shared" si="3"/>
        <v>0</v>
      </c>
      <c r="AE16" s="417">
        <f t="shared" si="3"/>
        <v>0</v>
      </c>
      <c r="AF16" s="417">
        <f t="shared" si="3"/>
        <v>0</v>
      </c>
      <c r="AG16" s="417">
        <f t="shared" si="3"/>
        <v>0</v>
      </c>
      <c r="AH16" s="417">
        <f t="shared" si="3"/>
        <v>0</v>
      </c>
      <c r="AI16" s="417">
        <f t="shared" si="3"/>
        <v>0</v>
      </c>
      <c r="AJ16" s="417">
        <f t="shared" si="3"/>
        <v>0</v>
      </c>
      <c r="AK16" s="67">
        <f t="shared" si="15"/>
        <v>0</v>
      </c>
      <c r="AL16" s="67">
        <f t="shared" ref="AL16:AV16" si="51">IF(AK16&gt;0,AK16,IF(AND($K16&gt;0,$F16=TEXT(AL$6,1)),$K16/$H16/12,0))</f>
        <v>0</v>
      </c>
      <c r="AM16" s="67">
        <f t="shared" si="51"/>
        <v>0</v>
      </c>
      <c r="AN16" s="67">
        <f t="shared" si="51"/>
        <v>0</v>
      </c>
      <c r="AO16" s="67">
        <f t="shared" si="51"/>
        <v>0</v>
      </c>
      <c r="AP16" s="67">
        <f t="shared" si="51"/>
        <v>0</v>
      </c>
      <c r="AQ16" s="67">
        <f t="shared" si="51"/>
        <v>0</v>
      </c>
      <c r="AR16" s="67">
        <f t="shared" si="51"/>
        <v>0</v>
      </c>
      <c r="AS16" s="67">
        <f t="shared" si="51"/>
        <v>0</v>
      </c>
      <c r="AT16" s="67">
        <f t="shared" si="51"/>
        <v>0</v>
      </c>
      <c r="AU16" s="67">
        <f t="shared" si="51"/>
        <v>0</v>
      </c>
      <c r="AV16" s="67">
        <f t="shared" si="51"/>
        <v>0</v>
      </c>
      <c r="AW16" s="67">
        <f t="shared" si="17"/>
        <v>0</v>
      </c>
      <c r="AX16" s="67">
        <f t="shared" ref="AX16:BH16" si="52">IF(AND($K16&gt;0,$F16=TEXT(AX$6,1)),$K16*$I16/12,IF(AW16&gt;0,$K16*$I16/12,0))</f>
        <v>0</v>
      </c>
      <c r="AY16" s="67">
        <f t="shared" si="52"/>
        <v>0</v>
      </c>
      <c r="AZ16" s="67">
        <f t="shared" si="52"/>
        <v>0</v>
      </c>
      <c r="BA16" s="67">
        <f t="shared" si="52"/>
        <v>0</v>
      </c>
      <c r="BB16" s="67">
        <f t="shared" si="52"/>
        <v>0</v>
      </c>
      <c r="BC16" s="67">
        <f t="shared" si="52"/>
        <v>0</v>
      </c>
      <c r="BD16" s="67">
        <f t="shared" si="52"/>
        <v>0</v>
      </c>
      <c r="BE16" s="67">
        <f t="shared" si="52"/>
        <v>0</v>
      </c>
      <c r="BF16" s="67">
        <f t="shared" si="52"/>
        <v>0</v>
      </c>
      <c r="BG16" s="67">
        <f t="shared" si="52"/>
        <v>0</v>
      </c>
      <c r="BH16" s="67">
        <f t="shared" si="52"/>
        <v>0</v>
      </c>
      <c r="BI16" s="231">
        <f t="shared" si="6"/>
        <v>0</v>
      </c>
      <c r="BJ16" s="232">
        <f t="shared" si="19"/>
        <v>0</v>
      </c>
      <c r="BK16" s="233">
        <f t="shared" si="20"/>
        <v>0</v>
      </c>
      <c r="BL16" s="231">
        <f t="shared" si="7"/>
        <v>0</v>
      </c>
      <c r="BM16" s="232">
        <f t="shared" si="21"/>
        <v>0</v>
      </c>
      <c r="BN16" s="233">
        <f t="shared" si="22"/>
        <v>0</v>
      </c>
      <c r="BO16" s="231">
        <f t="shared" si="8"/>
        <v>0</v>
      </c>
      <c r="BP16" s="232">
        <f t="shared" si="23"/>
        <v>0</v>
      </c>
      <c r="BQ16" s="233">
        <f t="shared" si="24"/>
        <v>0</v>
      </c>
      <c r="BR16" s="231">
        <f t="shared" si="9"/>
        <v>0</v>
      </c>
      <c r="BS16" s="232">
        <f t="shared" si="25"/>
        <v>0</v>
      </c>
      <c r="BT16" s="233">
        <f t="shared" si="26"/>
        <v>0</v>
      </c>
      <c r="BU16" s="231">
        <f t="shared" si="10"/>
        <v>0</v>
      </c>
      <c r="BV16" s="232">
        <f t="shared" si="27"/>
        <v>0</v>
      </c>
      <c r="BW16" s="233">
        <f t="shared" si="28"/>
        <v>0</v>
      </c>
      <c r="BX16" s="231">
        <f t="shared" si="11"/>
        <v>0</v>
      </c>
      <c r="BY16" s="232">
        <f t="shared" si="29"/>
        <v>0</v>
      </c>
      <c r="BZ16" s="233">
        <f t="shared" si="30"/>
        <v>0</v>
      </c>
      <c r="CA16" s="77"/>
      <c r="CC16" s="327">
        <f t="shared" si="31"/>
        <v>0</v>
      </c>
      <c r="CD16" s="327">
        <f t="shared" si="32"/>
        <v>0</v>
      </c>
      <c r="CE16" s="327">
        <f t="shared" si="33"/>
        <v>0</v>
      </c>
      <c r="CF16" s="327">
        <f t="shared" si="34"/>
        <v>0</v>
      </c>
      <c r="CG16" s="327">
        <f t="shared" si="35"/>
        <v>0</v>
      </c>
      <c r="CH16" s="327">
        <f t="shared" si="36"/>
        <v>0</v>
      </c>
      <c r="CJ16" s="44" t="s">
        <v>112</v>
      </c>
      <c r="CK16" s="44">
        <v>11</v>
      </c>
    </row>
    <row r="17" spans="2:79" x14ac:dyDescent="0.25">
      <c r="B17" s="77"/>
      <c r="C17" s="234"/>
      <c r="D17" s="235" t="s">
        <v>139</v>
      </c>
      <c r="E17" s="235"/>
      <c r="F17" s="236"/>
      <c r="G17" s="236"/>
      <c r="H17" s="237"/>
      <c r="I17" s="238"/>
      <c r="J17" s="238">
        <f>SUM(J7:J16)</f>
        <v>3300000</v>
      </c>
      <c r="K17" s="238">
        <f>SUM(K7:K16)</f>
        <v>3300000</v>
      </c>
      <c r="L17" s="238">
        <f t="shared" ref="L17:AJ17" si="53">SUM(L7:L16)</f>
        <v>0</v>
      </c>
      <c r="M17" s="238">
        <f t="shared" si="53"/>
        <v>0</v>
      </c>
      <c r="N17" s="238">
        <f t="shared" si="53"/>
        <v>0</v>
      </c>
      <c r="O17" s="238">
        <f t="shared" si="53"/>
        <v>0</v>
      </c>
      <c r="P17" s="238">
        <f t="shared" si="53"/>
        <v>0</v>
      </c>
      <c r="Q17" s="236"/>
      <c r="R17" s="236"/>
      <c r="S17" s="416">
        <f t="shared" ref="S17:X17" si="54">SUM(S7:S16)</f>
        <v>659999</v>
      </c>
      <c r="T17" s="416">
        <f t="shared" si="54"/>
        <v>660000</v>
      </c>
      <c r="U17" s="416">
        <f t="shared" si="54"/>
        <v>660000</v>
      </c>
      <c r="V17" s="416">
        <f t="shared" si="54"/>
        <v>660000</v>
      </c>
      <c r="W17" s="416">
        <f t="shared" si="54"/>
        <v>660000</v>
      </c>
      <c r="X17" s="416">
        <f t="shared" si="54"/>
        <v>660000</v>
      </c>
      <c r="Y17" s="238">
        <f t="shared" si="53"/>
        <v>3300000</v>
      </c>
      <c r="Z17" s="238">
        <f t="shared" si="53"/>
        <v>0</v>
      </c>
      <c r="AA17" s="238">
        <f t="shared" si="53"/>
        <v>0</v>
      </c>
      <c r="AB17" s="238">
        <f t="shared" si="53"/>
        <v>0</v>
      </c>
      <c r="AC17" s="238">
        <f t="shared" si="53"/>
        <v>0</v>
      </c>
      <c r="AD17" s="238">
        <f t="shared" si="53"/>
        <v>0</v>
      </c>
      <c r="AE17" s="238">
        <f t="shared" si="53"/>
        <v>0</v>
      </c>
      <c r="AF17" s="238">
        <f t="shared" si="53"/>
        <v>0</v>
      </c>
      <c r="AG17" s="238">
        <f t="shared" si="53"/>
        <v>0</v>
      </c>
      <c r="AH17" s="238">
        <f t="shared" si="53"/>
        <v>0</v>
      </c>
      <c r="AI17" s="238">
        <f t="shared" si="53"/>
        <v>0</v>
      </c>
      <c r="AJ17" s="238">
        <f t="shared" si="53"/>
        <v>0</v>
      </c>
      <c r="AK17" s="238">
        <f t="shared" ref="AK17:BH17" si="55">SUM(AK7:AK16)</f>
        <v>55000</v>
      </c>
      <c r="AL17" s="238">
        <f t="shared" si="55"/>
        <v>55000</v>
      </c>
      <c r="AM17" s="238">
        <f t="shared" si="55"/>
        <v>55000</v>
      </c>
      <c r="AN17" s="238">
        <f t="shared" si="55"/>
        <v>55000</v>
      </c>
      <c r="AO17" s="238">
        <f t="shared" si="55"/>
        <v>55000</v>
      </c>
      <c r="AP17" s="238">
        <f t="shared" si="55"/>
        <v>55000</v>
      </c>
      <c r="AQ17" s="238">
        <f t="shared" si="55"/>
        <v>55000</v>
      </c>
      <c r="AR17" s="238">
        <f t="shared" si="55"/>
        <v>55000</v>
      </c>
      <c r="AS17" s="238">
        <f t="shared" si="55"/>
        <v>55000</v>
      </c>
      <c r="AT17" s="238">
        <f t="shared" si="55"/>
        <v>55000</v>
      </c>
      <c r="AU17" s="238">
        <f t="shared" si="55"/>
        <v>55000</v>
      </c>
      <c r="AV17" s="238">
        <f t="shared" si="55"/>
        <v>55000</v>
      </c>
      <c r="AW17" s="238">
        <f t="shared" si="55"/>
        <v>0</v>
      </c>
      <c r="AX17" s="238">
        <f t="shared" si="55"/>
        <v>0</v>
      </c>
      <c r="AY17" s="238">
        <f t="shared" si="55"/>
        <v>0</v>
      </c>
      <c r="AZ17" s="238">
        <f t="shared" si="55"/>
        <v>0</v>
      </c>
      <c r="BA17" s="238">
        <f t="shared" si="55"/>
        <v>0</v>
      </c>
      <c r="BB17" s="238">
        <f t="shared" si="55"/>
        <v>0</v>
      </c>
      <c r="BC17" s="238">
        <f t="shared" si="55"/>
        <v>0</v>
      </c>
      <c r="BD17" s="238">
        <f t="shared" si="55"/>
        <v>0</v>
      </c>
      <c r="BE17" s="238">
        <f t="shared" si="55"/>
        <v>0</v>
      </c>
      <c r="BF17" s="238">
        <f t="shared" si="55"/>
        <v>0</v>
      </c>
      <c r="BG17" s="238">
        <f t="shared" si="55"/>
        <v>0</v>
      </c>
      <c r="BH17" s="238">
        <f t="shared" si="55"/>
        <v>0</v>
      </c>
      <c r="BI17" s="238"/>
      <c r="BJ17" s="238">
        <f>SUM(BJ7:BJ16)</f>
        <v>660000</v>
      </c>
      <c r="BK17" s="238">
        <f>SUM(BK7:BK16)</f>
        <v>0</v>
      </c>
      <c r="BL17" s="238"/>
      <c r="BM17" s="238">
        <f>SUM(BM7:BM16)</f>
        <v>660000</v>
      </c>
      <c r="BN17" s="238">
        <f>SUM(BN7:BN16)</f>
        <v>0</v>
      </c>
      <c r="BO17" s="238"/>
      <c r="BP17" s="238">
        <f>SUM(BP7:BP16)</f>
        <v>660000</v>
      </c>
      <c r="BQ17" s="238">
        <f>SUM(BQ7:BQ16)</f>
        <v>0</v>
      </c>
      <c r="BR17" s="238"/>
      <c r="BS17" s="238">
        <f>SUM(BS7:BS16)</f>
        <v>660000</v>
      </c>
      <c r="BT17" s="238">
        <f>SUM(BT7:BT16)</f>
        <v>0</v>
      </c>
      <c r="BU17" s="238"/>
      <c r="BV17" s="238">
        <f>SUM(BV7:BV16)</f>
        <v>660000</v>
      </c>
      <c r="BW17" s="238">
        <f>SUM(BW7:BW16)</f>
        <v>0</v>
      </c>
      <c r="BX17" s="238"/>
      <c r="BY17" s="238">
        <f>SUM(BY7:BY16)</f>
        <v>0</v>
      </c>
      <c r="BZ17" s="238">
        <f>SUM(BZ7:BZ16)</f>
        <v>0</v>
      </c>
      <c r="CA17" s="77"/>
    </row>
    <row r="18" spans="2:79" x14ac:dyDescent="0.25">
      <c r="B18" s="220"/>
      <c r="C18" s="239"/>
      <c r="D18" s="240"/>
      <c r="E18" s="240"/>
      <c r="F18" s="241"/>
      <c r="G18" s="241"/>
      <c r="H18" s="242"/>
      <c r="I18" s="243"/>
      <c r="J18" s="243"/>
      <c r="K18" s="244"/>
      <c r="L18" s="244"/>
      <c r="M18" s="244"/>
      <c r="N18" s="244"/>
      <c r="O18" s="244"/>
      <c r="P18" s="244"/>
      <c r="Q18" s="241"/>
      <c r="R18" s="241"/>
      <c r="S18" s="241"/>
      <c r="T18" s="241"/>
      <c r="U18" s="241"/>
      <c r="V18" s="241"/>
      <c r="W18" s="241"/>
      <c r="X18" s="241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/>
      <c r="AV18" s="243"/>
      <c r="AW18" s="243"/>
      <c r="AX18" s="243"/>
      <c r="AY18" s="243"/>
      <c r="AZ18" s="243"/>
      <c r="BA18" s="243"/>
      <c r="BB18" s="243"/>
      <c r="BC18" s="243"/>
      <c r="BD18" s="243"/>
      <c r="BE18" s="243"/>
      <c r="BF18" s="243"/>
      <c r="BG18" s="243"/>
      <c r="BH18" s="243"/>
      <c r="BI18" s="243"/>
      <c r="BJ18" s="243"/>
      <c r="BK18" s="243"/>
      <c r="BL18" s="243"/>
      <c r="BM18" s="243"/>
      <c r="BN18" s="243"/>
      <c r="BO18" s="243"/>
      <c r="BP18" s="243"/>
      <c r="BQ18" s="243"/>
      <c r="BR18" s="243"/>
      <c r="BS18" s="243"/>
      <c r="BT18" s="243"/>
      <c r="BU18" s="243"/>
      <c r="BV18" s="243"/>
      <c r="BW18" s="243"/>
      <c r="BX18" s="243"/>
      <c r="BY18" s="243"/>
      <c r="BZ18" s="243"/>
      <c r="CA18" s="220"/>
    </row>
    <row r="19" spans="2:79" s="76" customFormat="1" ht="13" x14ac:dyDescent="0.3">
      <c r="C19" s="69"/>
      <c r="D19" s="70"/>
      <c r="E19" s="71"/>
      <c r="F19" s="71"/>
      <c r="G19" s="71"/>
      <c r="H19" s="71"/>
      <c r="I19" s="72"/>
      <c r="J19" s="72"/>
      <c r="K19" s="73"/>
      <c r="L19" s="73"/>
      <c r="M19" s="73"/>
      <c r="N19" s="73"/>
      <c r="O19" s="73"/>
      <c r="P19" s="73"/>
      <c r="Q19" s="71"/>
      <c r="R19" s="71"/>
      <c r="S19" s="71"/>
      <c r="T19" s="71"/>
      <c r="U19" s="71"/>
      <c r="V19" s="71"/>
      <c r="W19" s="71"/>
      <c r="X19" s="71"/>
      <c r="Y19" s="74">
        <f>Y17</f>
        <v>3300000</v>
      </c>
      <c r="Z19" s="74">
        <f>Y19+Z17</f>
        <v>3300000</v>
      </c>
      <c r="AA19" s="74">
        <f t="shared" ref="AA19:AJ19" si="56">Z19+AA17</f>
        <v>3300000</v>
      </c>
      <c r="AB19" s="74">
        <f t="shared" si="56"/>
        <v>3300000</v>
      </c>
      <c r="AC19" s="74">
        <f t="shared" si="56"/>
        <v>3300000</v>
      </c>
      <c r="AD19" s="74">
        <f t="shared" si="56"/>
        <v>3300000</v>
      </c>
      <c r="AE19" s="74">
        <f t="shared" si="56"/>
        <v>3300000</v>
      </c>
      <c r="AF19" s="74">
        <f t="shared" si="56"/>
        <v>3300000</v>
      </c>
      <c r="AG19" s="74">
        <f t="shared" si="56"/>
        <v>3300000</v>
      </c>
      <c r="AH19" s="74">
        <f t="shared" si="56"/>
        <v>3300000</v>
      </c>
      <c r="AI19" s="74">
        <f t="shared" si="56"/>
        <v>3300000</v>
      </c>
      <c r="AJ19" s="74">
        <f t="shared" si="56"/>
        <v>3300000</v>
      </c>
      <c r="AK19" s="75">
        <f>AK17</f>
        <v>55000</v>
      </c>
      <c r="AL19" s="75">
        <f>AK19+AL17</f>
        <v>110000</v>
      </c>
      <c r="AM19" s="75">
        <f t="shared" ref="AM19:AV19" si="57">AL19+AM17</f>
        <v>165000</v>
      </c>
      <c r="AN19" s="75">
        <f t="shared" si="57"/>
        <v>220000</v>
      </c>
      <c r="AO19" s="75">
        <f t="shared" si="57"/>
        <v>275000</v>
      </c>
      <c r="AP19" s="75">
        <f t="shared" si="57"/>
        <v>330000</v>
      </c>
      <c r="AQ19" s="75">
        <f t="shared" si="57"/>
        <v>385000</v>
      </c>
      <c r="AR19" s="75">
        <f t="shared" si="57"/>
        <v>440000</v>
      </c>
      <c r="AS19" s="75">
        <f t="shared" si="57"/>
        <v>495000</v>
      </c>
      <c r="AT19" s="75">
        <f t="shared" si="57"/>
        <v>550000</v>
      </c>
      <c r="AU19" s="75">
        <f t="shared" si="57"/>
        <v>605000</v>
      </c>
      <c r="AV19" s="75">
        <f t="shared" si="57"/>
        <v>660000</v>
      </c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</row>
    <row r="20" spans="2:79" x14ac:dyDescent="0.25">
      <c r="I20" s="68"/>
      <c r="J20" s="68"/>
      <c r="K20" s="68"/>
      <c r="L20" s="68"/>
      <c r="M20" s="68"/>
      <c r="N20" s="68"/>
      <c r="O20" s="68"/>
      <c r="P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K20" s="68"/>
      <c r="BN20" s="68"/>
      <c r="BQ20" s="68"/>
      <c r="BT20" s="68"/>
      <c r="BW20" s="68"/>
      <c r="BZ20" s="68"/>
    </row>
  </sheetData>
  <dataValidations count="1">
    <dataValidation type="list" allowBlank="1" showInputMessage="1" showErrorMessage="1" sqref="F7:F18">
      <formula1>$CJ$6:$CJ$16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zoomScale="136" zoomScaleNormal="136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O4" sqref="O4:T4"/>
    </sheetView>
  </sheetViews>
  <sheetFormatPr defaultColWidth="9.1796875" defaultRowHeight="12" x14ac:dyDescent="0.3"/>
  <cols>
    <col min="1" max="1" width="30" style="31" bestFit="1" customWidth="1"/>
    <col min="2" max="2" width="8.1796875" style="31" bestFit="1" customWidth="1"/>
    <col min="3" max="14" width="10.81640625" style="31" hidden="1" customWidth="1"/>
    <col min="15" max="15" width="16.36328125" style="32" bestFit="1" customWidth="1"/>
    <col min="16" max="17" width="10.26953125" style="32" bestFit="1" customWidth="1"/>
    <col min="18" max="19" width="11.1796875" style="32" bestFit="1" customWidth="1"/>
    <col min="20" max="20" width="12.453125" style="32" bestFit="1" customWidth="1"/>
    <col min="21" max="21" width="8.7265625" style="31" customWidth="1"/>
    <col min="22" max="22" width="9.453125" style="31" bestFit="1" customWidth="1"/>
    <col min="23" max="16384" width="9.1796875" style="31"/>
  </cols>
  <sheetData>
    <row r="1" spans="1:27" ht="15.5" x14ac:dyDescent="0.35">
      <c r="A1" s="330" t="str">
        <f>TitlePage!D2</f>
        <v>Lahab Automotive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4"/>
      <c r="U1" s="41"/>
      <c r="V1" s="41"/>
      <c r="W1" s="41"/>
      <c r="X1" s="41"/>
      <c r="Y1" s="41"/>
      <c r="Z1" s="41"/>
      <c r="AA1" s="41"/>
    </row>
    <row r="2" spans="1:27" x14ac:dyDescent="0.3">
      <c r="A2" s="112" t="str">
        <f>"All Numbers are in "&amp;TEXT(TitlePage!D4,0)</f>
        <v>All Numbers are in SAR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6"/>
      <c r="U2" s="41"/>
      <c r="V2" s="41"/>
      <c r="W2" s="41"/>
      <c r="X2" s="41"/>
      <c r="Y2" s="41"/>
      <c r="Z2" s="41"/>
      <c r="AA2" s="41"/>
    </row>
    <row r="3" spans="1:27" ht="21" x14ac:dyDescent="0.5">
      <c r="A3" s="332" t="s">
        <v>14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4"/>
      <c r="U3" s="41"/>
      <c r="V3" s="41"/>
      <c r="W3" s="41"/>
      <c r="X3" s="41"/>
      <c r="Y3" s="41"/>
      <c r="Z3" s="41"/>
      <c r="AA3" s="41"/>
    </row>
    <row r="4" spans="1:27" ht="12.5" thickBot="1" x14ac:dyDescent="0.35">
      <c r="A4" s="118"/>
      <c r="B4" s="119"/>
      <c r="C4" s="120" t="s">
        <v>79</v>
      </c>
      <c r="D4" s="120" t="s">
        <v>68</v>
      </c>
      <c r="E4" s="120" t="s">
        <v>69</v>
      </c>
      <c r="F4" s="120" t="s">
        <v>70</v>
      </c>
      <c r="G4" s="120" t="s">
        <v>71</v>
      </c>
      <c r="H4" s="120" t="s">
        <v>72</v>
      </c>
      <c r="I4" s="120" t="s">
        <v>73</v>
      </c>
      <c r="J4" s="120" t="s">
        <v>74</v>
      </c>
      <c r="K4" s="120" t="s">
        <v>75</v>
      </c>
      <c r="L4" s="120" t="s">
        <v>76</v>
      </c>
      <c r="M4" s="120" t="s">
        <v>77</v>
      </c>
      <c r="N4" s="121" t="s">
        <v>78</v>
      </c>
      <c r="O4" s="117" t="s">
        <v>93</v>
      </c>
      <c r="P4" s="117" t="s">
        <v>94</v>
      </c>
      <c r="Q4" s="117" t="s">
        <v>95</v>
      </c>
      <c r="R4" s="117" t="s">
        <v>240</v>
      </c>
      <c r="S4" s="117" t="s">
        <v>241</v>
      </c>
      <c r="T4" s="117" t="s">
        <v>242</v>
      </c>
      <c r="U4" s="33"/>
      <c r="V4" s="33"/>
      <c r="W4" s="33"/>
    </row>
    <row r="5" spans="1:27" x14ac:dyDescent="0.3">
      <c r="A5" s="142" t="s">
        <v>13</v>
      </c>
      <c r="B5" s="42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8"/>
      <c r="P5" s="149"/>
      <c r="Q5" s="149"/>
      <c r="R5" s="149"/>
      <c r="S5" s="149"/>
      <c r="T5" s="150"/>
      <c r="U5" s="34"/>
      <c r="V5" s="34"/>
      <c r="W5" s="33"/>
    </row>
    <row r="6" spans="1:27" x14ac:dyDescent="0.3">
      <c r="A6" s="142" t="s">
        <v>12</v>
      </c>
      <c r="B6" s="423"/>
      <c r="C6" s="144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51"/>
      <c r="P6" s="152"/>
      <c r="Q6" s="152"/>
      <c r="R6" s="152"/>
      <c r="S6" s="152"/>
      <c r="T6" s="153"/>
      <c r="U6" s="34"/>
      <c r="V6" s="34"/>
      <c r="W6" s="33"/>
    </row>
    <row r="7" spans="1:27" x14ac:dyDescent="0.3">
      <c r="A7" s="146" t="s">
        <v>64</v>
      </c>
      <c r="B7" s="423"/>
      <c r="C7" s="81">
        <f>CF!B27</f>
        <v>224618.33333333331</v>
      </c>
      <c r="D7" s="81">
        <f>CF!C27</f>
        <v>99236.666666666642</v>
      </c>
      <c r="E7" s="81">
        <f>CF!D27</f>
        <v>-26145.000000000029</v>
      </c>
      <c r="F7" s="81">
        <f>CF!E27</f>
        <v>-151526.66666666669</v>
      </c>
      <c r="G7" s="81">
        <f>CF!F27</f>
        <v>-276908.33333333337</v>
      </c>
      <c r="H7" s="81">
        <f>CF!G27</f>
        <v>-402290.00000000006</v>
      </c>
      <c r="I7" s="81">
        <f>CF!H27</f>
        <v>-527671.66666666674</v>
      </c>
      <c r="J7" s="81">
        <f>CF!I27</f>
        <v>-653053.33333333337</v>
      </c>
      <c r="K7" s="81">
        <f>CF!J27</f>
        <v>-778435</v>
      </c>
      <c r="L7" s="81">
        <f>CF!K27</f>
        <v>-903816.66666666663</v>
      </c>
      <c r="M7" s="81">
        <f>CF!L27</f>
        <v>-1029198.3333333333</v>
      </c>
      <c r="N7" s="81">
        <f>CF!M27</f>
        <v>-39580</v>
      </c>
      <c r="O7" s="154">
        <f>CF!N27</f>
        <v>491356</v>
      </c>
      <c r="P7" s="78">
        <f>CF!O27</f>
        <v>230385.375</v>
      </c>
      <c r="Q7" s="78">
        <f>CF!P27</f>
        <v>179373.79375000019</v>
      </c>
      <c r="R7" s="78">
        <f>CF!Q27</f>
        <v>184642.42793750041</v>
      </c>
      <c r="S7" s="78">
        <f>CF!R27</f>
        <v>252160.65252937586</v>
      </c>
      <c r="T7" s="155">
        <f>CF!S27</f>
        <v>388511.66863279534</v>
      </c>
      <c r="U7" s="34"/>
      <c r="V7" s="34"/>
      <c r="W7" s="33"/>
    </row>
    <row r="8" spans="1:27" x14ac:dyDescent="0.3">
      <c r="A8" s="146" t="s">
        <v>141</v>
      </c>
      <c r="B8" s="424">
        <v>0.125</v>
      </c>
      <c r="C8" s="81">
        <f>$B$8*IS!C12</f>
        <v>0</v>
      </c>
      <c r="D8" s="81">
        <f>+C8+($B$8*IS!E12)</f>
        <v>0</v>
      </c>
      <c r="E8" s="81">
        <f>D8+($B$8*IS!G12)</f>
        <v>0</v>
      </c>
      <c r="F8" s="81">
        <f>E8+($B$8*IS!I12)</f>
        <v>0</v>
      </c>
      <c r="G8" s="81">
        <f>F8+($B$8*IS!K12)</f>
        <v>0</v>
      </c>
      <c r="H8" s="81">
        <f>G8+($B$8*IS!M12)</f>
        <v>0</v>
      </c>
      <c r="I8" s="81">
        <f>H8+($B$8*IS!O12)</f>
        <v>0</v>
      </c>
      <c r="J8" s="81">
        <f>I8+($B$8*IS!Q12)</f>
        <v>0</v>
      </c>
      <c r="K8" s="81">
        <f>J8+($B$8*IS!S12)</f>
        <v>0</v>
      </c>
      <c r="L8" s="81">
        <f>K8+($B$8*IS!U12)</f>
        <v>0</v>
      </c>
      <c r="M8" s="81">
        <f>L8+($B$8*IS!W12)</f>
        <v>0</v>
      </c>
      <c r="N8" s="81">
        <f>($B$8*IS!Y12)+M8</f>
        <v>250000</v>
      </c>
      <c r="O8" s="154">
        <f>N8</f>
        <v>250000</v>
      </c>
      <c r="P8" s="78">
        <f>$B$8*IS!AC12</f>
        <v>450000</v>
      </c>
      <c r="Q8" s="78">
        <f>$B$8*IS!AE12</f>
        <v>495000.00000000006</v>
      </c>
      <c r="R8" s="78">
        <f>$B$8*IS!AG12</f>
        <v>544500.00000000012</v>
      </c>
      <c r="S8" s="78">
        <f>$B$8*IS!AI12</f>
        <v>598950.00000000023</v>
      </c>
      <c r="T8" s="155">
        <f>$B$8*IS!AK12</f>
        <v>658845.00000000035</v>
      </c>
      <c r="U8" s="36"/>
      <c r="V8" s="34"/>
      <c r="W8" s="33"/>
    </row>
    <row r="9" spans="1:27" x14ac:dyDescent="0.3">
      <c r="A9" s="146" t="s">
        <v>222</v>
      </c>
      <c r="B9" s="425"/>
      <c r="C9" s="81">
        <f>$B$9*IS!C20</f>
        <v>0</v>
      </c>
      <c r="D9" s="81">
        <f>C9+($B$9*IS!E20)</f>
        <v>0</v>
      </c>
      <c r="E9" s="81">
        <f>D9+($B$9*IS!G20)</f>
        <v>0</v>
      </c>
      <c r="F9" s="81">
        <f>E9+($B$9*IS!I20)</f>
        <v>0</v>
      </c>
      <c r="G9" s="81">
        <f>F9+($B$9*IS!K20)</f>
        <v>0</v>
      </c>
      <c r="H9" s="81">
        <f>G9+($B$9*IS!M20)</f>
        <v>0</v>
      </c>
      <c r="I9" s="81">
        <f>H9+($B$9*IS!O20)</f>
        <v>0</v>
      </c>
      <c r="J9" s="81">
        <f>I9+($B$9*IS!Q20)</f>
        <v>0</v>
      </c>
      <c r="K9" s="81">
        <f>J9+($B$9*IS!S20)</f>
        <v>0</v>
      </c>
      <c r="L9" s="81">
        <f>K9+($B$9*IS!U20)</f>
        <v>0</v>
      </c>
      <c r="M9" s="81">
        <f>L9+($B$9*IS!W20)</f>
        <v>0</v>
      </c>
      <c r="N9" s="81">
        <f>M9+($B$9*IS!Y20)</f>
        <v>0</v>
      </c>
      <c r="O9" s="154">
        <f>N9</f>
        <v>0</v>
      </c>
      <c r="P9" s="78">
        <f>$B$9*IS!AC20</f>
        <v>0</v>
      </c>
      <c r="Q9" s="78">
        <f>$B$9*IS!AE20</f>
        <v>0</v>
      </c>
      <c r="R9" s="78">
        <f>$B$9*IS!AG20</f>
        <v>0</v>
      </c>
      <c r="S9" s="78">
        <f>$B$9*IS!AI20</f>
        <v>0</v>
      </c>
      <c r="T9" s="155">
        <f>$B$9*IS!AK20</f>
        <v>0</v>
      </c>
      <c r="U9" s="36"/>
      <c r="V9" s="34"/>
      <c r="W9" s="33"/>
    </row>
    <row r="10" spans="1:27" x14ac:dyDescent="0.3">
      <c r="A10" s="164" t="s">
        <v>11</v>
      </c>
      <c r="B10" s="165"/>
      <c r="C10" s="166">
        <f>SUM(C7:C9)</f>
        <v>224618.33333333331</v>
      </c>
      <c r="D10" s="166">
        <f t="shared" ref="D10:N10" si="0">SUM(D7:D9)</f>
        <v>99236.666666666642</v>
      </c>
      <c r="E10" s="166">
        <f t="shared" si="0"/>
        <v>-26145.000000000029</v>
      </c>
      <c r="F10" s="166">
        <f t="shared" si="0"/>
        <v>-151526.66666666669</v>
      </c>
      <c r="G10" s="166">
        <f t="shared" si="0"/>
        <v>-276908.33333333337</v>
      </c>
      <c r="H10" s="166">
        <f t="shared" si="0"/>
        <v>-402290.00000000006</v>
      </c>
      <c r="I10" s="166">
        <f t="shared" si="0"/>
        <v>-527671.66666666674</v>
      </c>
      <c r="J10" s="166">
        <f t="shared" si="0"/>
        <v>-653053.33333333337</v>
      </c>
      <c r="K10" s="166">
        <f t="shared" si="0"/>
        <v>-778435</v>
      </c>
      <c r="L10" s="166">
        <f t="shared" si="0"/>
        <v>-903816.66666666663</v>
      </c>
      <c r="M10" s="166">
        <f t="shared" si="0"/>
        <v>-1029198.3333333333</v>
      </c>
      <c r="N10" s="166">
        <f t="shared" si="0"/>
        <v>210420</v>
      </c>
      <c r="O10" s="166">
        <f t="shared" ref="O10:T10" si="1">SUM(O7:O9)</f>
        <v>741356</v>
      </c>
      <c r="P10" s="166">
        <f t="shared" si="1"/>
        <v>680385.375</v>
      </c>
      <c r="Q10" s="166">
        <f t="shared" si="1"/>
        <v>674373.79375000019</v>
      </c>
      <c r="R10" s="166">
        <f t="shared" si="1"/>
        <v>729142.42793750053</v>
      </c>
      <c r="S10" s="166">
        <f t="shared" si="1"/>
        <v>851110.65252937609</v>
      </c>
      <c r="T10" s="168">
        <f t="shared" si="1"/>
        <v>1047356.6686327957</v>
      </c>
      <c r="U10" s="37"/>
      <c r="V10" s="37"/>
      <c r="W10" s="37"/>
    </row>
    <row r="11" spans="1:27" x14ac:dyDescent="0.3">
      <c r="A11" s="79"/>
      <c r="B11" s="423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154"/>
      <c r="P11" s="78"/>
      <c r="Q11" s="78"/>
      <c r="R11" s="78"/>
      <c r="S11" s="78"/>
      <c r="T11" s="155"/>
      <c r="U11" s="37"/>
      <c r="V11" s="37"/>
      <c r="W11" s="37"/>
    </row>
    <row r="12" spans="1:27" x14ac:dyDescent="0.3">
      <c r="A12" s="142" t="s">
        <v>10</v>
      </c>
      <c r="B12" s="423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154"/>
      <c r="P12" s="78"/>
      <c r="Q12" s="78"/>
      <c r="R12" s="78"/>
      <c r="S12" s="78"/>
      <c r="T12" s="155"/>
      <c r="U12" s="33"/>
      <c r="V12" s="33"/>
      <c r="W12" s="33"/>
    </row>
    <row r="13" spans="1:27" x14ac:dyDescent="0.3">
      <c r="A13" s="146" t="s">
        <v>9</v>
      </c>
      <c r="B13" s="423"/>
      <c r="C13" s="81">
        <f>PPE!C10</f>
        <v>2950000</v>
      </c>
      <c r="D13" s="81">
        <f>PPE!D10</f>
        <v>2950000</v>
      </c>
      <c r="E13" s="81">
        <f>PPE!E10</f>
        <v>2950000</v>
      </c>
      <c r="F13" s="81">
        <f>PPE!F10</f>
        <v>2950000</v>
      </c>
      <c r="G13" s="81">
        <f>PPE!G10</f>
        <v>2950000</v>
      </c>
      <c r="H13" s="81">
        <f>PPE!H10</f>
        <v>2950000</v>
      </c>
      <c r="I13" s="81">
        <f>PPE!I10</f>
        <v>2950000</v>
      </c>
      <c r="J13" s="81">
        <f>PPE!J10</f>
        <v>2950000</v>
      </c>
      <c r="K13" s="81">
        <f>PPE!K10</f>
        <v>2950000</v>
      </c>
      <c r="L13" s="81">
        <f>PPE!L10</f>
        <v>2950000</v>
      </c>
      <c r="M13" s="81">
        <f>PPE!M10</f>
        <v>2950000</v>
      </c>
      <c r="N13" s="81">
        <f>PPE!N10</f>
        <v>2950000</v>
      </c>
      <c r="O13" s="154">
        <f>N13</f>
        <v>2950000</v>
      </c>
      <c r="P13" s="78">
        <f>PPE!P10</f>
        <v>2950000</v>
      </c>
      <c r="Q13" s="78">
        <f>PPE!Q10</f>
        <v>2950000</v>
      </c>
      <c r="R13" s="78">
        <f>PPE!R10</f>
        <v>2950000</v>
      </c>
      <c r="S13" s="78">
        <f>PPE!S10</f>
        <v>2950000</v>
      </c>
      <c r="T13" s="155">
        <f>PPE!T10</f>
        <v>2950000</v>
      </c>
      <c r="U13" s="38"/>
      <c r="V13" s="33"/>
      <c r="W13" s="33"/>
    </row>
    <row r="14" spans="1:27" x14ac:dyDescent="0.3">
      <c r="A14" s="146" t="s">
        <v>62</v>
      </c>
      <c r="B14" s="423"/>
      <c r="C14" s="81">
        <f>PPE!C16</f>
        <v>24583.333333333332</v>
      </c>
      <c r="D14" s="81">
        <f>PPE!D16</f>
        <v>49166.666666666664</v>
      </c>
      <c r="E14" s="81">
        <f>PPE!E16</f>
        <v>73750</v>
      </c>
      <c r="F14" s="81">
        <f>PPE!F16</f>
        <v>98333.333333333328</v>
      </c>
      <c r="G14" s="81">
        <f>PPE!G16</f>
        <v>122916.66666666666</v>
      </c>
      <c r="H14" s="81">
        <f>PPE!H16</f>
        <v>147500</v>
      </c>
      <c r="I14" s="81">
        <f>PPE!I16</f>
        <v>172083.33333333334</v>
      </c>
      <c r="J14" s="81">
        <f>PPE!J16</f>
        <v>196666.66666666669</v>
      </c>
      <c r="K14" s="81">
        <f>PPE!K16</f>
        <v>221250.00000000003</v>
      </c>
      <c r="L14" s="81">
        <f>PPE!L16</f>
        <v>245833.33333333337</v>
      </c>
      <c r="M14" s="81">
        <f>PPE!M16</f>
        <v>270416.66666666669</v>
      </c>
      <c r="N14" s="81">
        <f>PPE!N16</f>
        <v>295000</v>
      </c>
      <c r="O14" s="154">
        <f>N14</f>
        <v>295000</v>
      </c>
      <c r="P14" s="78">
        <f>PPE!P16</f>
        <v>590000</v>
      </c>
      <c r="Q14" s="78">
        <f>PPE!Q16</f>
        <v>885000</v>
      </c>
      <c r="R14" s="78">
        <f>PPE!R16</f>
        <v>1180000</v>
      </c>
      <c r="S14" s="78">
        <f>PPE!S16</f>
        <v>1475000</v>
      </c>
      <c r="T14" s="155">
        <f>PPE!T16</f>
        <v>1770000</v>
      </c>
      <c r="U14" s="33"/>
      <c r="V14" s="33"/>
      <c r="W14" s="33"/>
    </row>
    <row r="15" spans="1:27" x14ac:dyDescent="0.3">
      <c r="A15" s="146" t="s">
        <v>63</v>
      </c>
      <c r="B15" s="423"/>
      <c r="C15" s="81">
        <f>C13-C14</f>
        <v>2925416.6666666665</v>
      </c>
      <c r="D15" s="81">
        <f t="shared" ref="D15:N15" si="2">D13-D14</f>
        <v>2900833.3333333335</v>
      </c>
      <c r="E15" s="81">
        <f t="shared" si="2"/>
        <v>2876250</v>
      </c>
      <c r="F15" s="81">
        <f t="shared" si="2"/>
        <v>2851666.6666666665</v>
      </c>
      <c r="G15" s="81">
        <f t="shared" si="2"/>
        <v>2827083.3333333335</v>
      </c>
      <c r="H15" s="81">
        <f t="shared" si="2"/>
        <v>2802500</v>
      </c>
      <c r="I15" s="81">
        <f t="shared" si="2"/>
        <v>2777916.6666666665</v>
      </c>
      <c r="J15" s="81">
        <f t="shared" si="2"/>
        <v>2753333.3333333335</v>
      </c>
      <c r="K15" s="81">
        <f t="shared" si="2"/>
        <v>2728750</v>
      </c>
      <c r="L15" s="81">
        <f t="shared" si="2"/>
        <v>2704166.6666666665</v>
      </c>
      <c r="M15" s="81">
        <f t="shared" si="2"/>
        <v>2679583.3333333335</v>
      </c>
      <c r="N15" s="81">
        <f t="shared" si="2"/>
        <v>2655000</v>
      </c>
      <c r="O15" s="154">
        <f>N15</f>
        <v>2655000</v>
      </c>
      <c r="P15" s="78">
        <f>P13-P14</f>
        <v>2360000</v>
      </c>
      <c r="Q15" s="78">
        <f>Q13-Q14</f>
        <v>2065000</v>
      </c>
      <c r="R15" s="78">
        <f>R13-R14</f>
        <v>1770000</v>
      </c>
      <c r="S15" s="78">
        <f>S13-S14</f>
        <v>1475000</v>
      </c>
      <c r="T15" s="155">
        <f>T13-T14</f>
        <v>1180000</v>
      </c>
      <c r="U15" s="33"/>
      <c r="V15" s="33"/>
      <c r="W15" s="33"/>
    </row>
    <row r="16" spans="1:27" x14ac:dyDescent="0.3">
      <c r="A16" s="146"/>
      <c r="B16" s="423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154"/>
      <c r="P16" s="78"/>
      <c r="Q16" s="78"/>
      <c r="R16" s="78"/>
      <c r="S16" s="78"/>
      <c r="T16" s="155"/>
      <c r="U16" s="33"/>
      <c r="V16" s="33"/>
      <c r="W16" s="33"/>
    </row>
    <row r="17" spans="1:23" x14ac:dyDescent="0.3">
      <c r="A17" s="164" t="s">
        <v>65</v>
      </c>
      <c r="B17" s="165"/>
      <c r="C17" s="166">
        <f>SUM(C15:C16)</f>
        <v>2925416.6666666665</v>
      </c>
      <c r="D17" s="166">
        <f>SUM(D15:D16)</f>
        <v>2900833.3333333335</v>
      </c>
      <c r="E17" s="166">
        <f t="shared" ref="E17:N17" si="3">SUM(E15:E16)</f>
        <v>2876250</v>
      </c>
      <c r="F17" s="166">
        <f t="shared" si="3"/>
        <v>2851666.6666666665</v>
      </c>
      <c r="G17" s="166">
        <f t="shared" si="3"/>
        <v>2827083.3333333335</v>
      </c>
      <c r="H17" s="166">
        <f t="shared" si="3"/>
        <v>2802500</v>
      </c>
      <c r="I17" s="166">
        <f t="shared" si="3"/>
        <v>2777916.6666666665</v>
      </c>
      <c r="J17" s="166">
        <f t="shared" si="3"/>
        <v>2753333.3333333335</v>
      </c>
      <c r="K17" s="166">
        <f t="shared" si="3"/>
        <v>2728750</v>
      </c>
      <c r="L17" s="166">
        <f t="shared" si="3"/>
        <v>2704166.6666666665</v>
      </c>
      <c r="M17" s="166">
        <f t="shared" si="3"/>
        <v>2679583.3333333335</v>
      </c>
      <c r="N17" s="166">
        <f t="shared" si="3"/>
        <v>2655000</v>
      </c>
      <c r="O17" s="166">
        <f t="shared" ref="O17:T17" si="4">SUM(O15:O16)</f>
        <v>2655000</v>
      </c>
      <c r="P17" s="166">
        <f t="shared" si="4"/>
        <v>2360000</v>
      </c>
      <c r="Q17" s="166">
        <f t="shared" si="4"/>
        <v>2065000</v>
      </c>
      <c r="R17" s="166">
        <f t="shared" si="4"/>
        <v>1770000</v>
      </c>
      <c r="S17" s="166">
        <f t="shared" si="4"/>
        <v>1475000</v>
      </c>
      <c r="T17" s="168">
        <f t="shared" si="4"/>
        <v>1180000</v>
      </c>
      <c r="U17" s="37"/>
      <c r="V17" s="37"/>
      <c r="W17" s="37"/>
    </row>
    <row r="18" spans="1:23" x14ac:dyDescent="0.3">
      <c r="A18" s="164" t="s">
        <v>8</v>
      </c>
      <c r="B18" s="165"/>
      <c r="C18" s="166">
        <f t="shared" ref="C18:N18" si="5">C17+C10</f>
        <v>3150035</v>
      </c>
      <c r="D18" s="166">
        <f t="shared" si="5"/>
        <v>3000070</v>
      </c>
      <c r="E18" s="166">
        <f t="shared" si="5"/>
        <v>2850105</v>
      </c>
      <c r="F18" s="166">
        <f t="shared" si="5"/>
        <v>2700140</v>
      </c>
      <c r="G18" s="166">
        <f t="shared" si="5"/>
        <v>2550175</v>
      </c>
      <c r="H18" s="166">
        <f t="shared" si="5"/>
        <v>2400210</v>
      </c>
      <c r="I18" s="166">
        <f t="shared" si="5"/>
        <v>2250245</v>
      </c>
      <c r="J18" s="166">
        <f t="shared" si="5"/>
        <v>2100280</v>
      </c>
      <c r="K18" s="166">
        <f t="shared" si="5"/>
        <v>1950315</v>
      </c>
      <c r="L18" s="166">
        <f t="shared" si="5"/>
        <v>1800350</v>
      </c>
      <c r="M18" s="166">
        <f t="shared" si="5"/>
        <v>1650385.0000000002</v>
      </c>
      <c r="N18" s="166">
        <f t="shared" si="5"/>
        <v>2865420</v>
      </c>
      <c r="O18" s="167">
        <f>O10+O17</f>
        <v>3396356</v>
      </c>
      <c r="P18" s="166">
        <f>P17+P10</f>
        <v>3040385.375</v>
      </c>
      <c r="Q18" s="166">
        <f>Q17+Q10</f>
        <v>2739373.7937500002</v>
      </c>
      <c r="R18" s="166">
        <f>R17+R10</f>
        <v>2499142.4279375006</v>
      </c>
      <c r="S18" s="166">
        <f>S17+S10</f>
        <v>2326110.6525293761</v>
      </c>
      <c r="T18" s="168">
        <f>T17+T10</f>
        <v>2227356.6686327956</v>
      </c>
      <c r="U18" s="37"/>
      <c r="V18" s="37"/>
      <c r="W18" s="37"/>
    </row>
    <row r="19" spans="1:23" x14ac:dyDescent="0.3">
      <c r="A19" s="82"/>
      <c r="B19" s="423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154"/>
      <c r="P19" s="78"/>
      <c r="Q19" s="78"/>
      <c r="R19" s="78"/>
      <c r="S19" s="78"/>
      <c r="T19" s="155"/>
      <c r="U19" s="37"/>
      <c r="V19" s="37"/>
      <c r="W19" s="37"/>
    </row>
    <row r="20" spans="1:23" x14ac:dyDescent="0.3">
      <c r="A20" s="142" t="s">
        <v>7</v>
      </c>
      <c r="B20" s="423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154"/>
      <c r="P20" s="78"/>
      <c r="Q20" s="78"/>
      <c r="R20" s="78"/>
      <c r="S20" s="78"/>
      <c r="T20" s="155"/>
      <c r="U20" s="33"/>
      <c r="V20" s="33"/>
      <c r="W20" s="33"/>
    </row>
    <row r="21" spans="1:23" x14ac:dyDescent="0.3">
      <c r="A21" s="142" t="s">
        <v>6</v>
      </c>
      <c r="B21" s="423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154"/>
      <c r="P21" s="78"/>
      <c r="Q21" s="78"/>
      <c r="R21" s="78"/>
      <c r="S21" s="78"/>
      <c r="T21" s="155"/>
      <c r="U21" s="34"/>
      <c r="V21" s="34"/>
      <c r="W21" s="33"/>
    </row>
    <row r="22" spans="1:23" x14ac:dyDescent="0.3">
      <c r="A22" s="146" t="s">
        <v>140</v>
      </c>
      <c r="B22" s="424"/>
      <c r="C22" s="81">
        <f>$B$22*(IS!C20+IS!C31)</f>
        <v>0</v>
      </c>
      <c r="D22" s="81">
        <f>$B$22*(IS!E20+IS!E31)+C22</f>
        <v>0</v>
      </c>
      <c r="E22" s="81">
        <f>$B$22*(IS!G20+IS!G31)+D22</f>
        <v>0</v>
      </c>
      <c r="F22" s="81">
        <f>$B$22*(IS!I20+IS!I31)+E22</f>
        <v>0</v>
      </c>
      <c r="G22" s="81">
        <f>$B$22*(IS!K20+IS!K31)+F22</f>
        <v>0</v>
      </c>
      <c r="H22" s="81">
        <f>$B$22*(IS!M20+IS!M31)+G22</f>
        <v>0</v>
      </c>
      <c r="I22" s="81">
        <f>$B$22*(IS!O20+IS!O31)+H22</f>
        <v>0</v>
      </c>
      <c r="J22" s="81">
        <f>$B$22*(IS!Q20+IS!Q31)+I22</f>
        <v>0</v>
      </c>
      <c r="K22" s="81">
        <f>$B$22*(IS!S20+IS!S31)+J22</f>
        <v>0</v>
      </c>
      <c r="L22" s="81">
        <f>$B$22*(IS!U20+IS!U31)+K22</f>
        <v>0</v>
      </c>
      <c r="M22" s="81">
        <f>$B$22*(IS!W20+IS!W31)+L22</f>
        <v>0</v>
      </c>
      <c r="N22" s="81">
        <f>$B$22*(IS!Y20+IS!Y31)+M22</f>
        <v>0</v>
      </c>
      <c r="O22" s="154">
        <f>$B$22*(IS!AA20+IS!AA31)</f>
        <v>0</v>
      </c>
      <c r="P22" s="78">
        <f>$B$22*(IS!AC20+IS!AC31)</f>
        <v>0</v>
      </c>
      <c r="Q22" s="78">
        <f>$B$22*(IS!AE20+IS!AE31)</f>
        <v>0</v>
      </c>
      <c r="R22" s="78">
        <f>$B$22*(IS!AG20+IS!AG31)</f>
        <v>0</v>
      </c>
      <c r="S22" s="78">
        <f>$B$22*(IS!AI20+IS!AI31)</f>
        <v>0</v>
      </c>
      <c r="T22" s="155">
        <f>$B$22*(IS!AK20+IS!AK31)</f>
        <v>0</v>
      </c>
      <c r="U22" s="36"/>
      <c r="V22" s="34"/>
      <c r="W22" s="33"/>
    </row>
    <row r="23" spans="1:23" x14ac:dyDescent="0.3">
      <c r="A23" s="164" t="s">
        <v>5</v>
      </c>
      <c r="B23" s="165"/>
      <c r="C23" s="166">
        <f t="shared" ref="C23:T23" si="6">SUM(C22:C22)</f>
        <v>0</v>
      </c>
      <c r="D23" s="166">
        <f t="shared" si="6"/>
        <v>0</v>
      </c>
      <c r="E23" s="166">
        <f t="shared" si="6"/>
        <v>0</v>
      </c>
      <c r="F23" s="166">
        <f t="shared" si="6"/>
        <v>0</v>
      </c>
      <c r="G23" s="166">
        <f t="shared" si="6"/>
        <v>0</v>
      </c>
      <c r="H23" s="166">
        <f t="shared" si="6"/>
        <v>0</v>
      </c>
      <c r="I23" s="166">
        <f t="shared" si="6"/>
        <v>0</v>
      </c>
      <c r="J23" s="166">
        <f t="shared" si="6"/>
        <v>0</v>
      </c>
      <c r="K23" s="166">
        <f t="shared" si="6"/>
        <v>0</v>
      </c>
      <c r="L23" s="166">
        <f t="shared" si="6"/>
        <v>0</v>
      </c>
      <c r="M23" s="166">
        <f t="shared" si="6"/>
        <v>0</v>
      </c>
      <c r="N23" s="166">
        <f t="shared" si="6"/>
        <v>0</v>
      </c>
      <c r="O23" s="166">
        <f t="shared" si="6"/>
        <v>0</v>
      </c>
      <c r="P23" s="166">
        <f t="shared" si="6"/>
        <v>0</v>
      </c>
      <c r="Q23" s="166">
        <f t="shared" si="6"/>
        <v>0</v>
      </c>
      <c r="R23" s="166">
        <f t="shared" si="6"/>
        <v>0</v>
      </c>
      <c r="S23" s="166">
        <f t="shared" si="6"/>
        <v>0</v>
      </c>
      <c r="T23" s="168">
        <f t="shared" si="6"/>
        <v>0</v>
      </c>
      <c r="U23" s="34"/>
      <c r="V23" s="34"/>
      <c r="W23" s="37"/>
    </row>
    <row r="24" spans="1:23" x14ac:dyDescent="0.3">
      <c r="A24" s="146" t="s">
        <v>4</v>
      </c>
      <c r="B24" s="423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154"/>
      <c r="P24" s="78"/>
      <c r="Q24" s="78"/>
      <c r="R24" s="78"/>
      <c r="S24" s="78"/>
      <c r="T24" s="155"/>
      <c r="U24" s="33"/>
      <c r="V24" s="33"/>
      <c r="W24" s="33"/>
    </row>
    <row r="25" spans="1:23" x14ac:dyDescent="0.3">
      <c r="A25" s="147" t="s">
        <v>3</v>
      </c>
      <c r="B25" s="423"/>
      <c r="C25" s="81">
        <f>Loan!Y19</f>
        <v>3300000</v>
      </c>
      <c r="D25" s="81">
        <f>Loan!Z19</f>
        <v>3300000</v>
      </c>
      <c r="E25" s="81">
        <f>Loan!AA19</f>
        <v>3300000</v>
      </c>
      <c r="F25" s="81">
        <f>Loan!AB19</f>
        <v>3300000</v>
      </c>
      <c r="G25" s="81">
        <f>Loan!AC19</f>
        <v>3300000</v>
      </c>
      <c r="H25" s="81">
        <f>Loan!AD19</f>
        <v>3300000</v>
      </c>
      <c r="I25" s="81">
        <f>Loan!AE19</f>
        <v>3300000</v>
      </c>
      <c r="J25" s="81">
        <f>Loan!AF19</f>
        <v>3300000</v>
      </c>
      <c r="K25" s="81">
        <f>Loan!AG19</f>
        <v>3300000</v>
      </c>
      <c r="L25" s="81">
        <f>Loan!AH19</f>
        <v>3300000</v>
      </c>
      <c r="M25" s="81">
        <f>Loan!AI19</f>
        <v>3300000</v>
      </c>
      <c r="N25" s="81">
        <f>Loan!AJ19</f>
        <v>3300000</v>
      </c>
      <c r="O25" s="54">
        <f>Loan!K17</f>
        <v>3300000</v>
      </c>
      <c r="P25" s="55">
        <f>Loan!L17+O25</f>
        <v>3300000</v>
      </c>
      <c r="Q25" s="55">
        <f>Loan!M17+P25</f>
        <v>3300000</v>
      </c>
      <c r="R25" s="55">
        <f>Loan!N17+Q25</f>
        <v>3300000</v>
      </c>
      <c r="S25" s="55">
        <f>Loan!O17+R25</f>
        <v>3300000</v>
      </c>
      <c r="T25" s="56">
        <f>Loan!P17+S25</f>
        <v>3300000</v>
      </c>
      <c r="U25" s="39"/>
      <c r="V25" s="39"/>
      <c r="W25" s="39"/>
    </row>
    <row r="26" spans="1:23" x14ac:dyDescent="0.3">
      <c r="A26" s="147" t="s">
        <v>142</v>
      </c>
      <c r="B26" s="423"/>
      <c r="C26" s="81">
        <f>Loan!AK19</f>
        <v>55000</v>
      </c>
      <c r="D26" s="81">
        <f>Loan!AL19</f>
        <v>110000</v>
      </c>
      <c r="E26" s="81">
        <f>Loan!AM19</f>
        <v>165000</v>
      </c>
      <c r="F26" s="81">
        <f>Loan!AN19</f>
        <v>220000</v>
      </c>
      <c r="G26" s="81">
        <f>Loan!AO19</f>
        <v>275000</v>
      </c>
      <c r="H26" s="81">
        <f>Loan!AP19</f>
        <v>330000</v>
      </c>
      <c r="I26" s="81">
        <f>Loan!AQ19</f>
        <v>385000</v>
      </c>
      <c r="J26" s="81">
        <f>Loan!AR19</f>
        <v>440000</v>
      </c>
      <c r="K26" s="81">
        <f>Loan!AS19</f>
        <v>495000</v>
      </c>
      <c r="L26" s="81">
        <f>Loan!AT19</f>
        <v>550000</v>
      </c>
      <c r="M26" s="81">
        <f>Loan!AU19</f>
        <v>605000</v>
      </c>
      <c r="N26" s="81">
        <f>Loan!AV19</f>
        <v>660000</v>
      </c>
      <c r="O26" s="54">
        <f>Loan!S17</f>
        <v>659999</v>
      </c>
      <c r="P26" s="55">
        <f>Loan!T17+O26</f>
        <v>1319999</v>
      </c>
      <c r="Q26" s="55">
        <f>Loan!U17+P26</f>
        <v>1979999</v>
      </c>
      <c r="R26" s="55">
        <f>Loan!V17+Q26</f>
        <v>2639999</v>
      </c>
      <c r="S26" s="55">
        <f>Loan!W17+R26</f>
        <v>3299999</v>
      </c>
      <c r="T26" s="56">
        <f>Loan!X17+S26</f>
        <v>3959999</v>
      </c>
      <c r="U26" s="39"/>
      <c r="V26" s="39"/>
      <c r="W26" s="39"/>
    </row>
    <row r="27" spans="1:23" x14ac:dyDescent="0.3">
      <c r="A27" s="147" t="s">
        <v>80</v>
      </c>
      <c r="B27" s="423"/>
      <c r="C27" s="81">
        <f>C25-C26</f>
        <v>3245000</v>
      </c>
      <c r="D27" s="81">
        <f>D25-D26</f>
        <v>3190000</v>
      </c>
      <c r="E27" s="81">
        <f t="shared" ref="E27:N27" si="7">E25-E26</f>
        <v>3135000</v>
      </c>
      <c r="F27" s="81">
        <f t="shared" si="7"/>
        <v>3080000</v>
      </c>
      <c r="G27" s="81">
        <f t="shared" si="7"/>
        <v>3025000</v>
      </c>
      <c r="H27" s="81">
        <f t="shared" si="7"/>
        <v>2970000</v>
      </c>
      <c r="I27" s="81">
        <f t="shared" si="7"/>
        <v>2915000</v>
      </c>
      <c r="J27" s="81">
        <f t="shared" si="7"/>
        <v>2860000</v>
      </c>
      <c r="K27" s="81">
        <f t="shared" si="7"/>
        <v>2805000</v>
      </c>
      <c r="L27" s="81">
        <f t="shared" si="7"/>
        <v>2750000</v>
      </c>
      <c r="M27" s="81">
        <f t="shared" si="7"/>
        <v>2695000</v>
      </c>
      <c r="N27" s="81">
        <f t="shared" si="7"/>
        <v>2640000</v>
      </c>
      <c r="O27" s="54">
        <f t="shared" ref="O27:T27" si="8">O25-O26</f>
        <v>2640001</v>
      </c>
      <c r="P27" s="55">
        <f t="shared" si="8"/>
        <v>1980001</v>
      </c>
      <c r="Q27" s="55">
        <f t="shared" si="8"/>
        <v>1320001</v>
      </c>
      <c r="R27" s="55">
        <f t="shared" si="8"/>
        <v>660001</v>
      </c>
      <c r="S27" s="55">
        <f t="shared" si="8"/>
        <v>1</v>
      </c>
      <c r="T27" s="56">
        <f t="shared" si="8"/>
        <v>-659999</v>
      </c>
      <c r="U27" s="39"/>
      <c r="V27" s="39"/>
      <c r="W27" s="39"/>
    </row>
    <row r="28" spans="1:23" x14ac:dyDescent="0.3">
      <c r="A28" s="147"/>
      <c r="B28" s="423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54"/>
      <c r="P28" s="55"/>
      <c r="Q28" s="55"/>
      <c r="R28" s="55"/>
      <c r="S28" s="55"/>
      <c r="T28" s="56"/>
      <c r="U28" s="39"/>
      <c r="V28" s="39"/>
      <c r="W28" s="39"/>
    </row>
    <row r="29" spans="1:23" x14ac:dyDescent="0.3">
      <c r="A29" s="147"/>
      <c r="B29" s="423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54"/>
      <c r="P29" s="55"/>
      <c r="Q29" s="55"/>
      <c r="R29" s="55"/>
      <c r="S29" s="55"/>
      <c r="T29" s="56"/>
      <c r="U29" s="39"/>
      <c r="V29" s="39"/>
      <c r="W29" s="39"/>
    </row>
    <row r="30" spans="1:23" x14ac:dyDescent="0.3">
      <c r="A30" s="164" t="s">
        <v>2</v>
      </c>
      <c r="B30" s="165"/>
      <c r="C30" s="166">
        <f>SUM(C27:C29)</f>
        <v>3245000</v>
      </c>
      <c r="D30" s="166">
        <f t="shared" ref="D30:T30" si="9">SUM(D27:D29)</f>
        <v>3190000</v>
      </c>
      <c r="E30" s="166">
        <f t="shared" si="9"/>
        <v>3135000</v>
      </c>
      <c r="F30" s="166">
        <f t="shared" si="9"/>
        <v>3080000</v>
      </c>
      <c r="G30" s="166">
        <f t="shared" si="9"/>
        <v>3025000</v>
      </c>
      <c r="H30" s="166">
        <f t="shared" si="9"/>
        <v>2970000</v>
      </c>
      <c r="I30" s="166">
        <f t="shared" si="9"/>
        <v>2915000</v>
      </c>
      <c r="J30" s="166">
        <f t="shared" si="9"/>
        <v>2860000</v>
      </c>
      <c r="K30" s="166">
        <f t="shared" si="9"/>
        <v>2805000</v>
      </c>
      <c r="L30" s="166">
        <f t="shared" si="9"/>
        <v>2750000</v>
      </c>
      <c r="M30" s="166">
        <f t="shared" si="9"/>
        <v>2695000</v>
      </c>
      <c r="N30" s="166">
        <f t="shared" si="9"/>
        <v>2640000</v>
      </c>
      <c r="O30" s="166">
        <f t="shared" si="9"/>
        <v>2640001</v>
      </c>
      <c r="P30" s="166">
        <f t="shared" si="9"/>
        <v>1980001</v>
      </c>
      <c r="Q30" s="166">
        <f t="shared" si="9"/>
        <v>1320001</v>
      </c>
      <c r="R30" s="166">
        <f t="shared" si="9"/>
        <v>660001</v>
      </c>
      <c r="S30" s="166">
        <f t="shared" si="9"/>
        <v>1</v>
      </c>
      <c r="T30" s="168">
        <f t="shared" si="9"/>
        <v>-659999</v>
      </c>
      <c r="U30" s="40"/>
      <c r="V30" s="40"/>
      <c r="W30" s="40"/>
    </row>
    <row r="31" spans="1:23" x14ac:dyDescent="0.3">
      <c r="A31" s="164" t="s">
        <v>1</v>
      </c>
      <c r="B31" s="165">
        <f t="shared" ref="B31:N31" si="10">B30+B23</f>
        <v>0</v>
      </c>
      <c r="C31" s="166">
        <f t="shared" si="10"/>
        <v>3245000</v>
      </c>
      <c r="D31" s="166">
        <f t="shared" si="10"/>
        <v>3190000</v>
      </c>
      <c r="E31" s="166">
        <f t="shared" si="10"/>
        <v>3135000</v>
      </c>
      <c r="F31" s="166">
        <f t="shared" si="10"/>
        <v>3080000</v>
      </c>
      <c r="G31" s="166">
        <f t="shared" si="10"/>
        <v>3025000</v>
      </c>
      <c r="H31" s="166">
        <f t="shared" si="10"/>
        <v>2970000</v>
      </c>
      <c r="I31" s="166">
        <f t="shared" si="10"/>
        <v>2915000</v>
      </c>
      <c r="J31" s="166">
        <f t="shared" si="10"/>
        <v>2860000</v>
      </c>
      <c r="K31" s="166">
        <f t="shared" si="10"/>
        <v>2805000</v>
      </c>
      <c r="L31" s="166">
        <f t="shared" si="10"/>
        <v>2750000</v>
      </c>
      <c r="M31" s="166">
        <f t="shared" si="10"/>
        <v>2695000</v>
      </c>
      <c r="N31" s="166">
        <f t="shared" si="10"/>
        <v>2640000</v>
      </c>
      <c r="O31" s="167">
        <f>O23+O30</f>
        <v>2640001</v>
      </c>
      <c r="P31" s="166">
        <f>P30+P23</f>
        <v>1980001</v>
      </c>
      <c r="Q31" s="166">
        <f>Q30+Q23</f>
        <v>1320001</v>
      </c>
      <c r="R31" s="166">
        <f>R30+R23</f>
        <v>660001</v>
      </c>
      <c r="S31" s="166">
        <f>S30+S23</f>
        <v>1</v>
      </c>
      <c r="T31" s="168">
        <f>T30+T23</f>
        <v>-659999</v>
      </c>
      <c r="U31" s="37"/>
      <c r="V31" s="37"/>
      <c r="W31" s="37"/>
    </row>
    <row r="32" spans="1:23" x14ac:dyDescent="0.3">
      <c r="A32" s="142" t="s">
        <v>0</v>
      </c>
      <c r="B32" s="42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54"/>
      <c r="P32" s="78"/>
      <c r="Q32" s="78"/>
      <c r="R32" s="78"/>
      <c r="S32" s="78"/>
      <c r="T32" s="155"/>
      <c r="U32" s="33"/>
      <c r="V32" s="33"/>
      <c r="W32" s="33"/>
    </row>
    <row r="33" spans="1:23" x14ac:dyDescent="0.3">
      <c r="A33" s="146" t="s">
        <v>220</v>
      </c>
      <c r="B33" s="42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54"/>
      <c r="P33" s="78"/>
      <c r="Q33" s="78"/>
      <c r="R33" s="78"/>
      <c r="S33" s="78"/>
      <c r="T33" s="155"/>
      <c r="U33" s="33"/>
      <c r="V33" s="33"/>
      <c r="W33" s="33"/>
    </row>
    <row r="34" spans="1:23" x14ac:dyDescent="0.3">
      <c r="A34" s="146" t="s">
        <v>55</v>
      </c>
      <c r="B34" s="423"/>
      <c r="C34" s="81">
        <f>IS!C42</f>
        <v>-94965</v>
      </c>
      <c r="D34" s="81">
        <f>(IS!E42)+C34</f>
        <v>-189930</v>
      </c>
      <c r="E34" s="81">
        <f>(IS!G42)+D34</f>
        <v>-284895</v>
      </c>
      <c r="F34" s="81">
        <f>(IS!I42)+E34</f>
        <v>-379860</v>
      </c>
      <c r="G34" s="81">
        <f>(IS!K42)+F34</f>
        <v>-474825</v>
      </c>
      <c r="H34" s="81">
        <f>(IS!M42)+G34</f>
        <v>-569790</v>
      </c>
      <c r="I34" s="81">
        <f>(IS!O42)+H34</f>
        <v>-664755</v>
      </c>
      <c r="J34" s="81">
        <f>(IS!Q42)+I34</f>
        <v>-759720</v>
      </c>
      <c r="K34" s="81">
        <f>(IS!S42)+J34</f>
        <v>-854685</v>
      </c>
      <c r="L34" s="81">
        <f>(IS!U42)+K34</f>
        <v>-949650</v>
      </c>
      <c r="M34" s="81">
        <f>(IS!W42)+L34</f>
        <v>-1044615</v>
      </c>
      <c r="N34" s="81">
        <f>(IS!Y42)+M34</f>
        <v>225420</v>
      </c>
      <c r="O34" s="154">
        <f>IS!AA42</f>
        <v>56355</v>
      </c>
      <c r="P34" s="78">
        <f>IS!AC42</f>
        <v>360384.375</v>
      </c>
      <c r="Q34" s="78">
        <f>IS!AE42</f>
        <v>719372.79375000019</v>
      </c>
      <c r="R34" s="78">
        <f>IS!AG42</f>
        <v>1139141.4279375004</v>
      </c>
      <c r="S34" s="78">
        <f>IS!AI42</f>
        <v>1626109.6525293759</v>
      </c>
      <c r="T34" s="155">
        <f>IS!AK42</f>
        <v>2187355.6686327951</v>
      </c>
      <c r="U34" s="33"/>
      <c r="V34" s="33"/>
      <c r="W34" s="33"/>
    </row>
    <row r="35" spans="1:23" x14ac:dyDescent="0.3">
      <c r="A35" s="146" t="s">
        <v>56</v>
      </c>
      <c r="B35" s="42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54">
        <v>700000</v>
      </c>
      <c r="P35" s="78">
        <v>700000</v>
      </c>
      <c r="Q35" s="78">
        <v>700000</v>
      </c>
      <c r="R35" s="78">
        <v>700000</v>
      </c>
      <c r="S35" s="78">
        <v>700000</v>
      </c>
      <c r="T35" s="155">
        <v>700000</v>
      </c>
      <c r="U35" s="33"/>
      <c r="V35" s="33"/>
      <c r="W35" s="33"/>
    </row>
    <row r="36" spans="1:23" x14ac:dyDescent="0.3">
      <c r="A36" s="164" t="s">
        <v>218</v>
      </c>
      <c r="B36" s="165">
        <f>SUM(B33:B35)</f>
        <v>0</v>
      </c>
      <c r="C36" s="166">
        <f>SUM(C33:C35)</f>
        <v>-94965</v>
      </c>
      <c r="D36" s="166">
        <f t="shared" ref="D36:N36" si="11">SUM(D33:D35)</f>
        <v>-189930</v>
      </c>
      <c r="E36" s="166">
        <f t="shared" si="11"/>
        <v>-284895</v>
      </c>
      <c r="F36" s="166">
        <f t="shared" si="11"/>
        <v>-379860</v>
      </c>
      <c r="G36" s="166">
        <f t="shared" si="11"/>
        <v>-474825</v>
      </c>
      <c r="H36" s="166">
        <f t="shared" si="11"/>
        <v>-569790</v>
      </c>
      <c r="I36" s="166">
        <f t="shared" si="11"/>
        <v>-664755</v>
      </c>
      <c r="J36" s="166">
        <f t="shared" si="11"/>
        <v>-759720</v>
      </c>
      <c r="K36" s="166">
        <f t="shared" si="11"/>
        <v>-854685</v>
      </c>
      <c r="L36" s="166">
        <f t="shared" si="11"/>
        <v>-949650</v>
      </c>
      <c r="M36" s="166">
        <f t="shared" si="11"/>
        <v>-1044615</v>
      </c>
      <c r="N36" s="166">
        <f t="shared" si="11"/>
        <v>225420</v>
      </c>
      <c r="O36" s="167">
        <f t="shared" ref="O36:T36" si="12">SUM(O33:O35)</f>
        <v>756355</v>
      </c>
      <c r="P36" s="166">
        <f t="shared" si="12"/>
        <v>1060384.375</v>
      </c>
      <c r="Q36" s="166">
        <f t="shared" si="12"/>
        <v>1419372.7937500002</v>
      </c>
      <c r="R36" s="166">
        <f t="shared" si="12"/>
        <v>1839141.4279375004</v>
      </c>
      <c r="S36" s="166">
        <f t="shared" si="12"/>
        <v>2326109.6525293756</v>
      </c>
      <c r="T36" s="168">
        <f t="shared" si="12"/>
        <v>2887355.6686327951</v>
      </c>
      <c r="U36" s="33"/>
      <c r="V36" s="33"/>
      <c r="W36" s="33"/>
    </row>
    <row r="37" spans="1:23" x14ac:dyDescent="0.3">
      <c r="A37" s="164" t="s">
        <v>219</v>
      </c>
      <c r="B37" s="165">
        <f>B36+B31</f>
        <v>0</v>
      </c>
      <c r="C37" s="166">
        <f>C36+C31</f>
        <v>3150035</v>
      </c>
      <c r="D37" s="166">
        <f t="shared" ref="D37:N37" si="13">D36+D31</f>
        <v>3000070</v>
      </c>
      <c r="E37" s="166">
        <f t="shared" si="13"/>
        <v>2850105</v>
      </c>
      <c r="F37" s="166">
        <f t="shared" si="13"/>
        <v>2700140</v>
      </c>
      <c r="G37" s="166">
        <f t="shared" si="13"/>
        <v>2550175</v>
      </c>
      <c r="H37" s="166">
        <f t="shared" si="13"/>
        <v>2400210</v>
      </c>
      <c r="I37" s="166">
        <f t="shared" si="13"/>
        <v>2250245</v>
      </c>
      <c r="J37" s="166">
        <f t="shared" si="13"/>
        <v>2100280</v>
      </c>
      <c r="K37" s="166">
        <f t="shared" si="13"/>
        <v>1950315</v>
      </c>
      <c r="L37" s="166">
        <f t="shared" si="13"/>
        <v>1800350</v>
      </c>
      <c r="M37" s="166">
        <f t="shared" si="13"/>
        <v>1650385</v>
      </c>
      <c r="N37" s="166">
        <f t="shared" si="13"/>
        <v>2865420</v>
      </c>
      <c r="O37" s="167">
        <f>O31+O36</f>
        <v>3396356</v>
      </c>
      <c r="P37" s="166">
        <f>P36+P31</f>
        <v>3040385.375</v>
      </c>
      <c r="Q37" s="166">
        <f>Q36+Q31</f>
        <v>2739373.7937500002</v>
      </c>
      <c r="R37" s="166">
        <f>R36+R31</f>
        <v>2499142.4279375002</v>
      </c>
      <c r="S37" s="166">
        <f>S36+S31</f>
        <v>2326110.6525293756</v>
      </c>
      <c r="T37" s="168">
        <f>T36+T31</f>
        <v>2227356.6686327951</v>
      </c>
      <c r="U37" s="33"/>
      <c r="V37" s="33"/>
      <c r="W37" s="33"/>
    </row>
    <row r="38" spans="1:23" x14ac:dyDescent="0.3">
      <c r="A38" s="122"/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5"/>
      <c r="Q38" s="125"/>
      <c r="R38" s="125"/>
      <c r="S38" s="125"/>
      <c r="T38" s="126"/>
      <c r="U38" s="33"/>
      <c r="V38" s="33"/>
      <c r="W38" s="33"/>
    </row>
    <row r="39" spans="1:23" ht="12.5" thickBot="1" x14ac:dyDescent="0.35">
      <c r="A39" s="127" t="s">
        <v>61</v>
      </c>
      <c r="B39" s="128">
        <f>B18-B31-B36</f>
        <v>0</v>
      </c>
      <c r="C39" s="129">
        <f t="shared" ref="C39:N39" si="14">+C18-C37</f>
        <v>0</v>
      </c>
      <c r="D39" s="129">
        <f t="shared" si="14"/>
        <v>0</v>
      </c>
      <c r="E39" s="129">
        <f t="shared" si="14"/>
        <v>0</v>
      </c>
      <c r="F39" s="129">
        <f t="shared" si="14"/>
        <v>0</v>
      </c>
      <c r="G39" s="129">
        <f t="shared" si="14"/>
        <v>0</v>
      </c>
      <c r="H39" s="129">
        <f t="shared" si="14"/>
        <v>0</v>
      </c>
      <c r="I39" s="129">
        <f t="shared" si="14"/>
        <v>0</v>
      </c>
      <c r="J39" s="129">
        <f t="shared" si="14"/>
        <v>0</v>
      </c>
      <c r="K39" s="129">
        <f t="shared" si="14"/>
        <v>0</v>
      </c>
      <c r="L39" s="129">
        <f t="shared" si="14"/>
        <v>0</v>
      </c>
      <c r="M39" s="129">
        <f t="shared" si="14"/>
        <v>0</v>
      </c>
      <c r="N39" s="129">
        <f t="shared" si="14"/>
        <v>0</v>
      </c>
      <c r="O39" s="130">
        <f t="shared" ref="O39:T39" si="15">O18-O37</f>
        <v>0</v>
      </c>
      <c r="P39" s="131">
        <f t="shared" si="15"/>
        <v>0</v>
      </c>
      <c r="Q39" s="131">
        <f t="shared" si="15"/>
        <v>0</v>
      </c>
      <c r="R39" s="131">
        <f t="shared" si="15"/>
        <v>0</v>
      </c>
      <c r="S39" s="131">
        <f t="shared" si="15"/>
        <v>0</v>
      </c>
      <c r="T39" s="132">
        <f t="shared" si="15"/>
        <v>0</v>
      </c>
      <c r="U39" s="39"/>
      <c r="V39" s="39"/>
      <c r="W39" s="39"/>
    </row>
    <row r="54" spans="2:3" x14ac:dyDescent="0.3">
      <c r="B54" s="42"/>
      <c r="C54" s="35"/>
    </row>
    <row r="55" spans="2:3" x14ac:dyDescent="0.3">
      <c r="B55" s="43"/>
      <c r="C55" s="43"/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136" zoomScaleNormal="136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T6" sqref="T6"/>
    </sheetView>
  </sheetViews>
  <sheetFormatPr defaultColWidth="9.1796875" defaultRowHeight="12" x14ac:dyDescent="0.3"/>
  <cols>
    <col min="1" max="1" width="31.81640625" style="31" customWidth="1"/>
    <col min="2" max="2" width="10.453125" style="31" hidden="1" customWidth="1"/>
    <col min="3" max="3" width="9.81640625" style="31" hidden="1" customWidth="1"/>
    <col min="4" max="13" width="9.54296875" style="31" hidden="1" customWidth="1"/>
    <col min="14" max="17" width="10.1796875" style="31" customWidth="1"/>
    <col min="18" max="18" width="11.26953125" style="31" bestFit="1" customWidth="1"/>
    <col min="19" max="19" width="12" style="31" bestFit="1" customWidth="1"/>
    <col min="20" max="16384" width="9.1796875" style="31"/>
  </cols>
  <sheetData>
    <row r="1" spans="1:19" ht="15.5" x14ac:dyDescent="0.35">
      <c r="A1" s="330" t="str">
        <f>TitlePage!D2</f>
        <v>Lahab Automotive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60"/>
    </row>
    <row r="2" spans="1:19" x14ac:dyDescent="0.3">
      <c r="A2" s="112" t="str">
        <f>"All Numbers are in "&amp;TEXT(TitlePage!D4,0)</f>
        <v>All Numbers are in SAR</v>
      </c>
      <c r="B2" s="340" t="s">
        <v>99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1"/>
      <c r="O2" s="341"/>
      <c r="P2" s="341"/>
      <c r="Q2" s="341"/>
      <c r="R2" s="341"/>
      <c r="S2" s="342"/>
    </row>
    <row r="3" spans="1:19" ht="21" x14ac:dyDescent="0.5">
      <c r="A3" s="332" t="s">
        <v>28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4" t="s">
        <v>98</v>
      </c>
      <c r="O3" s="344"/>
      <c r="P3" s="344"/>
      <c r="Q3" s="344"/>
      <c r="R3" s="344"/>
      <c r="S3" s="345"/>
    </row>
    <row r="4" spans="1:19" x14ac:dyDescent="0.3">
      <c r="A4" s="335" t="s">
        <v>97</v>
      </c>
      <c r="B4" s="336">
        <v>42370</v>
      </c>
      <c r="C4" s="337">
        <v>42401</v>
      </c>
      <c r="D4" s="337">
        <v>42430</v>
      </c>
      <c r="E4" s="337">
        <v>42461</v>
      </c>
      <c r="F4" s="337">
        <v>42491</v>
      </c>
      <c r="G4" s="337">
        <v>42522</v>
      </c>
      <c r="H4" s="337">
        <v>42552</v>
      </c>
      <c r="I4" s="337">
        <v>42583</v>
      </c>
      <c r="J4" s="337">
        <v>42614</v>
      </c>
      <c r="K4" s="337">
        <v>42644</v>
      </c>
      <c r="L4" s="337">
        <v>42675</v>
      </c>
      <c r="M4" s="338">
        <v>42705</v>
      </c>
      <c r="N4" s="339">
        <v>2019</v>
      </c>
      <c r="O4" s="339">
        <v>2020</v>
      </c>
      <c r="P4" s="339">
        <v>2021</v>
      </c>
      <c r="Q4" s="339">
        <v>2022</v>
      </c>
      <c r="R4" s="339">
        <v>2023</v>
      </c>
      <c r="S4" s="339">
        <v>2024</v>
      </c>
    </row>
    <row r="5" spans="1:19" x14ac:dyDescent="0.3">
      <c r="A5" s="136" t="s">
        <v>29</v>
      </c>
      <c r="B5" s="133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5"/>
      <c r="N5" s="51"/>
      <c r="O5" s="52"/>
      <c r="P5" s="52"/>
      <c r="Q5" s="52"/>
      <c r="R5" s="52"/>
      <c r="S5" s="53"/>
    </row>
    <row r="6" spans="1:19" x14ac:dyDescent="0.3">
      <c r="A6" s="137" t="s">
        <v>30</v>
      </c>
      <c r="B6" s="83">
        <f>IS!C42</f>
        <v>-94965</v>
      </c>
      <c r="C6" s="84">
        <f>IS!E42</f>
        <v>-94965</v>
      </c>
      <c r="D6" s="84">
        <f>IS!G42</f>
        <v>-94965</v>
      </c>
      <c r="E6" s="84">
        <f>IS!I42</f>
        <v>-94965</v>
      </c>
      <c r="F6" s="84">
        <f>IS!K42</f>
        <v>-94965</v>
      </c>
      <c r="G6" s="84">
        <f>IS!M42</f>
        <v>-94965</v>
      </c>
      <c r="H6" s="84">
        <f>IS!O42</f>
        <v>-94965</v>
      </c>
      <c r="I6" s="84">
        <f>IS!Q42</f>
        <v>-94965</v>
      </c>
      <c r="J6" s="84">
        <f>IS!S42</f>
        <v>-94965</v>
      </c>
      <c r="K6" s="84">
        <f>IS!U42</f>
        <v>-94965</v>
      </c>
      <c r="L6" s="84">
        <f>IS!W42</f>
        <v>-94965</v>
      </c>
      <c r="M6" s="85">
        <f>IS!Y42</f>
        <v>1270035</v>
      </c>
      <c r="N6" s="54">
        <f>IS!AA40</f>
        <v>225420</v>
      </c>
      <c r="O6" s="55">
        <f>IS!AC40</f>
        <v>1216117.5</v>
      </c>
      <c r="P6" s="55">
        <f>IS!AE40</f>
        <v>1435953.6750000005</v>
      </c>
      <c r="Q6" s="55">
        <f>IS!AG40</f>
        <v>1679074.5367500009</v>
      </c>
      <c r="R6" s="55">
        <f>IS!AI40</f>
        <v>1947872.898367502</v>
      </c>
      <c r="S6" s="56">
        <f>IS!AK40</f>
        <v>2244984.0644136774</v>
      </c>
    </row>
    <row r="7" spans="1:19" x14ac:dyDescent="0.3">
      <c r="A7" s="137" t="s">
        <v>96</v>
      </c>
      <c r="B7" s="83">
        <f>IS!C34</f>
        <v>24583.333333333332</v>
      </c>
      <c r="C7" s="84">
        <f>IS!E34</f>
        <v>24583.333333333332</v>
      </c>
      <c r="D7" s="84">
        <f>IS!G34</f>
        <v>24583.333333333332</v>
      </c>
      <c r="E7" s="84">
        <f>IS!I34</f>
        <v>24583.333333333332</v>
      </c>
      <c r="F7" s="84">
        <f>IS!K34</f>
        <v>24583.333333333332</v>
      </c>
      <c r="G7" s="84">
        <f>IS!M34</f>
        <v>24583.333333333332</v>
      </c>
      <c r="H7" s="84">
        <f>IS!O34</f>
        <v>24583.333333333332</v>
      </c>
      <c r="I7" s="84">
        <f>IS!Q34</f>
        <v>24583.333333333332</v>
      </c>
      <c r="J7" s="84">
        <f>IS!S34</f>
        <v>24583.333333333332</v>
      </c>
      <c r="K7" s="84">
        <f>IS!U34</f>
        <v>24583.333333333332</v>
      </c>
      <c r="L7" s="84">
        <f>IS!W34</f>
        <v>24583.333333333332</v>
      </c>
      <c r="M7" s="85">
        <f>IS!Y34</f>
        <v>24583.333333333332</v>
      </c>
      <c r="N7" s="54">
        <f>IS!AA34</f>
        <v>295000</v>
      </c>
      <c r="O7" s="55">
        <f>IS!AC34</f>
        <v>295000</v>
      </c>
      <c r="P7" s="55">
        <f>IS!AE34</f>
        <v>295000</v>
      </c>
      <c r="Q7" s="55">
        <f>IS!AG34</f>
        <v>295000</v>
      </c>
      <c r="R7" s="55">
        <f>IS!AI34</f>
        <v>295000</v>
      </c>
      <c r="S7" s="56">
        <f>IS!AK34</f>
        <v>295000</v>
      </c>
    </row>
    <row r="8" spans="1:19" x14ac:dyDescent="0.3">
      <c r="A8" s="137" t="s">
        <v>59</v>
      </c>
      <c r="B8" s="83">
        <f>-BS!C8</f>
        <v>0</v>
      </c>
      <c r="C8" s="84">
        <f>-(BS!D8-BS!C8)</f>
        <v>0</v>
      </c>
      <c r="D8" s="84">
        <f>-(BS!E8-BS!D8)</f>
        <v>0</v>
      </c>
      <c r="E8" s="84">
        <f>-(BS!F8-BS!E8)</f>
        <v>0</v>
      </c>
      <c r="F8" s="84">
        <f>-(BS!G8-BS!F8)</f>
        <v>0</v>
      </c>
      <c r="G8" s="84">
        <f>-(BS!H8-BS!G8)</f>
        <v>0</v>
      </c>
      <c r="H8" s="84">
        <f>-(BS!I8-BS!H8)</f>
        <v>0</v>
      </c>
      <c r="I8" s="84">
        <f>-(BS!J8-BS!I8)</f>
        <v>0</v>
      </c>
      <c r="J8" s="84">
        <f>-(BS!K8-BS!J8)</f>
        <v>0</v>
      </c>
      <c r="K8" s="84">
        <f>-(BS!L8-BS!K8)</f>
        <v>0</v>
      </c>
      <c r="L8" s="84">
        <f>-(BS!M8-BS!L8)</f>
        <v>0</v>
      </c>
      <c r="M8" s="85">
        <f>-(BS!N8-BS!M8)</f>
        <v>-250000</v>
      </c>
      <c r="N8" s="54">
        <f>-BS!O8</f>
        <v>-250000</v>
      </c>
      <c r="O8" s="55">
        <f>-(BS!P8-BS!O8)</f>
        <v>-200000</v>
      </c>
      <c r="P8" s="55">
        <f>-(BS!Q8-BS!P8)</f>
        <v>-45000.000000000058</v>
      </c>
      <c r="Q8" s="55">
        <f>-(BS!R8-BS!Q8)</f>
        <v>-49500.000000000058</v>
      </c>
      <c r="R8" s="55">
        <f>-(BS!S8-BS!R8)</f>
        <v>-54450.000000000116</v>
      </c>
      <c r="S8" s="56">
        <f>-(BS!T8-BS!S8)</f>
        <v>-59895.000000000116</v>
      </c>
    </row>
    <row r="9" spans="1:19" x14ac:dyDescent="0.3">
      <c r="A9" s="137" t="s">
        <v>60</v>
      </c>
      <c r="B9" s="83">
        <f>BS!C22</f>
        <v>0</v>
      </c>
      <c r="C9" s="84">
        <f>BS!D22-BS!C22</f>
        <v>0</v>
      </c>
      <c r="D9" s="84">
        <f>BS!E22-BS!D22</f>
        <v>0</v>
      </c>
      <c r="E9" s="84">
        <f>BS!F22-BS!E22</f>
        <v>0</v>
      </c>
      <c r="F9" s="84">
        <f>BS!G22-BS!F22</f>
        <v>0</v>
      </c>
      <c r="G9" s="84">
        <f>BS!H22-BS!G22</f>
        <v>0</v>
      </c>
      <c r="H9" s="84">
        <f>BS!I22-BS!H22</f>
        <v>0</v>
      </c>
      <c r="I9" s="84">
        <f>BS!J22-BS!I22</f>
        <v>0</v>
      </c>
      <c r="J9" s="84">
        <f>BS!K22-BS!J22</f>
        <v>0</v>
      </c>
      <c r="K9" s="84">
        <f>BS!L22-BS!K22</f>
        <v>0</v>
      </c>
      <c r="L9" s="84">
        <f>BS!M22-BS!L22</f>
        <v>0</v>
      </c>
      <c r="M9" s="85">
        <f>BS!N22-BS!M22</f>
        <v>0</v>
      </c>
      <c r="N9" s="54">
        <f>BS!O22</f>
        <v>0</v>
      </c>
      <c r="O9" s="55">
        <f>BS!P22-BS!O22</f>
        <v>0</v>
      </c>
      <c r="P9" s="55">
        <f>BS!Q22-BS!P22</f>
        <v>0</v>
      </c>
      <c r="Q9" s="55">
        <f>BS!R22-BS!Q22</f>
        <v>0</v>
      </c>
      <c r="R9" s="55">
        <f>BS!S22-BS!R22</f>
        <v>0</v>
      </c>
      <c r="S9" s="56">
        <f>(BS!T22-BS!S22)</f>
        <v>0</v>
      </c>
    </row>
    <row r="10" spans="1:19" x14ac:dyDescent="0.3">
      <c r="A10" s="137" t="s">
        <v>195</v>
      </c>
      <c r="B10" s="83">
        <f>-BS!C9</f>
        <v>0</v>
      </c>
      <c r="C10" s="84">
        <f>-(BS!D9-BS!C9)</f>
        <v>0</v>
      </c>
      <c r="D10" s="84">
        <f>-(BS!E9-BS!D9)</f>
        <v>0</v>
      </c>
      <c r="E10" s="84">
        <f>-(BS!F9-BS!E9)</f>
        <v>0</v>
      </c>
      <c r="F10" s="84">
        <f>-(BS!G9-BS!F9)</f>
        <v>0</v>
      </c>
      <c r="G10" s="84">
        <f>-(BS!H9-BS!G9)</f>
        <v>0</v>
      </c>
      <c r="H10" s="84">
        <f>-(BS!I9-BS!H9)</f>
        <v>0</v>
      </c>
      <c r="I10" s="84">
        <f>-(BS!J9-BS!I9)</f>
        <v>0</v>
      </c>
      <c r="J10" s="84">
        <f>-(BS!K9-BS!J9)</f>
        <v>0</v>
      </c>
      <c r="K10" s="84">
        <f>-(BS!L9-BS!K9)</f>
        <v>0</v>
      </c>
      <c r="L10" s="84">
        <f>-(BS!M9-BS!L9)</f>
        <v>0</v>
      </c>
      <c r="M10" s="85">
        <f>-(BS!N9-BS!M9)</f>
        <v>0</v>
      </c>
      <c r="N10" s="54">
        <f>-BS!O9</f>
        <v>0</v>
      </c>
      <c r="O10" s="55">
        <f>-(BS!P9-BS!O9)</f>
        <v>0</v>
      </c>
      <c r="P10" s="55">
        <f>-(BS!Q9-BS!P9)</f>
        <v>0</v>
      </c>
      <c r="Q10" s="55">
        <f>-(BS!R9-BS!Q9)</f>
        <v>0</v>
      </c>
      <c r="R10" s="55">
        <f>-(BS!S9-BS!R9)</f>
        <v>0</v>
      </c>
      <c r="S10" s="56">
        <f>-(BS!T9-BS!S9)</f>
        <v>0</v>
      </c>
    </row>
    <row r="11" spans="1:19" x14ac:dyDescent="0.3">
      <c r="A11" s="50" t="s">
        <v>31</v>
      </c>
      <c r="B11" s="48">
        <f>(B6)+(B7)+(B8)+(B9)+B10</f>
        <v>-70381.666666666672</v>
      </c>
      <c r="C11" s="47">
        <f t="shared" ref="C11:M11" si="0">(C6)+(C7)+(C8)+(C9)+C10</f>
        <v>-70381.666666666672</v>
      </c>
      <c r="D11" s="47">
        <f t="shared" si="0"/>
        <v>-70381.666666666672</v>
      </c>
      <c r="E11" s="47">
        <f t="shared" si="0"/>
        <v>-70381.666666666672</v>
      </c>
      <c r="F11" s="47">
        <f t="shared" si="0"/>
        <v>-70381.666666666672</v>
      </c>
      <c r="G11" s="47">
        <f t="shared" si="0"/>
        <v>-70381.666666666672</v>
      </c>
      <c r="H11" s="47">
        <f t="shared" si="0"/>
        <v>-70381.666666666672</v>
      </c>
      <c r="I11" s="47">
        <f t="shared" si="0"/>
        <v>-70381.666666666672</v>
      </c>
      <c r="J11" s="47">
        <f t="shared" si="0"/>
        <v>-70381.666666666672</v>
      </c>
      <c r="K11" s="47">
        <f t="shared" si="0"/>
        <v>-70381.666666666672</v>
      </c>
      <c r="L11" s="47">
        <f t="shared" si="0"/>
        <v>-70381.666666666672</v>
      </c>
      <c r="M11" s="49">
        <f t="shared" si="0"/>
        <v>1044618.3333333333</v>
      </c>
      <c r="N11" s="48">
        <f t="shared" ref="N11:S11" si="1">SUM(N6:N10)</f>
        <v>270420</v>
      </c>
      <c r="O11" s="47">
        <f t="shared" si="1"/>
        <v>1311117.5</v>
      </c>
      <c r="P11" s="47">
        <f t="shared" si="1"/>
        <v>1685953.6750000005</v>
      </c>
      <c r="Q11" s="47">
        <f t="shared" si="1"/>
        <v>1924574.5367500009</v>
      </c>
      <c r="R11" s="47">
        <f t="shared" si="1"/>
        <v>2188422.8983675018</v>
      </c>
      <c r="S11" s="49">
        <f t="shared" si="1"/>
        <v>2480089.0644136774</v>
      </c>
    </row>
    <row r="12" spans="1:19" x14ac:dyDescent="0.3">
      <c r="A12" s="133"/>
      <c r="B12" s="83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5"/>
      <c r="N12" s="54"/>
      <c r="O12" s="55"/>
      <c r="P12" s="55"/>
      <c r="Q12" s="55"/>
      <c r="R12" s="55"/>
      <c r="S12" s="56"/>
    </row>
    <row r="13" spans="1:19" x14ac:dyDescent="0.3">
      <c r="A13" s="136" t="s">
        <v>58</v>
      </c>
      <c r="B13" s="83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5"/>
      <c r="N13" s="54"/>
      <c r="O13" s="55"/>
      <c r="P13" s="55"/>
      <c r="Q13" s="55"/>
      <c r="R13" s="55"/>
      <c r="S13" s="56"/>
    </row>
    <row r="14" spans="1:19" x14ac:dyDescent="0.3">
      <c r="A14" s="137" t="s">
        <v>100</v>
      </c>
      <c r="B14" s="83">
        <f>-PPE!C8</f>
        <v>-2950000</v>
      </c>
      <c r="C14" s="84">
        <f>-PPE!D8</f>
        <v>0</v>
      </c>
      <c r="D14" s="84">
        <f>-PPE!E8</f>
        <v>0</v>
      </c>
      <c r="E14" s="84">
        <f>-PPE!F8</f>
        <v>0</v>
      </c>
      <c r="F14" s="84">
        <f>-PPE!G8</f>
        <v>0</v>
      </c>
      <c r="G14" s="84">
        <f>-PPE!H8</f>
        <v>0</v>
      </c>
      <c r="H14" s="84">
        <f>-PPE!I8</f>
        <v>0</v>
      </c>
      <c r="I14" s="84">
        <f>-PPE!J8</f>
        <v>0</v>
      </c>
      <c r="J14" s="84">
        <f>-PPE!K8</f>
        <v>0</v>
      </c>
      <c r="K14" s="84">
        <f>-PPE!L8</f>
        <v>0</v>
      </c>
      <c r="L14" s="84">
        <f>-PPE!M8</f>
        <v>0</v>
      </c>
      <c r="M14" s="84">
        <f>-PPE!N8</f>
        <v>0</v>
      </c>
      <c r="N14" s="54">
        <f>-PPE!O8</f>
        <v>-2950000</v>
      </c>
      <c r="O14" s="55">
        <f>-PPE!P8</f>
        <v>0</v>
      </c>
      <c r="P14" s="55">
        <f>-PPE!Q8</f>
        <v>0</v>
      </c>
      <c r="Q14" s="55">
        <f>-PPE!R8</f>
        <v>0</v>
      </c>
      <c r="R14" s="55">
        <f>-PPE!S8</f>
        <v>0</v>
      </c>
      <c r="S14" s="56">
        <f>-PPE!T8</f>
        <v>0</v>
      </c>
    </row>
    <row r="15" spans="1:19" x14ac:dyDescent="0.3">
      <c r="A15" s="133"/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5"/>
      <c r="N15" s="54"/>
      <c r="O15" s="55"/>
      <c r="P15" s="55"/>
      <c r="Q15" s="55"/>
      <c r="R15" s="55"/>
      <c r="S15" s="56"/>
    </row>
    <row r="16" spans="1:19" x14ac:dyDescent="0.3">
      <c r="A16" s="50" t="s">
        <v>32</v>
      </c>
      <c r="B16" s="48">
        <f>B14</f>
        <v>-2950000</v>
      </c>
      <c r="C16" s="47">
        <f t="shared" ref="C16:M16" si="2">C14</f>
        <v>0</v>
      </c>
      <c r="D16" s="47">
        <f t="shared" si="2"/>
        <v>0</v>
      </c>
      <c r="E16" s="47">
        <f t="shared" si="2"/>
        <v>0</v>
      </c>
      <c r="F16" s="47">
        <f t="shared" si="2"/>
        <v>0</v>
      </c>
      <c r="G16" s="47">
        <f t="shared" si="2"/>
        <v>0</v>
      </c>
      <c r="H16" s="47">
        <f t="shared" si="2"/>
        <v>0</v>
      </c>
      <c r="I16" s="47">
        <f t="shared" si="2"/>
        <v>0</v>
      </c>
      <c r="J16" s="47">
        <f t="shared" si="2"/>
        <v>0</v>
      </c>
      <c r="K16" s="47">
        <f t="shared" si="2"/>
        <v>0</v>
      </c>
      <c r="L16" s="47">
        <f t="shared" si="2"/>
        <v>0</v>
      </c>
      <c r="M16" s="49">
        <f t="shared" si="2"/>
        <v>0</v>
      </c>
      <c r="N16" s="48">
        <f t="shared" ref="N16:S16" si="3">SUM(N14:N15)</f>
        <v>-2950000</v>
      </c>
      <c r="O16" s="47">
        <f t="shared" si="3"/>
        <v>0</v>
      </c>
      <c r="P16" s="47">
        <f t="shared" si="3"/>
        <v>0</v>
      </c>
      <c r="Q16" s="47">
        <f t="shared" si="3"/>
        <v>0</v>
      </c>
      <c r="R16" s="47">
        <f t="shared" si="3"/>
        <v>0</v>
      </c>
      <c r="S16" s="49">
        <f t="shared" si="3"/>
        <v>0</v>
      </c>
    </row>
    <row r="17" spans="1:19" x14ac:dyDescent="0.3">
      <c r="A17" s="137"/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5"/>
      <c r="N17" s="54"/>
      <c r="O17" s="55"/>
      <c r="P17" s="55"/>
      <c r="Q17" s="55"/>
      <c r="R17" s="55"/>
      <c r="S17" s="56"/>
    </row>
    <row r="18" spans="1:19" x14ac:dyDescent="0.3">
      <c r="A18" s="136" t="s">
        <v>33</v>
      </c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5"/>
      <c r="N18" s="54"/>
      <c r="O18" s="55"/>
      <c r="P18" s="55"/>
      <c r="Q18" s="55"/>
      <c r="R18" s="55"/>
      <c r="S18" s="56"/>
    </row>
    <row r="19" spans="1:19" x14ac:dyDescent="0.3">
      <c r="A19" s="137" t="s">
        <v>34</v>
      </c>
      <c r="B19" s="83">
        <f>Loan!Y17</f>
        <v>3300000</v>
      </c>
      <c r="C19" s="84">
        <f>Loan!Z17</f>
        <v>0</v>
      </c>
      <c r="D19" s="84">
        <f>Loan!AA17</f>
        <v>0</v>
      </c>
      <c r="E19" s="84">
        <f>Loan!AB17</f>
        <v>0</v>
      </c>
      <c r="F19" s="84">
        <f>Loan!AC17</f>
        <v>0</v>
      </c>
      <c r="G19" s="84">
        <f>Loan!AD17</f>
        <v>0</v>
      </c>
      <c r="H19" s="84">
        <f>Loan!AE17</f>
        <v>0</v>
      </c>
      <c r="I19" s="84">
        <f>Loan!AF17</f>
        <v>0</v>
      </c>
      <c r="J19" s="84">
        <f>Loan!AG17</f>
        <v>0</v>
      </c>
      <c r="K19" s="84">
        <f>Loan!AH17</f>
        <v>0</v>
      </c>
      <c r="L19" s="84">
        <f>Loan!AI17</f>
        <v>0</v>
      </c>
      <c r="M19" s="84">
        <f>Loan!AJ17</f>
        <v>0</v>
      </c>
      <c r="N19" s="54">
        <f>BS!O25</f>
        <v>3300000</v>
      </c>
      <c r="O19" s="55">
        <f>BS!P25-BS!O25</f>
        <v>0</v>
      </c>
      <c r="P19" s="55">
        <f>BS!Q25-BS!P25</f>
        <v>0</v>
      </c>
      <c r="Q19" s="55">
        <f>BS!R25-BS!Q25</f>
        <v>0</v>
      </c>
      <c r="R19" s="55">
        <f>BS!S25-BS!R25</f>
        <v>0</v>
      </c>
      <c r="S19" s="56">
        <f>BS!T25-BS!S25</f>
        <v>0</v>
      </c>
    </row>
    <row r="20" spans="1:19" x14ac:dyDescent="0.3">
      <c r="A20" s="137" t="s">
        <v>35</v>
      </c>
      <c r="B20" s="83">
        <f>-BS!C26</f>
        <v>-55000</v>
      </c>
      <c r="C20" s="84">
        <f>-(BS!D26-BS!C26)</f>
        <v>-55000</v>
      </c>
      <c r="D20" s="84">
        <f>-(BS!E26-BS!D26)</f>
        <v>-55000</v>
      </c>
      <c r="E20" s="84">
        <f>-(BS!F26-BS!E26)</f>
        <v>-55000</v>
      </c>
      <c r="F20" s="84">
        <f>-(BS!G26-BS!F26)</f>
        <v>-55000</v>
      </c>
      <c r="G20" s="84">
        <f>-(BS!H26-BS!G26)</f>
        <v>-55000</v>
      </c>
      <c r="H20" s="84">
        <f>-(BS!I26-BS!H26)</f>
        <v>-55000</v>
      </c>
      <c r="I20" s="84">
        <f>-(BS!J26-BS!I26)</f>
        <v>-55000</v>
      </c>
      <c r="J20" s="84">
        <f>-(BS!K26-BS!J26)</f>
        <v>-55000</v>
      </c>
      <c r="K20" s="84">
        <f>-(BS!L26-BS!K26)</f>
        <v>-55000</v>
      </c>
      <c r="L20" s="84">
        <f>-(BS!M26-BS!L26)</f>
        <v>-55000</v>
      </c>
      <c r="M20" s="84">
        <f>-(BS!N26-BS!M26)</f>
        <v>-55000</v>
      </c>
      <c r="N20" s="54">
        <f>-BS!O26</f>
        <v>-659999</v>
      </c>
      <c r="O20" s="55">
        <f>-(BS!P26-BS!O26)</f>
        <v>-660000</v>
      </c>
      <c r="P20" s="55">
        <f>-(BS!Q26-BS!P26)</f>
        <v>-660000</v>
      </c>
      <c r="Q20" s="55">
        <f>-(BS!R26-BS!Q26)</f>
        <v>-660000</v>
      </c>
      <c r="R20" s="55">
        <f>-(BS!S26-BS!R26)</f>
        <v>-660000</v>
      </c>
      <c r="S20" s="56">
        <f>-(BS!T26-BS!S26)</f>
        <v>-660000</v>
      </c>
    </row>
    <row r="21" spans="1:19" x14ac:dyDescent="0.3">
      <c r="A21" s="137" t="s">
        <v>198</v>
      </c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54">
        <f>-IS!AA41</f>
        <v>-169065</v>
      </c>
      <c r="O21" s="55">
        <f>-IS!AC41</f>
        <v>-912088.125</v>
      </c>
      <c r="P21" s="55">
        <f>-IS!AE41</f>
        <v>-1076965.2562500003</v>
      </c>
      <c r="Q21" s="55">
        <f>-IS!AG41</f>
        <v>-1259305.9025625007</v>
      </c>
      <c r="R21" s="55">
        <f>-IS!AI41</f>
        <v>-1460904.6737756266</v>
      </c>
      <c r="S21" s="56">
        <f>-IS!AK41</f>
        <v>-1683738.048310258</v>
      </c>
    </row>
    <row r="22" spans="1:19" x14ac:dyDescent="0.3">
      <c r="A22" s="502" t="s">
        <v>56</v>
      </c>
      <c r="B22" s="83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5"/>
      <c r="N22" s="54">
        <f>BS!O35</f>
        <v>700000</v>
      </c>
      <c r="O22" s="55">
        <f>BS!P35-BS!O35</f>
        <v>0</v>
      </c>
      <c r="P22" s="55">
        <f>BS!Q35-BS!P35</f>
        <v>0</v>
      </c>
      <c r="Q22" s="55">
        <f>BS!R35-BS!Q35</f>
        <v>0</v>
      </c>
      <c r="R22" s="55">
        <f>BS!S35-BS!R35</f>
        <v>0</v>
      </c>
      <c r="S22" s="55">
        <f>BS!T35-BS!S35</f>
        <v>0</v>
      </c>
    </row>
    <row r="23" spans="1:19" x14ac:dyDescent="0.3">
      <c r="A23" s="50" t="s">
        <v>66</v>
      </c>
      <c r="B23" s="48">
        <f t="shared" ref="B23:M23" si="4">SUM(B19:B20)</f>
        <v>3245000</v>
      </c>
      <c r="C23" s="47">
        <f t="shared" si="4"/>
        <v>-55000</v>
      </c>
      <c r="D23" s="47">
        <f t="shared" si="4"/>
        <v>-55000</v>
      </c>
      <c r="E23" s="47">
        <f t="shared" si="4"/>
        <v>-55000</v>
      </c>
      <c r="F23" s="47">
        <f t="shared" si="4"/>
        <v>-55000</v>
      </c>
      <c r="G23" s="47">
        <f t="shared" si="4"/>
        <v>-55000</v>
      </c>
      <c r="H23" s="47">
        <f t="shared" si="4"/>
        <v>-55000</v>
      </c>
      <c r="I23" s="47">
        <f t="shared" si="4"/>
        <v>-55000</v>
      </c>
      <c r="J23" s="47">
        <f t="shared" si="4"/>
        <v>-55000</v>
      </c>
      <c r="K23" s="47">
        <f t="shared" si="4"/>
        <v>-55000</v>
      </c>
      <c r="L23" s="47">
        <f t="shared" si="4"/>
        <v>-55000</v>
      </c>
      <c r="M23" s="49">
        <f t="shared" si="4"/>
        <v>-55000</v>
      </c>
      <c r="N23" s="48">
        <f t="shared" ref="N23:S23" si="5">SUM(N19:N22)</f>
        <v>3170936</v>
      </c>
      <c r="O23" s="47">
        <f t="shared" si="5"/>
        <v>-1572088.125</v>
      </c>
      <c r="P23" s="47">
        <f t="shared" si="5"/>
        <v>-1736965.2562500003</v>
      </c>
      <c r="Q23" s="47">
        <f t="shared" si="5"/>
        <v>-1919305.9025625007</v>
      </c>
      <c r="R23" s="47">
        <f t="shared" si="5"/>
        <v>-2120904.6737756263</v>
      </c>
      <c r="S23" s="49">
        <f t="shared" si="5"/>
        <v>-2343738.048310258</v>
      </c>
    </row>
    <row r="24" spans="1:19" x14ac:dyDescent="0.3">
      <c r="A24" s="138"/>
      <c r="B24" s="139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1"/>
      <c r="N24" s="54"/>
      <c r="O24" s="55"/>
      <c r="P24" s="55"/>
      <c r="Q24" s="55"/>
      <c r="R24" s="55"/>
      <c r="S24" s="56"/>
    </row>
    <row r="25" spans="1:19" x14ac:dyDescent="0.3">
      <c r="A25" s="50" t="s">
        <v>36</v>
      </c>
      <c r="B25" s="48">
        <f t="shared" ref="B25:S25" si="6">B23+B16+B11</f>
        <v>224618.33333333331</v>
      </c>
      <c r="C25" s="47">
        <f t="shared" si="6"/>
        <v>-125381.66666666667</v>
      </c>
      <c r="D25" s="47">
        <f t="shared" si="6"/>
        <v>-125381.66666666667</v>
      </c>
      <c r="E25" s="47">
        <f t="shared" si="6"/>
        <v>-125381.66666666667</v>
      </c>
      <c r="F25" s="47">
        <f t="shared" si="6"/>
        <v>-125381.66666666667</v>
      </c>
      <c r="G25" s="47">
        <f t="shared" si="6"/>
        <v>-125381.66666666667</v>
      </c>
      <c r="H25" s="47">
        <f t="shared" si="6"/>
        <v>-125381.66666666667</v>
      </c>
      <c r="I25" s="47">
        <f t="shared" si="6"/>
        <v>-125381.66666666667</v>
      </c>
      <c r="J25" s="47">
        <f t="shared" si="6"/>
        <v>-125381.66666666667</v>
      </c>
      <c r="K25" s="47">
        <f t="shared" si="6"/>
        <v>-125381.66666666667</v>
      </c>
      <c r="L25" s="47">
        <f t="shared" si="6"/>
        <v>-125381.66666666667</v>
      </c>
      <c r="M25" s="49">
        <f t="shared" si="6"/>
        <v>989618.33333333326</v>
      </c>
      <c r="N25" s="48">
        <f t="shared" si="6"/>
        <v>491356</v>
      </c>
      <c r="O25" s="47">
        <f t="shared" si="6"/>
        <v>-260970.625</v>
      </c>
      <c r="P25" s="47">
        <f t="shared" si="6"/>
        <v>-51011.581249999814</v>
      </c>
      <c r="Q25" s="47">
        <f t="shared" si="6"/>
        <v>5268.6341875002254</v>
      </c>
      <c r="R25" s="47">
        <f t="shared" si="6"/>
        <v>67518.224591875449</v>
      </c>
      <c r="S25" s="49">
        <f t="shared" si="6"/>
        <v>136351.01610341948</v>
      </c>
    </row>
    <row r="26" spans="1:19" x14ac:dyDescent="0.3">
      <c r="A26" s="137" t="s">
        <v>37</v>
      </c>
      <c r="B26" s="46">
        <v>0</v>
      </c>
      <c r="C26" s="84">
        <f>B27</f>
        <v>224618.33333333331</v>
      </c>
      <c r="D26" s="84">
        <f t="shared" ref="D26:M26" si="7">C27</f>
        <v>99236.666666666642</v>
      </c>
      <c r="E26" s="84">
        <f t="shared" si="7"/>
        <v>-26145.000000000029</v>
      </c>
      <c r="F26" s="84">
        <f t="shared" si="7"/>
        <v>-151526.66666666669</v>
      </c>
      <c r="G26" s="84">
        <f t="shared" si="7"/>
        <v>-276908.33333333337</v>
      </c>
      <c r="H26" s="84">
        <f t="shared" si="7"/>
        <v>-402290.00000000006</v>
      </c>
      <c r="I26" s="84">
        <f t="shared" si="7"/>
        <v>-527671.66666666674</v>
      </c>
      <c r="J26" s="84">
        <f t="shared" si="7"/>
        <v>-653053.33333333337</v>
      </c>
      <c r="K26" s="84">
        <f t="shared" si="7"/>
        <v>-778435</v>
      </c>
      <c r="L26" s="84">
        <f t="shared" si="7"/>
        <v>-903816.66666666663</v>
      </c>
      <c r="M26" s="85">
        <f t="shared" si="7"/>
        <v>-1029198.3333333333</v>
      </c>
      <c r="N26" s="54">
        <f>B26</f>
        <v>0</v>
      </c>
      <c r="O26" s="55">
        <f>N27</f>
        <v>491356</v>
      </c>
      <c r="P26" s="55">
        <f>O27</f>
        <v>230385.375</v>
      </c>
      <c r="Q26" s="55">
        <f>P27</f>
        <v>179373.79375000019</v>
      </c>
      <c r="R26" s="55">
        <f>Q27</f>
        <v>184642.42793750041</v>
      </c>
      <c r="S26" s="56">
        <f>R27</f>
        <v>252160.65252937586</v>
      </c>
    </row>
    <row r="27" spans="1:19" x14ac:dyDescent="0.3">
      <c r="A27" s="50" t="s">
        <v>38</v>
      </c>
      <c r="B27" s="48">
        <f t="shared" ref="B27:M27" si="8">B25+B26</f>
        <v>224618.33333333331</v>
      </c>
      <c r="C27" s="47">
        <f t="shared" si="8"/>
        <v>99236.666666666642</v>
      </c>
      <c r="D27" s="47">
        <f t="shared" si="8"/>
        <v>-26145.000000000029</v>
      </c>
      <c r="E27" s="47">
        <f t="shared" si="8"/>
        <v>-151526.66666666669</v>
      </c>
      <c r="F27" s="47">
        <f t="shared" si="8"/>
        <v>-276908.33333333337</v>
      </c>
      <c r="G27" s="47">
        <f t="shared" si="8"/>
        <v>-402290.00000000006</v>
      </c>
      <c r="H27" s="47">
        <f t="shared" si="8"/>
        <v>-527671.66666666674</v>
      </c>
      <c r="I27" s="47">
        <f t="shared" si="8"/>
        <v>-653053.33333333337</v>
      </c>
      <c r="J27" s="47">
        <f t="shared" si="8"/>
        <v>-778435</v>
      </c>
      <c r="K27" s="47">
        <f t="shared" si="8"/>
        <v>-903816.66666666663</v>
      </c>
      <c r="L27" s="47">
        <f t="shared" si="8"/>
        <v>-1029198.3333333333</v>
      </c>
      <c r="M27" s="49">
        <f t="shared" si="8"/>
        <v>-39580</v>
      </c>
      <c r="N27" s="48">
        <f t="shared" ref="N27:S27" si="9">N25+N26</f>
        <v>491356</v>
      </c>
      <c r="O27" s="47">
        <f t="shared" si="9"/>
        <v>230385.375</v>
      </c>
      <c r="P27" s="47">
        <f t="shared" si="9"/>
        <v>179373.79375000019</v>
      </c>
      <c r="Q27" s="47">
        <f t="shared" si="9"/>
        <v>184642.42793750041</v>
      </c>
      <c r="R27" s="47">
        <f t="shared" si="9"/>
        <v>252160.65252937586</v>
      </c>
      <c r="S27" s="49">
        <f t="shared" si="9"/>
        <v>388511.66863279534</v>
      </c>
    </row>
    <row r="28" spans="1:19" x14ac:dyDescent="0.3">
      <c r="A28" s="321" t="s">
        <v>189</v>
      </c>
      <c r="B28" s="322">
        <f>B11-IS!C32-IS!C39-'WC Analysis'!D17</f>
        <v>4870</v>
      </c>
      <c r="C28" s="322">
        <f>C11-IS!D32-IS!D39-'WC Analysis'!E17+(C16-B16)</f>
        <v>2879618.3333333335</v>
      </c>
      <c r="D28" s="322">
        <f>D11-IS!E32-IS!E39-'WC Analysis'!F17+(D16-C16)</f>
        <v>4870</v>
      </c>
      <c r="E28" s="322">
        <f>E11-IS!F32-IS!F39-'WC Analysis'!G17+(E16-D16)</f>
        <v>-70381.666666666672</v>
      </c>
      <c r="F28" s="322">
        <f>F11-IS!G32-IS!G39-'WC Analysis'!H17+(F16-E16)</f>
        <v>4870</v>
      </c>
      <c r="G28" s="322">
        <f>G11-IS!H32-IS!H39-'WC Analysis'!I17+(G16-F16)</f>
        <v>-70381.666666666672</v>
      </c>
      <c r="H28" s="322">
        <f>H11-IS!I32-IS!I39-'WC Analysis'!J17+(H16-G16)</f>
        <v>4870</v>
      </c>
      <c r="I28" s="322">
        <f>I11-IS!J32-IS!J39-'WC Analysis'!K17+(I16-H16)</f>
        <v>-70381.666666666672</v>
      </c>
      <c r="J28" s="322">
        <f>J11-IS!K32-IS!K39-'WC Analysis'!L17+(J16-I16)</f>
        <v>4870</v>
      </c>
      <c r="K28" s="322">
        <f>K11-IS!L32-IS!L39-'WC Analysis'!M17+(K16-J16)</f>
        <v>-70381.666666666672</v>
      </c>
      <c r="L28" s="322">
        <f>L11-IS!M32-IS!M39-'WC Analysis'!N17+(L16-K16)</f>
        <v>4870</v>
      </c>
      <c r="M28" s="322">
        <f>M11-IS!N32-IS!N39-'WC Analysis'!O17+(M16-L16)</f>
        <v>794618.33333333326</v>
      </c>
      <c r="N28" s="322">
        <f>N11-(IS!O31+IS!AA34+IS!AA37+IS!O39)-'WC Analysis'!P18-N16</f>
        <v>2605038.3333333335</v>
      </c>
      <c r="O28" s="322">
        <f>O11-(IS!Q31+IS!AC34+IS!AC37+IS!Q39)-'WC Analysis'!Q18-O16</f>
        <v>745735.83333333326</v>
      </c>
      <c r="P28" s="322">
        <f>P11-(IS!S31+IS!AE34+IS!AE37+IS!S39)-'WC Analysis'!R18-P16</f>
        <v>1275572.0083333338</v>
      </c>
      <c r="Q28" s="322">
        <f>Q11-(IS!U31+IS!AG34+IS!AG37+IS!U39)-'WC Analysis'!S18-Q16</f>
        <v>1509692.8700833342</v>
      </c>
      <c r="R28" s="322">
        <f>R11-(IS!W31+IS!AI34+IS!AI37+IS!W39)-'WC Analysis'!T18-R16</f>
        <v>1768591.2317008348</v>
      </c>
      <c r="S28" s="322">
        <f>S11-(IS!Y31+IS!AK34+IS!AK37+IS!Y39)-'WC Analysis'!U18-S16</f>
        <v>2019812.3977470105</v>
      </c>
    </row>
    <row r="29" spans="1:19" ht="12.5" thickBot="1" x14ac:dyDescent="0.35">
      <c r="A29" s="161"/>
      <c r="B29" s="161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3"/>
      <c r="N29" s="161"/>
      <c r="O29" s="162"/>
      <c r="P29" s="162"/>
      <c r="Q29" s="162"/>
      <c r="R29" s="162"/>
      <c r="S29" s="163"/>
    </row>
    <row r="30" spans="1:19" x14ac:dyDescent="0.3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 spans="1:19" x14ac:dyDescent="0.3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6" zoomScale="136" zoomScaleNormal="136" workbookViewId="0">
      <selection activeCell="C4" sqref="C4:H4"/>
    </sheetView>
  </sheetViews>
  <sheetFormatPr defaultColWidth="9.1796875" defaultRowHeight="12" x14ac:dyDescent="0.3"/>
  <cols>
    <col min="1" max="1" width="24.54296875" style="31" customWidth="1"/>
    <col min="2" max="10" width="11.7265625" style="31" customWidth="1"/>
    <col min="11" max="11" width="21.7265625" style="31" customWidth="1"/>
    <col min="12" max="16384" width="9.1796875" style="31"/>
  </cols>
  <sheetData>
    <row r="1" spans="1:11" ht="15.5" x14ac:dyDescent="0.35">
      <c r="A1" s="330" t="str">
        <f>TitlePage!D2</f>
        <v>Lahab Automotive</v>
      </c>
      <c r="B1" s="159"/>
      <c r="C1" s="159"/>
      <c r="D1" s="159"/>
      <c r="E1" s="159"/>
      <c r="F1" s="159"/>
      <c r="G1" s="159"/>
      <c r="H1" s="159"/>
      <c r="I1" s="159"/>
      <c r="J1" s="160"/>
    </row>
    <row r="2" spans="1:11" ht="12.5" thickBot="1" x14ac:dyDescent="0.35">
      <c r="A2" s="112" t="str">
        <f>"All Numbers are in "&amp;TEXT(TitlePage!D4,0)</f>
        <v>All Numbers are in SAR</v>
      </c>
      <c r="B2" s="356"/>
      <c r="C2" s="356"/>
      <c r="D2" s="356"/>
      <c r="E2" s="356"/>
      <c r="F2" s="356"/>
      <c r="G2" s="356"/>
      <c r="H2" s="356"/>
      <c r="I2" s="356"/>
      <c r="J2" s="357"/>
    </row>
    <row r="3" spans="1:11" ht="24" thickBot="1" x14ac:dyDescent="0.6">
      <c r="A3" s="358" t="s">
        <v>209</v>
      </c>
      <c r="B3" s="313"/>
      <c r="C3" s="314"/>
      <c r="D3" s="315"/>
      <c r="E3" s="315"/>
      <c r="F3" s="315"/>
      <c r="G3" s="315"/>
      <c r="H3" s="316"/>
      <c r="I3" s="316" t="s">
        <v>190</v>
      </c>
      <c r="J3" s="316" t="s">
        <v>191</v>
      </c>
    </row>
    <row r="4" spans="1:11" ht="12.5" thickBot="1" x14ac:dyDescent="0.35">
      <c r="A4" s="156" t="s">
        <v>97</v>
      </c>
      <c r="B4" s="156" t="s">
        <v>193</v>
      </c>
      <c r="C4" s="157">
        <v>2019</v>
      </c>
      <c r="D4" s="157">
        <v>2020</v>
      </c>
      <c r="E4" s="157">
        <v>2021</v>
      </c>
      <c r="F4" s="157">
        <v>2022</v>
      </c>
      <c r="G4" s="157">
        <v>2023</v>
      </c>
      <c r="H4" s="157">
        <v>2024</v>
      </c>
      <c r="I4" s="346"/>
      <c r="J4" s="158"/>
    </row>
    <row r="5" spans="1:11" ht="18.75" customHeight="1" thickBot="1" x14ac:dyDescent="0.35">
      <c r="A5" s="326"/>
      <c r="B5" s="136"/>
      <c r="C5" s="51"/>
      <c r="D5" s="52"/>
      <c r="E5" s="52"/>
      <c r="F5" s="52"/>
      <c r="G5" s="52"/>
      <c r="H5" s="499" t="str">
        <f>"Terminal Value (Multiply "&amp;TEXT($H$4,0)&amp;" Net Income by )"</f>
        <v>Terminal Value (Multiply 2024 Net Income by )</v>
      </c>
      <c r="I5" s="347">
        <v>1</v>
      </c>
      <c r="J5" s="53"/>
    </row>
    <row r="6" spans="1:11" x14ac:dyDescent="0.3">
      <c r="A6" s="137"/>
      <c r="B6" s="354"/>
      <c r="C6" s="317"/>
      <c r="D6" s="318"/>
      <c r="E6" s="318"/>
      <c r="F6" s="318"/>
      <c r="G6" s="318"/>
      <c r="H6" s="319"/>
      <c r="I6" s="319"/>
      <c r="J6" s="319"/>
    </row>
    <row r="7" spans="1:11" ht="24.75" customHeight="1" x14ac:dyDescent="0.3">
      <c r="A7" s="482" t="s">
        <v>30</v>
      </c>
      <c r="B7" s="483">
        <f>-Loan!K17</f>
        <v>-3300000</v>
      </c>
      <c r="C7" s="484">
        <f>CF!N6-Loan!L17</f>
        <v>225420</v>
      </c>
      <c r="D7" s="485">
        <f>CF!O6-Loan!M17</f>
        <v>1216117.5</v>
      </c>
      <c r="E7" s="485">
        <f>-Loan!N17+CF!P6</f>
        <v>1435953.6750000005</v>
      </c>
      <c r="F7" s="485">
        <f>CF!Q6-Loan!O17</f>
        <v>1679074.5367500009</v>
      </c>
      <c r="G7" s="485">
        <f>CF!R6-Loan!P17</f>
        <v>1947872.898367502</v>
      </c>
      <c r="H7" s="486">
        <f>CF!S6</f>
        <v>2244984.0644136774</v>
      </c>
      <c r="I7" s="486">
        <f>H7*I5</f>
        <v>2244984.0644136774</v>
      </c>
      <c r="J7" s="486">
        <f>NPV(B6,B7:I7)</f>
        <v>7694406.7389448583</v>
      </c>
      <c r="K7" s="481" t="s">
        <v>221</v>
      </c>
    </row>
    <row r="8" spans="1:11" ht="21" customHeight="1" x14ac:dyDescent="0.3">
      <c r="A8" s="487" t="s">
        <v>8</v>
      </c>
      <c r="B8" s="488"/>
      <c r="C8" s="489">
        <f>BS!O18</f>
        <v>3396356</v>
      </c>
      <c r="D8" s="490">
        <f>BS!P18</f>
        <v>3040385.375</v>
      </c>
      <c r="E8" s="490">
        <f>BS!Q18</f>
        <v>2739373.7937500002</v>
      </c>
      <c r="F8" s="490">
        <f>BS!R18</f>
        <v>2499142.4279375006</v>
      </c>
      <c r="G8" s="490">
        <f>BS!S18</f>
        <v>2326110.6525293761</v>
      </c>
      <c r="H8" s="491">
        <f>BS!T18</f>
        <v>2227356.6686327956</v>
      </c>
      <c r="I8" s="491"/>
      <c r="J8" s="491"/>
    </row>
    <row r="9" spans="1:11" ht="24.75" customHeight="1" x14ac:dyDescent="0.3">
      <c r="A9" s="492" t="s">
        <v>194</v>
      </c>
      <c r="B9" s="483"/>
      <c r="C9" s="484">
        <f>BS!O18-BS!O31</f>
        <v>756355</v>
      </c>
      <c r="D9" s="485">
        <f>BS!P18-BS!P31</f>
        <v>1060384.375</v>
      </c>
      <c r="E9" s="485">
        <f>BS!Q18-BS!Q31</f>
        <v>1419372.7937500002</v>
      </c>
      <c r="F9" s="485">
        <f>BS!R18-BS!R31</f>
        <v>1839141.4279375006</v>
      </c>
      <c r="G9" s="485">
        <f>BS!S18-BS!S31</f>
        <v>2326109.6525293761</v>
      </c>
      <c r="H9" s="486">
        <f>BS!T18-BS!T31</f>
        <v>2887355.6686327956</v>
      </c>
      <c r="I9" s="486"/>
      <c r="J9" s="486">
        <f>H9</f>
        <v>2887355.6686327956</v>
      </c>
    </row>
    <row r="10" spans="1:11" ht="24.75" customHeight="1" thickBot="1" x14ac:dyDescent="0.35">
      <c r="A10" s="487" t="s">
        <v>155</v>
      </c>
      <c r="B10" s="493"/>
      <c r="C10" s="489">
        <f>CF!N28</f>
        <v>2605038.3333333335</v>
      </c>
      <c r="D10" s="490">
        <f>CF!O28</f>
        <v>745735.83333333326</v>
      </c>
      <c r="E10" s="490">
        <f>CF!P28</f>
        <v>1275572.0083333338</v>
      </c>
      <c r="F10" s="490">
        <f>CF!Q28</f>
        <v>1509692.8700833342</v>
      </c>
      <c r="G10" s="490">
        <f>CF!R28</f>
        <v>1768591.2317008348</v>
      </c>
      <c r="H10" s="491">
        <f>CF!S28</f>
        <v>2019812.3977470105</v>
      </c>
      <c r="I10" s="491"/>
      <c r="J10" s="491">
        <f>H10/B11</f>
        <v>6732707.9924900355</v>
      </c>
      <c r="K10" s="481" t="s">
        <v>203</v>
      </c>
    </row>
    <row r="11" spans="1:11" ht="24.75" customHeight="1" thickBot="1" x14ac:dyDescent="0.35">
      <c r="A11" s="482" t="s">
        <v>201</v>
      </c>
      <c r="B11" s="494">
        <v>0.3</v>
      </c>
      <c r="C11" s="495"/>
      <c r="D11" s="485"/>
      <c r="E11" s="485"/>
      <c r="F11" s="485"/>
      <c r="G11" s="485"/>
      <c r="H11" s="486"/>
      <c r="I11" s="496"/>
      <c r="J11" s="496"/>
    </row>
    <row r="12" spans="1:11" ht="24.75" customHeight="1" x14ac:dyDescent="0.3">
      <c r="A12" s="497" t="s">
        <v>202</v>
      </c>
      <c r="B12" s="498">
        <f>IRR(B7:H7,50%)</f>
        <v>0.28062893468194439</v>
      </c>
      <c r="C12" s="484"/>
      <c r="D12" s="485"/>
      <c r="E12" s="485"/>
      <c r="F12" s="485"/>
      <c r="G12" s="485"/>
      <c r="H12" s="486"/>
      <c r="I12" s="486"/>
      <c r="J12" s="486"/>
    </row>
    <row r="13" spans="1:11" x14ac:dyDescent="0.3">
      <c r="A13" s="137"/>
      <c r="B13" s="320"/>
      <c r="C13" s="54"/>
      <c r="D13" s="55"/>
      <c r="E13" s="55"/>
      <c r="F13" s="55"/>
      <c r="G13" s="55"/>
      <c r="H13" s="56"/>
      <c r="I13" s="56"/>
      <c r="J13" s="56"/>
    </row>
    <row r="14" spans="1:11" ht="12.5" thickBot="1" x14ac:dyDescent="0.35">
      <c r="A14" s="161"/>
      <c r="B14" s="161"/>
      <c r="C14" s="161"/>
      <c r="D14" s="162"/>
      <c r="E14" s="162"/>
      <c r="F14" s="162"/>
      <c r="G14" s="162"/>
      <c r="H14" s="163"/>
      <c r="I14" s="163"/>
      <c r="J14" s="163"/>
    </row>
    <row r="15" spans="1:11" x14ac:dyDescent="0.3">
      <c r="C15" s="33"/>
      <c r="D15" s="33"/>
      <c r="E15" s="33"/>
      <c r="F15" s="33"/>
      <c r="G15" s="33"/>
      <c r="H15" s="33"/>
      <c r="I15" s="33"/>
      <c r="J15" s="33"/>
    </row>
    <row r="16" spans="1:11" x14ac:dyDescent="0.3">
      <c r="C16" s="33"/>
      <c r="D16" s="33"/>
      <c r="E16" s="33"/>
      <c r="F16" s="33"/>
      <c r="G16" s="33"/>
      <c r="H16" s="33"/>
      <c r="I16" s="33"/>
      <c r="J16" s="33"/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zoomScale="136" zoomScaleNormal="136" workbookViewId="0">
      <selection activeCell="O5" sqref="O5:T5"/>
    </sheetView>
  </sheetViews>
  <sheetFormatPr defaultColWidth="9.1796875" defaultRowHeight="13" x14ac:dyDescent="0.3"/>
  <cols>
    <col min="1" max="1" width="2.1796875" style="57" customWidth="1"/>
    <col min="2" max="2" width="25.54296875" style="57" customWidth="1"/>
    <col min="3" max="14" width="9.81640625" style="57" hidden="1" customWidth="1"/>
    <col min="15" max="20" width="9.81640625" style="57" bestFit="1" customWidth="1"/>
    <col min="21" max="16384" width="9.1796875" style="57"/>
  </cols>
  <sheetData>
    <row r="2" spans="2:20" ht="18.5" x14ac:dyDescent="0.3">
      <c r="B2" s="372" t="str">
        <f>TitlePage!D2</f>
        <v>Lahab Automotive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2:20" ht="14.5" x14ac:dyDescent="0.3">
      <c r="B3" s="373" t="str">
        <f>"All Numbers are in "&amp;TEXT(TitlePage!D4,0)</f>
        <v>All Numbers are in SAR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2:20" ht="21" x14ac:dyDescent="0.5">
      <c r="B4" s="375" t="s">
        <v>101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1"/>
      <c r="P4" s="202"/>
      <c r="Q4" s="202"/>
      <c r="R4" s="202"/>
      <c r="S4" s="202"/>
      <c r="T4" s="203"/>
    </row>
    <row r="5" spans="2:20" x14ac:dyDescent="0.3">
      <c r="B5" s="204" t="s">
        <v>97</v>
      </c>
      <c r="C5" s="205" t="s">
        <v>102</v>
      </c>
      <c r="D5" s="205" t="s">
        <v>103</v>
      </c>
      <c r="E5" s="205" t="s">
        <v>104</v>
      </c>
      <c r="F5" s="205" t="s">
        <v>105</v>
      </c>
      <c r="G5" s="205" t="s">
        <v>106</v>
      </c>
      <c r="H5" s="205" t="s">
        <v>107</v>
      </c>
      <c r="I5" s="205" t="s">
        <v>108</v>
      </c>
      <c r="J5" s="205" t="s">
        <v>109</v>
      </c>
      <c r="K5" s="205" t="s">
        <v>110</v>
      </c>
      <c r="L5" s="205" t="s">
        <v>111</v>
      </c>
      <c r="M5" s="205" t="s">
        <v>112</v>
      </c>
      <c r="N5" s="205" t="s">
        <v>113</v>
      </c>
      <c r="O5" s="204">
        <v>2019</v>
      </c>
      <c r="P5" s="204">
        <v>2020</v>
      </c>
      <c r="Q5" s="204">
        <v>2021</v>
      </c>
      <c r="R5" s="204">
        <v>2022</v>
      </c>
      <c r="S5" s="204">
        <v>2023</v>
      </c>
      <c r="T5" s="204">
        <v>2024</v>
      </c>
    </row>
    <row r="6" spans="2:20" x14ac:dyDescent="0.3">
      <c r="B6" s="214" t="s">
        <v>114</v>
      </c>
      <c r="C6" s="250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2"/>
      <c r="O6" s="206"/>
      <c r="P6" s="207"/>
      <c r="Q6" s="207"/>
      <c r="R6" s="207"/>
      <c r="S6" s="207"/>
      <c r="T6" s="208"/>
    </row>
    <row r="7" spans="2:20" x14ac:dyDescent="0.3">
      <c r="B7" s="58" t="s">
        <v>115</v>
      </c>
      <c r="C7" s="59">
        <v>0</v>
      </c>
      <c r="D7" s="60">
        <f>C10</f>
        <v>2950000</v>
      </c>
      <c r="E7" s="60">
        <f t="shared" ref="E7:N7" si="0">D10</f>
        <v>2950000</v>
      </c>
      <c r="F7" s="60">
        <f t="shared" si="0"/>
        <v>2950000</v>
      </c>
      <c r="G7" s="60">
        <f t="shared" si="0"/>
        <v>2950000</v>
      </c>
      <c r="H7" s="60">
        <f t="shared" si="0"/>
        <v>2950000</v>
      </c>
      <c r="I7" s="60">
        <f t="shared" si="0"/>
        <v>2950000</v>
      </c>
      <c r="J7" s="60">
        <f t="shared" si="0"/>
        <v>2950000</v>
      </c>
      <c r="K7" s="60">
        <f t="shared" si="0"/>
        <v>2950000</v>
      </c>
      <c r="L7" s="60">
        <f t="shared" si="0"/>
        <v>2950000</v>
      </c>
      <c r="M7" s="60">
        <f t="shared" si="0"/>
        <v>2950000</v>
      </c>
      <c r="N7" s="61">
        <f t="shared" si="0"/>
        <v>2950000</v>
      </c>
      <c r="O7" s="209">
        <v>0</v>
      </c>
      <c r="P7" s="45">
        <f>O10</f>
        <v>2950000</v>
      </c>
      <c r="Q7" s="45">
        <f>P10</f>
        <v>2950000</v>
      </c>
      <c r="R7" s="45">
        <f>Q10</f>
        <v>2950000</v>
      </c>
      <c r="S7" s="45">
        <f>R10</f>
        <v>2950000</v>
      </c>
      <c r="T7" s="210">
        <f>S10</f>
        <v>2950000</v>
      </c>
    </row>
    <row r="8" spans="2:20" x14ac:dyDescent="0.3">
      <c r="B8" s="58" t="s">
        <v>116</v>
      </c>
      <c r="C8" s="59">
        <f>Deprecn!L32</f>
        <v>2950000</v>
      </c>
      <c r="D8" s="60">
        <f>Deprecn!M32</f>
        <v>0</v>
      </c>
      <c r="E8" s="60">
        <f>Deprecn!N32</f>
        <v>0</v>
      </c>
      <c r="F8" s="60">
        <f>Deprecn!O32</f>
        <v>0</v>
      </c>
      <c r="G8" s="60">
        <f>Deprecn!P32</f>
        <v>0</v>
      </c>
      <c r="H8" s="60">
        <f>Deprecn!Q32</f>
        <v>0</v>
      </c>
      <c r="I8" s="60">
        <f>Deprecn!R32</f>
        <v>0</v>
      </c>
      <c r="J8" s="60">
        <f>Deprecn!S32</f>
        <v>0</v>
      </c>
      <c r="K8" s="60">
        <f>Deprecn!T32</f>
        <v>0</v>
      </c>
      <c r="L8" s="60">
        <f>Deprecn!U32</f>
        <v>0</v>
      </c>
      <c r="M8" s="60">
        <f>Deprecn!V32</f>
        <v>0</v>
      </c>
      <c r="N8" s="61">
        <f>Deprecn!W32</f>
        <v>0</v>
      </c>
      <c r="O8" s="209">
        <f>Deprecn!AW34</f>
        <v>2950000</v>
      </c>
      <c r="P8" s="45">
        <f>Deprecn!AX34</f>
        <v>0</v>
      </c>
      <c r="Q8" s="45">
        <f>Deprecn!AY34</f>
        <v>0</v>
      </c>
      <c r="R8" s="45">
        <f>Deprecn!AZ34</f>
        <v>0</v>
      </c>
      <c r="S8" s="45">
        <f>Deprecn!BA34</f>
        <v>0</v>
      </c>
      <c r="T8" s="210">
        <f>Deprecn!BB34</f>
        <v>0</v>
      </c>
    </row>
    <row r="9" spans="2:20" x14ac:dyDescent="0.3">
      <c r="B9" s="58" t="s">
        <v>117</v>
      </c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211">
        <v>0</v>
      </c>
      <c r="P9" s="212">
        <v>0</v>
      </c>
      <c r="Q9" s="212">
        <v>0</v>
      </c>
      <c r="R9" s="212">
        <v>0</v>
      </c>
      <c r="S9" s="212">
        <v>0</v>
      </c>
      <c r="T9" s="213">
        <v>0</v>
      </c>
    </row>
    <row r="10" spans="2:20" x14ac:dyDescent="0.3">
      <c r="B10" s="216" t="s">
        <v>118</v>
      </c>
      <c r="C10" s="218">
        <f>SUM(C7:C9)</f>
        <v>2950000</v>
      </c>
      <c r="D10" s="166">
        <f>SUM(D7:D9)</f>
        <v>2950000</v>
      </c>
      <c r="E10" s="166">
        <f t="shared" ref="E10:N10" si="1">SUM(E7:E9)</f>
        <v>2950000</v>
      </c>
      <c r="F10" s="166">
        <f t="shared" si="1"/>
        <v>2950000</v>
      </c>
      <c r="G10" s="166">
        <f t="shared" si="1"/>
        <v>2950000</v>
      </c>
      <c r="H10" s="166">
        <f t="shared" si="1"/>
        <v>2950000</v>
      </c>
      <c r="I10" s="166">
        <f t="shared" si="1"/>
        <v>2950000</v>
      </c>
      <c r="J10" s="166">
        <f t="shared" si="1"/>
        <v>2950000</v>
      </c>
      <c r="K10" s="166">
        <f t="shared" si="1"/>
        <v>2950000</v>
      </c>
      <c r="L10" s="166">
        <f t="shared" si="1"/>
        <v>2950000</v>
      </c>
      <c r="M10" s="166">
        <f t="shared" si="1"/>
        <v>2950000</v>
      </c>
      <c r="N10" s="217">
        <f t="shared" si="1"/>
        <v>2950000</v>
      </c>
      <c r="O10" s="218">
        <f t="shared" ref="O10:T10" si="2">SUM(O7:O9)</f>
        <v>2950000</v>
      </c>
      <c r="P10" s="166">
        <f t="shared" si="2"/>
        <v>2950000</v>
      </c>
      <c r="Q10" s="166">
        <f t="shared" si="2"/>
        <v>2950000</v>
      </c>
      <c r="R10" s="166">
        <f t="shared" si="2"/>
        <v>2950000</v>
      </c>
      <c r="S10" s="166">
        <f t="shared" si="2"/>
        <v>2950000</v>
      </c>
      <c r="T10" s="217">
        <f t="shared" si="2"/>
        <v>2950000</v>
      </c>
    </row>
    <row r="11" spans="2:20" x14ac:dyDescent="0.3">
      <c r="B11" s="58"/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209"/>
      <c r="P11" s="45"/>
      <c r="Q11" s="45"/>
      <c r="R11" s="45"/>
      <c r="S11" s="45"/>
      <c r="T11" s="210"/>
    </row>
    <row r="12" spans="2:20" x14ac:dyDescent="0.3">
      <c r="B12" s="214" t="s">
        <v>96</v>
      </c>
      <c r="C12" s="253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54"/>
      <c r="O12" s="209"/>
      <c r="P12" s="45"/>
      <c r="Q12" s="45"/>
      <c r="R12" s="45"/>
      <c r="S12" s="45"/>
      <c r="T12" s="210"/>
    </row>
    <row r="13" spans="2:20" x14ac:dyDescent="0.3">
      <c r="B13" s="58" t="s">
        <v>115</v>
      </c>
      <c r="C13" s="59">
        <v>0</v>
      </c>
      <c r="D13" s="60">
        <f>C16</f>
        <v>24583.333333333332</v>
      </c>
      <c r="E13" s="60">
        <f t="shared" ref="E13:N13" si="3">D16</f>
        <v>49166.666666666664</v>
      </c>
      <c r="F13" s="60">
        <f t="shared" si="3"/>
        <v>73750</v>
      </c>
      <c r="G13" s="60">
        <f t="shared" si="3"/>
        <v>98333.333333333328</v>
      </c>
      <c r="H13" s="60">
        <f t="shared" si="3"/>
        <v>122916.66666666666</v>
      </c>
      <c r="I13" s="60">
        <f t="shared" si="3"/>
        <v>147500</v>
      </c>
      <c r="J13" s="60">
        <f t="shared" si="3"/>
        <v>172083.33333333334</v>
      </c>
      <c r="K13" s="60">
        <f t="shared" si="3"/>
        <v>196666.66666666669</v>
      </c>
      <c r="L13" s="60">
        <f t="shared" si="3"/>
        <v>221250.00000000003</v>
      </c>
      <c r="M13" s="60">
        <f t="shared" si="3"/>
        <v>245833.33333333337</v>
      </c>
      <c r="N13" s="61">
        <f t="shared" si="3"/>
        <v>270416.66666666669</v>
      </c>
      <c r="O13" s="209">
        <v>0</v>
      </c>
      <c r="P13" s="45">
        <f>O16</f>
        <v>295000</v>
      </c>
      <c r="Q13" s="45">
        <f>P16</f>
        <v>590000</v>
      </c>
      <c r="R13" s="45">
        <f>Q16</f>
        <v>885000</v>
      </c>
      <c r="S13" s="45">
        <f>R16</f>
        <v>1180000</v>
      </c>
      <c r="T13" s="210">
        <f>S16</f>
        <v>1475000</v>
      </c>
    </row>
    <row r="14" spans="2:20" x14ac:dyDescent="0.3">
      <c r="B14" s="58" t="s">
        <v>119</v>
      </c>
      <c r="C14" s="59">
        <f>Deprecn!X32</f>
        <v>24583.333333333332</v>
      </c>
      <c r="D14" s="60">
        <f>Deprecn!Y32</f>
        <v>24583.333333333332</v>
      </c>
      <c r="E14" s="60">
        <f>Deprecn!Z32</f>
        <v>24583.333333333332</v>
      </c>
      <c r="F14" s="60">
        <f>Deprecn!AA32</f>
        <v>24583.333333333332</v>
      </c>
      <c r="G14" s="60">
        <f>Deprecn!AB32</f>
        <v>24583.333333333332</v>
      </c>
      <c r="H14" s="60">
        <f>Deprecn!AC32</f>
        <v>24583.333333333332</v>
      </c>
      <c r="I14" s="60">
        <f>Deprecn!AD32</f>
        <v>24583.333333333332</v>
      </c>
      <c r="J14" s="60">
        <f>Deprecn!AE32</f>
        <v>24583.333333333332</v>
      </c>
      <c r="K14" s="60">
        <f>Deprecn!AF32</f>
        <v>24583.333333333332</v>
      </c>
      <c r="L14" s="60">
        <f>Deprecn!AG32</f>
        <v>24583.333333333332</v>
      </c>
      <c r="M14" s="60">
        <f>Deprecn!AH32</f>
        <v>24583.333333333332</v>
      </c>
      <c r="N14" s="61">
        <f>Deprecn!AI32</f>
        <v>24583.333333333332</v>
      </c>
      <c r="O14" s="209">
        <f>Deprecn!AK34</f>
        <v>295000</v>
      </c>
      <c r="P14" s="45">
        <f>Deprecn!AM34</f>
        <v>295000</v>
      </c>
      <c r="Q14" s="45">
        <f>Deprecn!AO34</f>
        <v>295000</v>
      </c>
      <c r="R14" s="45">
        <f>Deprecn!AQ34</f>
        <v>295000</v>
      </c>
      <c r="S14" s="45">
        <f>Deprecn!AS34</f>
        <v>295000</v>
      </c>
      <c r="T14" s="210">
        <f>Deprecn!AU34</f>
        <v>295000</v>
      </c>
    </row>
    <row r="15" spans="2:20" x14ac:dyDescent="0.3">
      <c r="B15" s="58" t="s">
        <v>120</v>
      </c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/>
      <c r="O15" s="211">
        <v>0</v>
      </c>
      <c r="P15" s="212">
        <v>0</v>
      </c>
      <c r="Q15" s="212">
        <v>0</v>
      </c>
      <c r="R15" s="212">
        <v>0</v>
      </c>
      <c r="S15" s="212">
        <v>0</v>
      </c>
      <c r="T15" s="213">
        <v>0</v>
      </c>
    </row>
    <row r="16" spans="2:20" x14ac:dyDescent="0.3">
      <c r="B16" s="216" t="s">
        <v>121</v>
      </c>
      <c r="C16" s="218">
        <f>SUM(C13:C15)</f>
        <v>24583.333333333332</v>
      </c>
      <c r="D16" s="166">
        <f>SUM(D13:D15)</f>
        <v>49166.666666666664</v>
      </c>
      <c r="E16" s="166">
        <f t="shared" ref="E16:N16" si="4">SUM(E13:E15)</f>
        <v>73750</v>
      </c>
      <c r="F16" s="166">
        <f t="shared" si="4"/>
        <v>98333.333333333328</v>
      </c>
      <c r="G16" s="166">
        <f t="shared" si="4"/>
        <v>122916.66666666666</v>
      </c>
      <c r="H16" s="166">
        <f t="shared" si="4"/>
        <v>147500</v>
      </c>
      <c r="I16" s="166">
        <f t="shared" si="4"/>
        <v>172083.33333333334</v>
      </c>
      <c r="J16" s="166">
        <f t="shared" si="4"/>
        <v>196666.66666666669</v>
      </c>
      <c r="K16" s="166">
        <f t="shared" si="4"/>
        <v>221250.00000000003</v>
      </c>
      <c r="L16" s="166">
        <f t="shared" si="4"/>
        <v>245833.33333333337</v>
      </c>
      <c r="M16" s="166">
        <f t="shared" si="4"/>
        <v>270416.66666666669</v>
      </c>
      <c r="N16" s="217">
        <f t="shared" si="4"/>
        <v>295000</v>
      </c>
      <c r="O16" s="218">
        <f t="shared" ref="O16:T16" si="5">SUM(O13:O15)</f>
        <v>295000</v>
      </c>
      <c r="P16" s="166">
        <f t="shared" si="5"/>
        <v>590000</v>
      </c>
      <c r="Q16" s="166">
        <f t="shared" si="5"/>
        <v>885000</v>
      </c>
      <c r="R16" s="166">
        <f t="shared" si="5"/>
        <v>1180000</v>
      </c>
      <c r="S16" s="166">
        <f t="shared" si="5"/>
        <v>1475000</v>
      </c>
      <c r="T16" s="217">
        <f t="shared" si="5"/>
        <v>1770000</v>
      </c>
    </row>
    <row r="17" spans="2:20" x14ac:dyDescent="0.3">
      <c r="B17" s="58"/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1"/>
      <c r="O17" s="209"/>
      <c r="P17" s="45"/>
      <c r="Q17" s="45"/>
      <c r="R17" s="45"/>
      <c r="S17" s="45"/>
      <c r="T17" s="210"/>
    </row>
    <row r="18" spans="2:20" x14ac:dyDescent="0.3">
      <c r="B18" s="216" t="s">
        <v>122</v>
      </c>
      <c r="C18" s="218">
        <f>C10-C16</f>
        <v>2925416.6666666665</v>
      </c>
      <c r="D18" s="166">
        <f>D10-D16</f>
        <v>2900833.3333333335</v>
      </c>
      <c r="E18" s="166">
        <f t="shared" ref="E18:T18" si="6">E10-E16</f>
        <v>2876250</v>
      </c>
      <c r="F18" s="166">
        <f t="shared" si="6"/>
        <v>2851666.6666666665</v>
      </c>
      <c r="G18" s="166">
        <f t="shared" si="6"/>
        <v>2827083.3333333335</v>
      </c>
      <c r="H18" s="166">
        <f t="shared" si="6"/>
        <v>2802500</v>
      </c>
      <c r="I18" s="166">
        <f t="shared" si="6"/>
        <v>2777916.6666666665</v>
      </c>
      <c r="J18" s="166">
        <f t="shared" si="6"/>
        <v>2753333.3333333335</v>
      </c>
      <c r="K18" s="166">
        <f t="shared" si="6"/>
        <v>2728750</v>
      </c>
      <c r="L18" s="166">
        <f t="shared" si="6"/>
        <v>2704166.6666666665</v>
      </c>
      <c r="M18" s="166">
        <f t="shared" si="6"/>
        <v>2679583.3333333335</v>
      </c>
      <c r="N18" s="217">
        <f t="shared" si="6"/>
        <v>2655000</v>
      </c>
      <c r="O18" s="218">
        <f t="shared" si="6"/>
        <v>2655000</v>
      </c>
      <c r="P18" s="166">
        <f t="shared" si="6"/>
        <v>2360000</v>
      </c>
      <c r="Q18" s="166">
        <f t="shared" si="6"/>
        <v>2065000</v>
      </c>
      <c r="R18" s="166">
        <f t="shared" si="6"/>
        <v>1770000</v>
      </c>
      <c r="S18" s="166">
        <f t="shared" si="6"/>
        <v>1475000</v>
      </c>
      <c r="T18" s="217">
        <f t="shared" si="6"/>
        <v>1180000</v>
      </c>
    </row>
    <row r="19" spans="2:20" x14ac:dyDescent="0.3"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TitlePage</vt:lpstr>
      <vt:lpstr>KPI's</vt:lpstr>
      <vt:lpstr>IS</vt:lpstr>
      <vt:lpstr>Deprecn</vt:lpstr>
      <vt:lpstr>Loan</vt:lpstr>
      <vt:lpstr>BS</vt:lpstr>
      <vt:lpstr>CF</vt:lpstr>
      <vt:lpstr>Valuation</vt:lpstr>
      <vt:lpstr>PPE</vt:lpstr>
      <vt:lpstr>WC Analysis</vt:lpstr>
      <vt:lpstr>WCInputs</vt:lpstr>
      <vt:lpstr>'WC Analysis'!Print_Area</vt:lpstr>
      <vt:lpstr>WCInputs!Print_Area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Ahmed H. Alowfi</cp:lastModifiedBy>
  <dcterms:created xsi:type="dcterms:W3CDTF">2015-10-14T09:33:20Z</dcterms:created>
  <dcterms:modified xsi:type="dcterms:W3CDTF">2018-12-22T18:30:19Z</dcterms:modified>
</cp:coreProperties>
</file>