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ofmann\Documents\DC01-hofmann\2022-paper-ecos-tespy-chemical-exergy\Rechnungen\"/>
    </mc:Choice>
  </mc:AlternateContent>
  <bookViews>
    <workbookView xWindow="0" yWindow="0" windowWidth="28800" windowHeight="13500" activeTab="2"/>
  </bookViews>
  <sheets>
    <sheet name="CGAM" sheetId="4" r:id="rId1"/>
    <sheet name="Exergie" sheetId="8" r:id="rId2"/>
    <sheet name="Arbeit" sheetId="9" r:id="rId3"/>
    <sheet name="CC" sheetId="1" r:id="rId4"/>
    <sheet name="APH" sheetId="5" r:id="rId5"/>
    <sheet name="HRSG" sheetId="6" r:id="rId6"/>
    <sheet name="T-delatH-Diagramm" sheetId="7" r:id="rId7"/>
    <sheet name="KKH" sheetId="3" r:id="rId8"/>
  </sheets>
  <definedNames>
    <definedName name="cgam_tdo_exergy_rates" localSheetId="1">Exergie!$A$1:$J$11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9" l="1"/>
  <c r="C9" i="9"/>
  <c r="C4" i="9"/>
  <c r="H3" i="8" l="1"/>
  <c r="H4" i="8"/>
  <c r="H5" i="8"/>
  <c r="H6" i="8"/>
  <c r="H7" i="8"/>
  <c r="H8" i="8"/>
  <c r="H9" i="8"/>
  <c r="H10" i="8"/>
  <c r="H11" i="8"/>
  <c r="H2" i="8"/>
  <c r="F3" i="8"/>
  <c r="F4" i="8"/>
  <c r="F5" i="8"/>
  <c r="F6" i="8"/>
  <c r="F7" i="8"/>
  <c r="F8" i="8"/>
  <c r="F9" i="8"/>
  <c r="F10" i="8"/>
  <c r="F11" i="8"/>
  <c r="F2" i="8"/>
  <c r="D3" i="8"/>
  <c r="D4" i="8"/>
  <c r="D5" i="8"/>
  <c r="D6" i="8"/>
  <c r="D7" i="8"/>
  <c r="D8" i="8"/>
  <c r="D9" i="8"/>
  <c r="D10" i="8"/>
  <c r="D11" i="8"/>
  <c r="D2" i="8"/>
  <c r="C3" i="8"/>
  <c r="C4" i="8"/>
  <c r="C5" i="8"/>
  <c r="C6" i="8"/>
  <c r="C7" i="8"/>
  <c r="C8" i="8"/>
  <c r="C9" i="8"/>
  <c r="C10" i="8"/>
  <c r="C11" i="8"/>
  <c r="C2" i="8"/>
  <c r="Q39" i="6" l="1"/>
  <c r="B6" i="7"/>
  <c r="A6" i="7"/>
  <c r="A5" i="7"/>
  <c r="A4" i="7"/>
  <c r="B3" i="7"/>
  <c r="Q44" i="6"/>
  <c r="B14" i="7"/>
  <c r="A14" i="7"/>
  <c r="B13" i="7"/>
  <c r="A13" i="7"/>
  <c r="A12" i="7"/>
  <c r="B11" i="7"/>
  <c r="O36" i="6"/>
  <c r="O37" i="6" s="1"/>
  <c r="B16" i="6"/>
  <c r="P35" i="6"/>
  <c r="O35" i="6"/>
  <c r="Q35" i="6" s="1"/>
  <c r="C15" i="6"/>
  <c r="B15" i="6"/>
  <c r="P29" i="6"/>
  <c r="P30" i="6"/>
  <c r="P31" i="6"/>
  <c r="P32" i="6"/>
  <c r="O32" i="6"/>
  <c r="O31" i="6"/>
  <c r="O30" i="6"/>
  <c r="O29" i="6"/>
  <c r="P28" i="6"/>
  <c r="O27" i="6"/>
  <c r="O28" i="6"/>
  <c r="P27" i="6"/>
  <c r="Q29" i="6" l="1"/>
  <c r="Q31" i="6"/>
  <c r="Q32" i="6"/>
  <c r="Q30" i="6"/>
  <c r="Q28" i="6"/>
  <c r="D36" i="6"/>
  <c r="B37" i="6"/>
  <c r="D41" i="6"/>
  <c r="B20" i="6"/>
  <c r="B21" i="6" s="1"/>
  <c r="D29" i="6" s="1"/>
  <c r="B7" i="6"/>
  <c r="B11" i="6"/>
  <c r="B33" i="5"/>
  <c r="B16" i="5"/>
  <c r="C7" i="6"/>
  <c r="C9" i="6" s="1"/>
  <c r="C32" i="5"/>
  <c r="B32" i="5"/>
  <c r="C29" i="5"/>
  <c r="C28" i="5"/>
  <c r="C27" i="5"/>
  <c r="C26" i="5"/>
  <c r="C25" i="5"/>
  <c r="B29" i="5"/>
  <c r="B28" i="5"/>
  <c r="B27" i="5"/>
  <c r="B25" i="5"/>
  <c r="B26" i="5"/>
  <c r="C24" i="5"/>
  <c r="B24" i="5"/>
  <c r="B7" i="5"/>
  <c r="C7" i="5"/>
  <c r="C9" i="5"/>
  <c r="B12" i="5"/>
  <c r="E7" i="4"/>
  <c r="E8" i="4"/>
  <c r="E9" i="4"/>
  <c r="E10" i="4"/>
  <c r="E11" i="4"/>
  <c r="E12" i="4"/>
  <c r="E13" i="4"/>
  <c r="E14" i="4"/>
  <c r="E15" i="4"/>
  <c r="E16" i="4"/>
  <c r="C19" i="4"/>
  <c r="C20" i="4"/>
  <c r="C21" i="4"/>
  <c r="G24" i="4"/>
  <c r="G25" i="4"/>
  <c r="G26" i="4"/>
  <c r="B12" i="6" l="1"/>
  <c r="B9" i="6"/>
  <c r="B8" i="6"/>
  <c r="C10" i="6"/>
  <c r="C11" i="6"/>
  <c r="D11" i="6" s="1"/>
  <c r="C12" i="6"/>
  <c r="B10" i="6"/>
  <c r="C8" i="6"/>
  <c r="D32" i="5"/>
  <c r="B34" i="5"/>
  <c r="D28" i="5"/>
  <c r="D26" i="5"/>
  <c r="D25" i="5"/>
  <c r="D29" i="5"/>
  <c r="D27" i="5"/>
  <c r="C12" i="5"/>
  <c r="D12" i="5" s="1"/>
  <c r="B10" i="5"/>
  <c r="C10" i="5"/>
  <c r="B8" i="5"/>
  <c r="C8" i="5"/>
  <c r="B11" i="5"/>
  <c r="C11" i="5"/>
  <c r="B9" i="5"/>
  <c r="B15" i="1"/>
  <c r="C15" i="1"/>
  <c r="D15" i="1" s="1"/>
  <c r="B16" i="1"/>
  <c r="C16" i="1"/>
  <c r="D16" i="1" s="1"/>
  <c r="B17" i="1"/>
  <c r="C17" i="1"/>
  <c r="D17" i="1" s="1"/>
  <c r="C14" i="1"/>
  <c r="D14" i="1" s="1"/>
  <c r="B14" i="1"/>
  <c r="C5" i="1"/>
  <c r="C10" i="1" s="1"/>
  <c r="B5" i="1"/>
  <c r="B10" i="1" s="1"/>
  <c r="B8" i="3"/>
  <c r="I25" i="3"/>
  <c r="I29" i="3"/>
  <c r="I28" i="3"/>
  <c r="I27" i="3"/>
  <c r="I26" i="3"/>
  <c r="I24" i="3"/>
  <c r="I23" i="3"/>
  <c r="I22" i="3"/>
  <c r="I21" i="3"/>
  <c r="I20" i="3"/>
  <c r="I19" i="3"/>
  <c r="I17" i="3"/>
  <c r="I16" i="3"/>
  <c r="I15" i="3"/>
  <c r="D15" i="6" l="1"/>
  <c r="B17" i="6" s="1"/>
  <c r="D28" i="6" s="1"/>
  <c r="D8" i="6"/>
  <c r="D9" i="6"/>
  <c r="D12" i="6"/>
  <c r="D10" i="6"/>
  <c r="D9" i="5"/>
  <c r="B15" i="5"/>
  <c r="C15" i="5"/>
  <c r="D11" i="5"/>
  <c r="D8" i="5"/>
  <c r="D10" i="5"/>
  <c r="B20" i="1"/>
  <c r="C6" i="1"/>
  <c r="C7" i="1"/>
  <c r="D10" i="1"/>
  <c r="B8" i="1"/>
  <c r="C8" i="1"/>
  <c r="B6" i="1"/>
  <c r="C9" i="1"/>
  <c r="B7" i="1"/>
  <c r="B9" i="1"/>
  <c r="B6" i="3"/>
  <c r="D15" i="5" l="1"/>
  <c r="B17" i="5" s="1"/>
  <c r="D7" i="1"/>
  <c r="D6" i="1"/>
  <c r="D8" i="1"/>
  <c r="D9" i="1"/>
  <c r="C36" i="3"/>
  <c r="B23" i="1" l="1"/>
  <c r="E27" i="1" s="1"/>
  <c r="C46" i="3"/>
  <c r="C47" i="3"/>
  <c r="C37" i="3"/>
  <c r="C44" i="3"/>
  <c r="C45" i="3"/>
  <c r="C42" i="3"/>
  <c r="C43" i="3"/>
  <c r="C40" i="3"/>
  <c r="C41" i="3"/>
  <c r="C38" i="3"/>
  <c r="C39" i="3"/>
  <c r="D49" i="3"/>
  <c r="D47" i="3"/>
  <c r="D45" i="3"/>
  <c r="D43" i="3"/>
  <c r="D41" i="3"/>
  <c r="D39" i="3"/>
  <c r="D37" i="3"/>
  <c r="B49" i="3"/>
  <c r="B47" i="3"/>
  <c r="B45" i="3"/>
  <c r="E45" i="3" s="1"/>
  <c r="B43" i="3"/>
  <c r="B41" i="3"/>
  <c r="B39" i="3"/>
  <c r="E39" i="3" s="1"/>
  <c r="B37" i="3"/>
  <c r="E37" i="3" s="1"/>
  <c r="D48" i="3"/>
  <c r="D46" i="3"/>
  <c r="D44" i="3"/>
  <c r="D42" i="3"/>
  <c r="D40" i="3"/>
  <c r="D38" i="3"/>
  <c r="D36" i="3"/>
  <c r="B44" i="3"/>
  <c r="E44" i="3" s="1"/>
  <c r="B42" i="3"/>
  <c r="E42" i="3" s="1"/>
  <c r="B38" i="3"/>
  <c r="B46" i="3"/>
  <c r="B40" i="3"/>
  <c r="B36" i="3"/>
  <c r="E36" i="3" s="1"/>
  <c r="B48" i="3"/>
  <c r="C48" i="3"/>
  <c r="C49" i="3"/>
  <c r="B27" i="1" l="1"/>
  <c r="D27" i="1"/>
  <c r="C27" i="1"/>
  <c r="E43" i="3"/>
  <c r="E48" i="3"/>
  <c r="E40" i="3"/>
  <c r="E46" i="3"/>
  <c r="E47" i="3"/>
  <c r="E41" i="3"/>
  <c r="E38" i="3"/>
  <c r="E49" i="3"/>
</calcChain>
</file>

<file path=xl/connections.xml><?xml version="1.0" encoding="utf-8"?>
<connections xmlns="http://schemas.openxmlformats.org/spreadsheetml/2006/main">
  <connection id="1" name="cgam-tdo-exergy-rates" type="6" refreshedVersion="6" background="1" saveData="1">
    <textPr codePage="850" sourceFile="C:\Users\hofmann\Documents\DC01-hofmann\2022-paper-ecos-tespy-chemical-exergy\Rechnungen\cgam-tdo-exergy-rates.csv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<sst xmlns="http://schemas.openxmlformats.org/spreadsheetml/2006/main" count="257" uniqueCount="144">
  <si>
    <t>CGAM Berechnungen, nach TDO</t>
  </si>
  <si>
    <t>Temperatur T:</t>
  </si>
  <si>
    <t>°C</t>
  </si>
  <si>
    <t>K</t>
  </si>
  <si>
    <t>y:</t>
  </si>
  <si>
    <t>10³ K</t>
  </si>
  <si>
    <t>R:</t>
  </si>
  <si>
    <t>kJ/kmol*K</t>
  </si>
  <si>
    <t>Parametertabelle</t>
  </si>
  <si>
    <t>Stoff</t>
  </si>
  <si>
    <t>H+</t>
  </si>
  <si>
    <t>S+</t>
  </si>
  <si>
    <t>a</t>
  </si>
  <si>
    <t>b</t>
  </si>
  <si>
    <t>c</t>
  </si>
  <si>
    <t>d</t>
  </si>
  <si>
    <t>C (fest)</t>
  </si>
  <si>
    <t>S (fest)</t>
  </si>
  <si>
    <t>CO</t>
  </si>
  <si>
    <t>Ergebnistabelle für die eingegebene Temperatur</t>
  </si>
  <si>
    <t>Stoffwertpolynome aus TDO, S. 519-521, inkl. Update für Stickstoff (siehe Fussnote auf S. 521)</t>
  </si>
  <si>
    <r>
      <t>Werte gelten für ideale Gase bzw. Flüssigkeiten und Drücke von p</t>
    </r>
    <r>
      <rPr>
        <vertAlign val="subscript"/>
        <sz val="10"/>
        <rFont val="Calibri"/>
        <family val="2"/>
        <scheme val="minor"/>
      </rPr>
      <t>ref</t>
    </r>
    <r>
      <rPr>
        <sz val="11"/>
        <color theme="1"/>
        <rFont val="Calibri"/>
        <family val="2"/>
        <scheme val="minor"/>
      </rPr>
      <t>=1,0 bar sowie einen Temperaturbereich von 298,15 K – T</t>
    </r>
    <r>
      <rPr>
        <vertAlign val="subscript"/>
        <sz val="10"/>
        <rFont val="Calibri"/>
        <family val="2"/>
        <scheme val="minor"/>
      </rPr>
      <t>max</t>
    </r>
    <r>
      <rPr>
        <sz val="11"/>
        <color theme="1"/>
        <rFont val="Calibri"/>
        <family val="2"/>
        <scheme val="minor"/>
      </rPr>
      <t>.</t>
    </r>
  </si>
  <si>
    <r>
      <t>N</t>
    </r>
    <r>
      <rPr>
        <vertAlign val="subscript"/>
        <sz val="10"/>
        <rFont val="Calibri"/>
        <family val="2"/>
        <scheme val="minor"/>
      </rPr>
      <t>2</t>
    </r>
  </si>
  <si>
    <r>
      <t>O</t>
    </r>
    <r>
      <rPr>
        <vertAlign val="subscript"/>
        <sz val="10"/>
        <rFont val="Calibri"/>
        <family val="2"/>
        <scheme val="minor"/>
      </rPr>
      <t>2</t>
    </r>
  </si>
  <si>
    <r>
      <t>H</t>
    </r>
    <r>
      <rPr>
        <vertAlign val="subscript"/>
        <sz val="10"/>
        <rFont val="Calibri"/>
        <family val="2"/>
        <scheme val="minor"/>
      </rPr>
      <t>2</t>
    </r>
  </si>
  <si>
    <r>
      <t>CO</t>
    </r>
    <r>
      <rPr>
        <vertAlign val="subscript"/>
        <sz val="10"/>
        <rFont val="Calibri"/>
        <family val="2"/>
        <scheme val="minor"/>
      </rPr>
      <t>2</t>
    </r>
  </si>
  <si>
    <r>
      <t>H</t>
    </r>
    <r>
      <rPr>
        <vertAlign val="subscript"/>
        <sz val="10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 (gasförmig)</t>
    </r>
  </si>
  <si>
    <r>
      <t>H</t>
    </r>
    <r>
      <rPr>
        <vertAlign val="subscript"/>
        <sz val="10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 (flüssig)</t>
    </r>
  </si>
  <si>
    <r>
      <t>CH</t>
    </r>
    <r>
      <rPr>
        <vertAlign val="subscript"/>
        <sz val="10"/>
        <rFont val="Calibri"/>
        <family val="2"/>
        <scheme val="minor"/>
      </rPr>
      <t>4</t>
    </r>
  </si>
  <si>
    <r>
      <t>C</t>
    </r>
    <r>
      <rPr>
        <vertAlign val="subscript"/>
        <sz val="10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0"/>
        <rFont val="Calibri"/>
        <family val="2"/>
        <scheme val="minor"/>
      </rPr>
      <t>6</t>
    </r>
  </si>
  <si>
    <r>
      <t>SO</t>
    </r>
    <r>
      <rPr>
        <vertAlign val="subscript"/>
        <sz val="10"/>
        <rFont val="Calibri"/>
        <family val="2"/>
        <scheme val="minor"/>
      </rPr>
      <t>2</t>
    </r>
  </si>
  <si>
    <r>
      <t>H</t>
    </r>
    <r>
      <rPr>
        <vertAlign val="subscript"/>
        <sz val="10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S</t>
    </r>
  </si>
  <si>
    <r>
      <t>NH</t>
    </r>
    <r>
      <rPr>
        <vertAlign val="subscript"/>
        <sz val="10"/>
        <rFont val="Calibri"/>
        <family val="2"/>
        <scheme val="minor"/>
      </rPr>
      <t>3</t>
    </r>
  </si>
  <si>
    <r>
      <t>h¯</t>
    </r>
    <r>
      <rPr>
        <i/>
        <vertAlign val="superscript"/>
        <sz val="10"/>
        <rFont val="Calibri"/>
        <family val="2"/>
        <scheme val="minor"/>
      </rPr>
      <t>0</t>
    </r>
    <r>
      <rPr>
        <i/>
        <sz val="10"/>
        <rFont val="Calibri"/>
        <family val="2"/>
        <scheme val="minor"/>
      </rPr>
      <t xml:space="preserve"> [kJ/kmol]</t>
    </r>
  </si>
  <si>
    <r>
      <t>s¯</t>
    </r>
    <r>
      <rPr>
        <i/>
        <vertAlign val="superscript"/>
        <sz val="10"/>
        <rFont val="Calibri"/>
        <family val="2"/>
        <scheme val="minor"/>
      </rPr>
      <t>0</t>
    </r>
    <r>
      <rPr>
        <i/>
        <sz val="10"/>
        <rFont val="Calibri"/>
        <family val="2"/>
        <scheme val="minor"/>
      </rPr>
      <t xml:space="preserve"> [kJ/kmol*K]</t>
    </r>
  </si>
  <si>
    <r>
      <t>c¯</t>
    </r>
    <r>
      <rPr>
        <i/>
        <vertAlign val="subscript"/>
        <sz val="10"/>
        <rFont val="Calibri"/>
        <family val="2"/>
        <scheme val="minor"/>
      </rPr>
      <t>p</t>
    </r>
    <r>
      <rPr>
        <i/>
        <vertAlign val="superscript"/>
        <sz val="10"/>
        <rFont val="Calibri"/>
        <family val="2"/>
        <scheme val="minor"/>
      </rPr>
      <t>0</t>
    </r>
    <r>
      <rPr>
        <i/>
        <sz val="10"/>
        <rFont val="Calibri"/>
        <family val="2"/>
        <scheme val="minor"/>
      </rPr>
      <t xml:space="preserve"> [kJ/kmol]</t>
    </r>
  </si>
  <si>
    <r>
      <t>g¯</t>
    </r>
    <r>
      <rPr>
        <i/>
        <vertAlign val="superscript"/>
        <sz val="10"/>
        <rFont val="Calibri"/>
        <family val="2"/>
        <scheme val="minor"/>
      </rPr>
      <t>0</t>
    </r>
    <r>
      <rPr>
        <i/>
        <sz val="10"/>
        <rFont val="Calibri"/>
        <family val="2"/>
        <scheme val="minor"/>
      </rPr>
      <t xml:space="preserve"> [kJ/kmol]</t>
    </r>
  </si>
  <si>
    <t>Molare Massen</t>
  </si>
  <si>
    <t>M</t>
  </si>
  <si>
    <t>Molmassen ausgewählter Elemente</t>
  </si>
  <si>
    <t>Name</t>
  </si>
  <si>
    <t>Molamasse</t>
  </si>
  <si>
    <t>kg/kmol</t>
  </si>
  <si>
    <t>H</t>
  </si>
  <si>
    <t>He</t>
  </si>
  <si>
    <t>C</t>
  </si>
  <si>
    <t>N</t>
  </si>
  <si>
    <t>O</t>
  </si>
  <si>
    <t>S</t>
  </si>
  <si>
    <t>Wert nicht in TDO angegeben, nur in Formelsammlung ETUS</t>
  </si>
  <si>
    <t>TDO, Tabelle 1.2, S.30</t>
  </si>
  <si>
    <t>State</t>
  </si>
  <si>
    <t>Substance</t>
  </si>
  <si>
    <t>Mass flow rate</t>
  </si>
  <si>
    <t>kg/s</t>
  </si>
  <si>
    <t>Temperature</t>
  </si>
  <si>
    <t>Pressure</t>
  </si>
  <si>
    <t>bar</t>
  </si>
  <si>
    <t>Air</t>
  </si>
  <si>
    <t>Combustion products</t>
  </si>
  <si>
    <t>Water</t>
  </si>
  <si>
    <t>Methane</t>
  </si>
  <si>
    <t>Molecular weight</t>
  </si>
  <si>
    <t>Molar analysis</t>
  </si>
  <si>
    <t>N2</t>
  </si>
  <si>
    <t>O2</t>
  </si>
  <si>
    <t>CO2</t>
  </si>
  <si>
    <t>H2O(g)</t>
  </si>
  <si>
    <t>exakte Werte</t>
  </si>
  <si>
    <t>CH4</t>
  </si>
  <si>
    <t>Summe</t>
  </si>
  <si>
    <t>TDO, S. 91-93, Brennkammer: Berechnung der Abgaszusammensetzung unter Berücksichtigung des Wärmeverluststroms über die Oberfläche der Brennkammer</t>
  </si>
  <si>
    <t>Spezifische molare Enthalpien der beteiligten Stoff in Abhängigkeit der vorgebenen Temperaturen</t>
  </si>
  <si>
    <t>Component</t>
  </si>
  <si>
    <r>
      <t>h</t>
    </r>
    <r>
      <rPr>
        <sz val="11"/>
        <color theme="1"/>
        <rFont val="Calibri"/>
        <family val="2"/>
      </rPr>
      <t>¯ (850K)</t>
    </r>
  </si>
  <si>
    <r>
      <t>h</t>
    </r>
    <r>
      <rPr>
        <sz val="11"/>
        <color theme="1"/>
        <rFont val="Calibri"/>
        <family val="2"/>
      </rPr>
      <t>¯ (1520K)</t>
    </r>
  </si>
  <si>
    <t>H2O</t>
  </si>
  <si>
    <t>Δh (kJ/kmol)</t>
  </si>
  <si>
    <t>angepasste Werte (Fussnote)</t>
  </si>
  <si>
    <t>Originalwerte (KKH)</t>
  </si>
  <si>
    <r>
      <t>h</t>
    </r>
    <r>
      <rPr>
        <sz val="11"/>
        <color theme="1"/>
        <rFont val="Calibri"/>
        <family val="2"/>
      </rPr>
      <t>¯ (kJ/kmol)</t>
    </r>
  </si>
  <si>
    <t>T (K)</t>
  </si>
  <si>
    <t>Achtung! In TDO werden zwar die angepassten Werte vorgeschlagen, jedoch nicht verwendet.</t>
  </si>
  <si>
    <t>Berechnung molares lambda</t>
  </si>
  <si>
    <t>λ¯</t>
  </si>
  <si>
    <t>Berechnung Zusammensetzung Verbrennungsprodukte</t>
  </si>
  <si>
    <r>
      <t>LHV</t>
    </r>
    <r>
      <rPr>
        <sz val="11"/>
        <color theme="1"/>
        <rFont val="Calibri"/>
        <family val="2"/>
      </rPr>
      <t>¯ (kJ/kmol)</t>
    </r>
  </si>
  <si>
    <t>Berechnung spezifisch molare Brennstoffenthalpie und Berechnung Heizwert (alle Produkte und Edukte liegen bei Tref vor)</t>
  </si>
  <si>
    <t>hier ergeben sich geringe Abweichung ggü. der Tabelle auf TDO, S. 91; insb. O2 ergibt sich nicht exakt zu Null</t>
  </si>
  <si>
    <t>TDO, S. 89, APH</t>
  </si>
  <si>
    <r>
      <t>h</t>
    </r>
    <r>
      <rPr>
        <sz val="11"/>
        <color theme="1"/>
        <rFont val="Calibri"/>
        <family val="2"/>
      </rPr>
      <t>¯ (603,738K)</t>
    </r>
  </si>
  <si>
    <t>h¯2</t>
  </si>
  <si>
    <t>h¯3</t>
  </si>
  <si>
    <t>n_air</t>
  </si>
  <si>
    <t xml:space="preserve">n_air * Δh </t>
  </si>
  <si>
    <t>Luftseite</t>
  </si>
  <si>
    <t>Abgasseite</t>
  </si>
  <si>
    <r>
      <t>h</t>
    </r>
    <r>
      <rPr>
        <sz val="11"/>
        <color theme="1"/>
        <rFont val="Calibri"/>
        <family val="2"/>
      </rPr>
      <t>¯ (1006,162K)</t>
    </r>
  </si>
  <si>
    <r>
      <t>h</t>
    </r>
    <r>
      <rPr>
        <sz val="11"/>
        <color theme="1"/>
        <rFont val="Calibri"/>
        <family val="2"/>
      </rPr>
      <t>¯ (779,784K)</t>
    </r>
  </si>
  <si>
    <t>h¯5</t>
  </si>
  <si>
    <t>h¯6</t>
  </si>
  <si>
    <t xml:space="preserve">n_fg * Δh </t>
  </si>
  <si>
    <t>TDO, S. 89f., HRSG</t>
  </si>
  <si>
    <r>
      <t>h</t>
    </r>
    <r>
      <rPr>
        <sz val="11"/>
        <color theme="1"/>
        <rFont val="Calibri"/>
        <family val="2"/>
      </rPr>
      <t>¯ (426,897K)</t>
    </r>
  </si>
  <si>
    <t>h¯7</t>
  </si>
  <si>
    <t>n_fg</t>
  </si>
  <si>
    <t>Wasserseite</t>
  </si>
  <si>
    <t>h8</t>
  </si>
  <si>
    <t>h9</t>
  </si>
  <si>
    <t xml:space="preserve">m * Δh </t>
  </si>
  <si>
    <t>Valero 1994</t>
  </si>
  <si>
    <t>Δh (kJ/kg)</t>
  </si>
  <si>
    <t>Penkuhn2017</t>
  </si>
  <si>
    <t>c_p,fg</t>
  </si>
  <si>
    <t>m_fg * c_p,fg * (T6-T7)</t>
  </si>
  <si>
    <t>nach Berechnung Abgasseite, KKH</t>
  </si>
  <si>
    <t>nach Berechnung Abgasseite, c_p=const</t>
  </si>
  <si>
    <t>T6-T7</t>
  </si>
  <si>
    <t>Coolprop, IAPWS</t>
  </si>
  <si>
    <t>In TDO stehen keine Enthalpiewerte für Wasserseite, Q_EV und Q_PH könnte über Kostenfunktionen iteriert werden</t>
  </si>
  <si>
    <t>import CoolProp.CoolProp as CP</t>
  </si>
  <si>
    <t>print(CP.PropsSI('H','P',20E5,'T',298.15,'water'))</t>
  </si>
  <si>
    <t>print(CP.PropsSI('H','P',20E5,'Q',1,'water'))</t>
  </si>
  <si>
    <t>Prehaeater</t>
  </si>
  <si>
    <r>
      <t>h</t>
    </r>
    <r>
      <rPr>
        <sz val="11"/>
        <color theme="1"/>
        <rFont val="Calibri"/>
        <family val="2"/>
      </rPr>
      <t>¯ (526K)</t>
    </r>
  </si>
  <si>
    <t>h¯g</t>
  </si>
  <si>
    <t>Abgas</t>
  </si>
  <si>
    <t>Wasser</t>
  </si>
  <si>
    <t>delta H (kW)</t>
  </si>
  <si>
    <t>Verdampfer, Wasserseite</t>
  </si>
  <si>
    <t>ΔhLV (kJ/kg)</t>
  </si>
  <si>
    <t>resultierender Verdampfer</t>
  </si>
  <si>
    <t>EPH (MW)</t>
  </si>
  <si>
    <t>ECH (MW)</t>
  </si>
  <si>
    <t>E (MW)</t>
  </si>
  <si>
    <t>ePH (kJ/kg)</t>
  </si>
  <si>
    <t>eCH (kJ/kg)</t>
  </si>
  <si>
    <t>e (kJ/kg)</t>
  </si>
  <si>
    <t>h1</t>
  </si>
  <si>
    <t>h2</t>
  </si>
  <si>
    <t>AC</t>
  </si>
  <si>
    <t>EXP</t>
  </si>
  <si>
    <t>h4</t>
  </si>
  <si>
    <t>h5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</si>
</sst>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00"/>
    <numFmt numFmtId="165" formatCode="0.000"/>
    <numFmt numFmtId="166" formatCode="0.0"/>
    <numFmt numFmtId="167" formatCode="0.000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Arial"/>
      <family val="2"/>
    </font>
    <font>
      <b/>
      <i/>
      <sz val="16"/>
      <name val="Calibri"/>
      <family val="2"/>
      <scheme val="minor"/>
    </font>
    <font>
      <vertAlign val="subscript"/>
      <sz val="10"/>
      <name val="Calibri"/>
      <family val="2"/>
      <scheme val="minor"/>
    </font>
    <font>
      <b/>
      <sz val="10"/>
      <color indexed="52"/>
      <name val="Calibri"/>
      <family val="2"/>
      <scheme val="minor"/>
    </font>
    <font>
      <i/>
      <sz val="10"/>
      <name val="Calibri"/>
      <family val="2"/>
      <scheme val="minor"/>
    </font>
    <font>
      <i/>
      <vertAlign val="superscript"/>
      <sz val="10"/>
      <name val="Calibri"/>
      <family val="2"/>
      <scheme val="minor"/>
    </font>
    <font>
      <i/>
      <vertAlign val="subscript"/>
      <sz val="10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5" fillId="0" borderId="0" applyNumberFormat="0" applyFont="0" applyFill="0" applyBorder="0" applyProtection="0"/>
  </cellStyleXfs>
  <cellXfs count="27">
    <xf numFmtId="0" fontId="0" fillId="0" borderId="0" xfId="0"/>
    <xf numFmtId="0" fontId="0" fillId="0" borderId="1" xfId="0" applyFont="1" applyBorder="1"/>
    <xf numFmtId="0" fontId="1" fillId="0" borderId="0" xfId="0" applyFont="1"/>
    <xf numFmtId="0" fontId="1" fillId="0" borderId="0" xfId="0" applyFont="1" applyAlignment="1">
      <alignment horizontal="right"/>
    </xf>
    <xf numFmtId="0" fontId="1" fillId="2" borderId="1" xfId="0" applyFont="1" applyFill="1" applyBorder="1"/>
    <xf numFmtId="164" fontId="1" fillId="0" borderId="0" xfId="0" applyNumberFormat="1" applyFont="1"/>
    <xf numFmtId="0" fontId="1" fillId="0" borderId="0" xfId="0" applyFont="1" applyFill="1" applyBorder="1" applyAlignment="1">
      <alignment horizontal="right"/>
    </xf>
    <xf numFmtId="0" fontId="1" fillId="0" borderId="1" xfId="0" applyFont="1" applyBorder="1"/>
    <xf numFmtId="165" fontId="1" fillId="0" borderId="1" xfId="0" applyNumberFormat="1" applyFont="1" applyBorder="1"/>
    <xf numFmtId="166" fontId="1" fillId="0" borderId="1" xfId="0" applyNumberFormat="1" applyFont="1" applyBorder="1"/>
    <xf numFmtId="0" fontId="6" fillId="0" borderId="0" xfId="1" applyFont="1"/>
    <xf numFmtId="0" fontId="8" fillId="3" borderId="1" xfId="0" applyFont="1" applyFill="1" applyBorder="1"/>
    <xf numFmtId="0" fontId="9" fillId="0" borderId="1" xfId="0" applyFont="1" applyBorder="1"/>
    <xf numFmtId="0" fontId="12" fillId="0" borderId="0" xfId="2" applyFont="1"/>
    <xf numFmtId="0" fontId="0" fillId="0" borderId="0" xfId="0" applyFont="1"/>
    <xf numFmtId="0" fontId="9" fillId="0" borderId="1" xfId="0" applyFont="1" applyFill="1" applyBorder="1"/>
    <xf numFmtId="167" fontId="0" fillId="0" borderId="1" xfId="0" applyNumberFormat="1" applyFont="1" applyFill="1" applyBorder="1"/>
    <xf numFmtId="167" fontId="1" fillId="0" borderId="1" xfId="0" applyNumberFormat="1" applyFont="1" applyBorder="1"/>
    <xf numFmtId="0" fontId="3" fillId="0" borderId="0" xfId="0" applyFont="1"/>
    <xf numFmtId="0" fontId="4" fillId="0" borderId="0" xfId="0" applyFont="1"/>
    <xf numFmtId="0" fontId="0" fillId="0" borderId="1" xfId="0" applyBorder="1"/>
    <xf numFmtId="0" fontId="13" fillId="0" borderId="1" xfId="0" applyFont="1" applyBorder="1"/>
    <xf numFmtId="0" fontId="0" fillId="4" borderId="1" xfId="0" applyFill="1" applyBorder="1"/>
    <xf numFmtId="0" fontId="14" fillId="0" borderId="1" xfId="0" applyFont="1" applyBorder="1"/>
    <xf numFmtId="0" fontId="0" fillId="5" borderId="0" xfId="0" applyFill="1"/>
    <xf numFmtId="0" fontId="0" fillId="0" borderId="0" xfId="0" applyFill="1"/>
    <xf numFmtId="3" fontId="0" fillId="0" borderId="0" xfId="0" applyNumberFormat="1"/>
  </cellXfs>
  <cellStyles count="3">
    <cellStyle name="Standard" xfId="0" builtinId="0"/>
    <cellStyle name="Standard groß" xfId="2"/>
    <cellStyle name="Überschrift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'T-delatH-Diagramm'!$A$3:$A$4</c:f>
              <c:numCache>
                <c:formatCode>General</c:formatCode>
                <c:ptCount val="2"/>
                <c:pt idx="0">
                  <c:v>0</c:v>
                </c:pt>
                <c:pt idx="1">
                  <c:v>10304.495819293354</c:v>
                </c:pt>
              </c:numCache>
            </c:numRef>
          </c:xVal>
          <c:yVal>
            <c:numRef>
              <c:f>'T-delatH-Diagramm'!$B$3:$B$4</c:f>
              <c:numCache>
                <c:formatCode>General</c:formatCode>
                <c:ptCount val="2"/>
                <c:pt idx="0">
                  <c:v>426.89699999999999</c:v>
                </c:pt>
                <c:pt idx="1">
                  <c:v>526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46-4550-8390-808DBD55ACC4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'T-delatH-Diagramm'!$A$5:$A$6</c:f>
              <c:numCache>
                <c:formatCode>General</c:formatCode>
                <c:ptCount val="2"/>
                <c:pt idx="0">
                  <c:v>10304.495819293354</c:v>
                </c:pt>
                <c:pt idx="1">
                  <c:v>37672.09093975374</c:v>
                </c:pt>
              </c:numCache>
            </c:numRef>
          </c:xVal>
          <c:yVal>
            <c:numRef>
              <c:f>'T-delatH-Diagramm'!$B$5:$B$6</c:f>
              <c:numCache>
                <c:formatCode>General</c:formatCode>
                <c:ptCount val="2"/>
                <c:pt idx="0">
                  <c:v>526</c:v>
                </c:pt>
                <c:pt idx="1">
                  <c:v>779.78399999999999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46-4550-8390-808DBD55ACC4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'T-delatH-Diagramm'!$A$11:$A$12</c:f>
              <c:numCache>
                <c:formatCode>General</c:formatCode>
                <c:ptCount val="2"/>
                <c:pt idx="0">
                  <c:v>0</c:v>
                </c:pt>
                <c:pt idx="1">
                  <c:v>10304.495819293354</c:v>
                </c:pt>
              </c:numCache>
            </c:numRef>
          </c:xVal>
          <c:yVal>
            <c:numRef>
              <c:f>'T-delatH-Diagramm'!$B$11:$B$12</c:f>
              <c:numCache>
                <c:formatCode>General</c:formatCode>
                <c:ptCount val="2"/>
                <c:pt idx="0">
                  <c:v>298.14999999999998</c:v>
                </c:pt>
                <c:pt idx="1">
                  <c:v>471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D46-4550-8390-808DBD55ACC4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'T-delatH-Diagramm'!$A$13:$A$14</c:f>
              <c:numCache>
                <c:formatCode>General</c:formatCode>
                <c:ptCount val="2"/>
                <c:pt idx="0">
                  <c:v>10304.495819293354</c:v>
                </c:pt>
                <c:pt idx="1">
                  <c:v>37672.09093975374</c:v>
                </c:pt>
              </c:numCache>
            </c:numRef>
          </c:xVal>
          <c:yVal>
            <c:numRef>
              <c:f>'T-delatH-Diagramm'!$B$13:$B$14</c:f>
              <c:numCache>
                <c:formatCode>General</c:formatCode>
                <c:ptCount val="2"/>
                <c:pt idx="0">
                  <c:v>485.57</c:v>
                </c:pt>
                <c:pt idx="1">
                  <c:v>485.57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D46-4550-8390-808DBD55AC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8821903"/>
        <c:axId val="2018826895"/>
      </c:scatterChart>
      <c:valAx>
        <c:axId val="2018821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18826895"/>
        <c:crosses val="autoZero"/>
        <c:crossBetween val="midCat"/>
      </c:valAx>
      <c:valAx>
        <c:axId val="2018826895"/>
        <c:scaling>
          <c:orientation val="minMax"/>
          <c:min val="2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18821903"/>
        <c:crosses val="autoZero"/>
        <c:crossBetween val="midCat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emf"/><Relationship Id="rId2" Type="http://schemas.openxmlformats.org/officeDocument/2006/relationships/image" Target="../media/image4.emf"/><Relationship Id="rId1" Type="http://schemas.openxmlformats.org/officeDocument/2006/relationships/image" Target="../media/image3.emf"/><Relationship Id="rId4" Type="http://schemas.openxmlformats.org/officeDocument/2006/relationships/image" Target="../media/image6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5</xdr:row>
      <xdr:rowOff>0</xdr:rowOff>
    </xdr:from>
    <xdr:to>
      <xdr:col>14</xdr:col>
      <xdr:colOff>654050</xdr:colOff>
      <xdr:row>20</xdr:row>
      <xdr:rowOff>19050</xdr:rowOff>
    </xdr:to>
    <xdr:pic>
      <xdr:nvPicPr>
        <xdr:cNvPr id="2" name="Grafik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0" y="920750"/>
          <a:ext cx="4464050" cy="278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577850</xdr:colOff>
      <xdr:row>10</xdr:row>
      <xdr:rowOff>177800</xdr:rowOff>
    </xdr:from>
    <xdr:to>
      <xdr:col>14</xdr:col>
      <xdr:colOff>292100</xdr:colOff>
      <xdr:row>16</xdr:row>
      <xdr:rowOff>38100</xdr:rowOff>
    </xdr:to>
    <xdr:pic>
      <xdr:nvPicPr>
        <xdr:cNvPr id="2" name="Grafik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73850" y="1651000"/>
          <a:ext cx="4286250" cy="965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2</xdr:row>
      <xdr:rowOff>0</xdr:rowOff>
    </xdr:from>
    <xdr:to>
      <xdr:col>18</xdr:col>
      <xdr:colOff>450850</xdr:colOff>
      <xdr:row>7</xdr:row>
      <xdr:rowOff>139700</xdr:rowOff>
    </xdr:to>
    <xdr:pic>
      <xdr:nvPicPr>
        <xdr:cNvPr id="2" name="Grafik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00" y="368300"/>
          <a:ext cx="4260850" cy="1060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9</xdr:row>
      <xdr:rowOff>0</xdr:rowOff>
    </xdr:from>
    <xdr:to>
      <xdr:col>18</xdr:col>
      <xdr:colOff>374650</xdr:colOff>
      <xdr:row>13</xdr:row>
      <xdr:rowOff>19050</xdr:rowOff>
    </xdr:to>
    <xdr:pic>
      <xdr:nvPicPr>
        <xdr:cNvPr id="3" name="Grafik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00" y="1657350"/>
          <a:ext cx="4184650" cy="755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18</xdr:col>
      <xdr:colOff>527050</xdr:colOff>
      <xdr:row>18</xdr:row>
      <xdr:rowOff>31750</xdr:rowOff>
    </xdr:to>
    <xdr:pic>
      <xdr:nvPicPr>
        <xdr:cNvPr id="4" name="Grafik 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00" y="2578100"/>
          <a:ext cx="4337050" cy="768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19</xdr:row>
      <xdr:rowOff>0</xdr:rowOff>
    </xdr:from>
    <xdr:to>
      <xdr:col>16</xdr:col>
      <xdr:colOff>146050</xdr:colOff>
      <xdr:row>21</xdr:row>
      <xdr:rowOff>0</xdr:rowOff>
    </xdr:to>
    <xdr:pic>
      <xdr:nvPicPr>
        <xdr:cNvPr id="5" name="Grafik 4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00" y="3498850"/>
          <a:ext cx="2432050" cy="368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257175</xdr:colOff>
      <xdr:row>3</xdr:row>
      <xdr:rowOff>66675</xdr:rowOff>
    </xdr:from>
    <xdr:to>
      <xdr:col>9</xdr:col>
      <xdr:colOff>257175</xdr:colOff>
      <xdr:row>18</xdr:row>
      <xdr:rowOff>47625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cgam-tdo-exergy-rates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selection activeCell="D10" sqref="D10"/>
    </sheetView>
  </sheetViews>
  <sheetFormatPr baseColWidth="10" defaultRowHeight="15" x14ac:dyDescent="0.25"/>
  <sheetData>
    <row r="1" spans="1:6" x14ac:dyDescent="0.25">
      <c r="A1" s="19" t="s">
        <v>0</v>
      </c>
    </row>
    <row r="3" spans="1:6" x14ac:dyDescent="0.25">
      <c r="A3" s="19" t="s">
        <v>50</v>
      </c>
    </row>
    <row r="5" spans="1:6" x14ac:dyDescent="0.25">
      <c r="A5" s="20" t="s">
        <v>51</v>
      </c>
      <c r="B5" s="20" t="s">
        <v>52</v>
      </c>
      <c r="C5" s="20" t="s">
        <v>53</v>
      </c>
      <c r="D5" s="20" t="s">
        <v>55</v>
      </c>
      <c r="E5" s="21" t="s">
        <v>55</v>
      </c>
      <c r="F5" s="20" t="s">
        <v>56</v>
      </c>
    </row>
    <row r="6" spans="1:6" x14ac:dyDescent="0.25">
      <c r="A6" s="20"/>
      <c r="B6" s="20"/>
      <c r="C6" s="20" t="s">
        <v>54</v>
      </c>
      <c r="D6" s="20" t="s">
        <v>3</v>
      </c>
      <c r="E6" s="21" t="s">
        <v>2</v>
      </c>
      <c r="F6" s="20" t="s">
        <v>57</v>
      </c>
    </row>
    <row r="7" spans="1:6" x14ac:dyDescent="0.25">
      <c r="A7" s="20">
        <v>1</v>
      </c>
      <c r="B7" s="20" t="s">
        <v>58</v>
      </c>
      <c r="C7" s="20">
        <v>91.275700000000001</v>
      </c>
      <c r="D7" s="20">
        <v>298.14999999999998</v>
      </c>
      <c r="E7" s="21">
        <f t="shared" ref="E7:E16" si="0">D7-273.15</f>
        <v>25</v>
      </c>
      <c r="F7" s="20">
        <v>1.0129999999999999</v>
      </c>
    </row>
    <row r="8" spans="1:6" x14ac:dyDescent="0.25">
      <c r="A8" s="20">
        <v>2</v>
      </c>
      <c r="B8" s="20" t="s">
        <v>58</v>
      </c>
      <c r="C8" s="20">
        <v>91.275700000000001</v>
      </c>
      <c r="D8" s="20">
        <v>603.73800000000006</v>
      </c>
      <c r="E8" s="21">
        <f t="shared" si="0"/>
        <v>330.58800000000008</v>
      </c>
      <c r="F8" s="20">
        <v>10.130000000000001</v>
      </c>
    </row>
    <row r="9" spans="1:6" x14ac:dyDescent="0.25">
      <c r="A9" s="20">
        <v>3</v>
      </c>
      <c r="B9" s="20" t="s">
        <v>58</v>
      </c>
      <c r="C9" s="20">
        <v>91.275700000000001</v>
      </c>
      <c r="D9" s="20">
        <v>850</v>
      </c>
      <c r="E9" s="21">
        <f t="shared" si="0"/>
        <v>576.85</v>
      </c>
      <c r="F9" s="20">
        <v>9.6229999999999993</v>
      </c>
    </row>
    <row r="10" spans="1:6" x14ac:dyDescent="0.25">
      <c r="A10" s="20">
        <v>4</v>
      </c>
      <c r="B10" s="20" t="s">
        <v>59</v>
      </c>
      <c r="C10" s="20">
        <v>92.917599999999993</v>
      </c>
      <c r="D10" s="20">
        <v>1520</v>
      </c>
      <c r="E10" s="21">
        <f t="shared" si="0"/>
        <v>1246.8499999999999</v>
      </c>
      <c r="F10" s="20">
        <v>9.1419999999999995</v>
      </c>
    </row>
    <row r="11" spans="1:6" x14ac:dyDescent="0.25">
      <c r="A11" s="20">
        <v>5</v>
      </c>
      <c r="B11" s="20" t="s">
        <v>59</v>
      </c>
      <c r="C11" s="20">
        <v>92.917599999999993</v>
      </c>
      <c r="D11" s="20">
        <v>1006.162</v>
      </c>
      <c r="E11" s="21">
        <f t="shared" si="0"/>
        <v>733.01200000000006</v>
      </c>
      <c r="F11" s="20">
        <v>1.099</v>
      </c>
    </row>
    <row r="12" spans="1:6" x14ac:dyDescent="0.25">
      <c r="A12" s="20">
        <v>6</v>
      </c>
      <c r="B12" s="20" t="s">
        <v>59</v>
      </c>
      <c r="C12" s="20">
        <v>92.917599999999993</v>
      </c>
      <c r="D12" s="20">
        <v>779.78399999999999</v>
      </c>
      <c r="E12" s="21">
        <f t="shared" si="0"/>
        <v>506.63400000000001</v>
      </c>
      <c r="F12" s="20">
        <v>1.0660000000000001</v>
      </c>
    </row>
    <row r="13" spans="1:6" x14ac:dyDescent="0.25">
      <c r="A13" s="20">
        <v>7</v>
      </c>
      <c r="B13" s="20" t="s">
        <v>59</v>
      </c>
      <c r="C13" s="20">
        <v>92.917599999999993</v>
      </c>
      <c r="D13" s="20">
        <v>426.89699999999999</v>
      </c>
      <c r="E13" s="21">
        <f t="shared" si="0"/>
        <v>153.74700000000001</v>
      </c>
      <c r="F13" s="20">
        <v>1.0129999999999999</v>
      </c>
    </row>
    <row r="14" spans="1:6" x14ac:dyDescent="0.25">
      <c r="A14" s="20">
        <v>8</v>
      </c>
      <c r="B14" s="20" t="s">
        <v>60</v>
      </c>
      <c r="C14" s="20">
        <v>14</v>
      </c>
      <c r="D14" s="20">
        <v>298.14999999999998</v>
      </c>
      <c r="E14" s="21">
        <f t="shared" si="0"/>
        <v>25</v>
      </c>
      <c r="F14" s="20">
        <v>20</v>
      </c>
    </row>
    <row r="15" spans="1:6" x14ac:dyDescent="0.25">
      <c r="A15" s="20">
        <v>9</v>
      </c>
      <c r="B15" s="20" t="s">
        <v>60</v>
      </c>
      <c r="C15" s="20">
        <v>14</v>
      </c>
      <c r="D15" s="20">
        <v>485.57</v>
      </c>
      <c r="E15" s="21">
        <f t="shared" si="0"/>
        <v>212.42000000000002</v>
      </c>
      <c r="F15" s="20">
        <v>20</v>
      </c>
    </row>
    <row r="16" spans="1:6" x14ac:dyDescent="0.25">
      <c r="A16" s="20">
        <v>10</v>
      </c>
      <c r="B16" s="20" t="s">
        <v>61</v>
      </c>
      <c r="C16" s="20">
        <v>1.6418999999999999</v>
      </c>
      <c r="D16" s="20">
        <v>298.14999999999998</v>
      </c>
      <c r="E16" s="21">
        <f t="shared" si="0"/>
        <v>25</v>
      </c>
      <c r="F16" s="20">
        <v>12</v>
      </c>
    </row>
    <row r="18" spans="1:7" x14ac:dyDescent="0.25">
      <c r="A18" s="20" t="s">
        <v>62</v>
      </c>
      <c r="B18" s="20"/>
      <c r="C18" s="22" t="s">
        <v>68</v>
      </c>
    </row>
    <row r="19" spans="1:7" x14ac:dyDescent="0.25">
      <c r="A19" s="20" t="s">
        <v>58</v>
      </c>
      <c r="B19" s="20">
        <v>28.649000000000001</v>
      </c>
      <c r="C19" s="22">
        <f>B24*KKH!$I$17+C24*KKH!$I$19+D24*KKH!$I$22+E24*KKH!$I$23+F24*KKH!$I$25</f>
        <v>28.648826980000003</v>
      </c>
    </row>
    <row r="20" spans="1:7" x14ac:dyDescent="0.25">
      <c r="A20" s="20" t="s">
        <v>59</v>
      </c>
      <c r="B20" s="20">
        <v>28.254000000000001</v>
      </c>
      <c r="C20" s="22">
        <f>B25*KKH!$I$17+C25*KKH!$I$19+D25*KKH!$I$22+E25*KKH!$I$23+F25*KKH!$I$25</f>
        <v>28.2556291</v>
      </c>
    </row>
    <row r="21" spans="1:7" x14ac:dyDescent="0.25">
      <c r="A21" s="20" t="s">
        <v>61</v>
      </c>
      <c r="B21" s="20">
        <v>16.042999999999999</v>
      </c>
      <c r="C21" s="22">
        <f>B26*KKH!$I$17+C26*KKH!$I$19+D26*KKH!$I$22+E26*KKH!$I$23+F26*KKH!$I$25</f>
        <v>16.0426</v>
      </c>
    </row>
    <row r="23" spans="1:7" x14ac:dyDescent="0.25">
      <c r="A23" s="20" t="s">
        <v>63</v>
      </c>
      <c r="B23" s="20" t="s">
        <v>64</v>
      </c>
      <c r="C23" s="20" t="s">
        <v>65</v>
      </c>
      <c r="D23" s="20" t="s">
        <v>66</v>
      </c>
      <c r="E23" s="20" t="s">
        <v>67</v>
      </c>
      <c r="F23" s="20" t="s">
        <v>69</v>
      </c>
      <c r="G23" t="s">
        <v>70</v>
      </c>
    </row>
    <row r="24" spans="1:7" x14ac:dyDescent="0.25">
      <c r="A24" s="20" t="s">
        <v>58</v>
      </c>
      <c r="B24" s="20">
        <v>0.77480000000000004</v>
      </c>
      <c r="C24" s="20">
        <v>0.2059</v>
      </c>
      <c r="D24" s="20">
        <v>2.9999999999999997E-4</v>
      </c>
      <c r="E24" s="20">
        <v>1.9E-2</v>
      </c>
      <c r="F24" s="20">
        <v>0</v>
      </c>
      <c r="G24">
        <f>SUM(B24:F24)</f>
        <v>1</v>
      </c>
    </row>
    <row r="25" spans="1:7" x14ac:dyDescent="0.25">
      <c r="A25" s="20" t="s">
        <v>59</v>
      </c>
      <c r="B25" s="20">
        <v>0.75070000000000003</v>
      </c>
      <c r="C25" s="20">
        <v>0.13719999999999999</v>
      </c>
      <c r="D25" s="20">
        <v>3.1399999999999997E-2</v>
      </c>
      <c r="E25" s="20">
        <v>8.0699999999999994E-2</v>
      </c>
      <c r="F25" s="20">
        <v>0</v>
      </c>
      <c r="G25">
        <f>SUM(B25:F25)</f>
        <v>1</v>
      </c>
    </row>
    <row r="26" spans="1:7" x14ac:dyDescent="0.25">
      <c r="A26" s="20" t="s">
        <v>61</v>
      </c>
      <c r="B26" s="20">
        <v>0</v>
      </c>
      <c r="C26" s="20">
        <v>0</v>
      </c>
      <c r="D26" s="20">
        <v>0</v>
      </c>
      <c r="E26" s="20">
        <v>0</v>
      </c>
      <c r="F26" s="20">
        <v>1</v>
      </c>
      <c r="G26">
        <f>SUM(B26:F26)</f>
        <v>1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D2" sqref="D2"/>
    </sheetView>
  </sheetViews>
  <sheetFormatPr baseColWidth="10" defaultRowHeight="15" x14ac:dyDescent="0.25"/>
  <cols>
    <col min="1" max="1" width="5" bestFit="1" customWidth="1"/>
    <col min="5" max="5" width="9.42578125" bestFit="1" customWidth="1"/>
    <col min="6" max="6" width="9.42578125" customWidth="1"/>
    <col min="7" max="7" width="9.42578125" bestFit="1" customWidth="1"/>
    <col min="8" max="8" width="9.42578125" customWidth="1"/>
    <col min="9" max="9" width="7.85546875" bestFit="1" customWidth="1"/>
    <col min="10" max="10" width="8.85546875" bestFit="1" customWidth="1"/>
  </cols>
  <sheetData>
    <row r="1" spans="1:9" x14ac:dyDescent="0.25">
      <c r="A1" t="s">
        <v>51</v>
      </c>
      <c r="B1" t="s">
        <v>52</v>
      </c>
      <c r="D1" t="s">
        <v>135</v>
      </c>
      <c r="E1" t="s">
        <v>132</v>
      </c>
      <c r="F1" t="s">
        <v>136</v>
      </c>
      <c r="G1" t="s">
        <v>133</v>
      </c>
      <c r="H1" t="s">
        <v>137</v>
      </c>
      <c r="I1" t="s">
        <v>134</v>
      </c>
    </row>
    <row r="2" spans="1:9" x14ac:dyDescent="0.25">
      <c r="A2">
        <v>1</v>
      </c>
      <c r="B2" t="s">
        <v>58</v>
      </c>
      <c r="C2">
        <f>CGAM!C7</f>
        <v>91.275700000000001</v>
      </c>
      <c r="D2">
        <f>E2/C2</f>
        <v>0</v>
      </c>
      <c r="E2">
        <v>0</v>
      </c>
      <c r="F2">
        <f>G2/C2</f>
        <v>0</v>
      </c>
      <c r="G2">
        <v>0</v>
      </c>
      <c r="H2">
        <f>I2/C2</f>
        <v>0</v>
      </c>
      <c r="I2">
        <v>0</v>
      </c>
    </row>
    <row r="3" spans="1:9" x14ac:dyDescent="0.25">
      <c r="A3">
        <v>2</v>
      </c>
      <c r="B3" t="s">
        <v>58</v>
      </c>
      <c r="C3">
        <f>CGAM!C8</f>
        <v>91.275700000000001</v>
      </c>
      <c r="D3">
        <f t="shared" ref="D3:D11" si="0">E3/C3</f>
        <v>0.30170352021403285</v>
      </c>
      <c r="E3">
        <v>27.5382</v>
      </c>
      <c r="F3">
        <f t="shared" ref="F3:F11" si="1">G3/C3</f>
        <v>0</v>
      </c>
      <c r="G3">
        <v>0</v>
      </c>
      <c r="H3">
        <f t="shared" ref="H3:H11" si="2">I3/C3</f>
        <v>0.30170352021403285</v>
      </c>
      <c r="I3">
        <v>27.5382</v>
      </c>
    </row>
    <row r="4" spans="1:9" x14ac:dyDescent="0.25">
      <c r="A4">
        <v>3</v>
      </c>
      <c r="B4" t="s">
        <v>58</v>
      </c>
      <c r="C4">
        <f>CGAM!C9</f>
        <v>91.275700000000001</v>
      </c>
      <c r="D4">
        <f t="shared" si="0"/>
        <v>0.45946949735800441</v>
      </c>
      <c r="E4">
        <v>41.938400000000001</v>
      </c>
      <c r="F4">
        <f t="shared" si="1"/>
        <v>0</v>
      </c>
      <c r="G4">
        <v>0</v>
      </c>
      <c r="H4">
        <f t="shared" si="2"/>
        <v>0.45946949735800441</v>
      </c>
      <c r="I4">
        <v>41.938400000000001</v>
      </c>
    </row>
    <row r="5" spans="1:9" x14ac:dyDescent="0.25">
      <c r="A5">
        <v>4</v>
      </c>
      <c r="B5" t="s">
        <v>59</v>
      </c>
      <c r="C5">
        <f>CGAM!C10</f>
        <v>92.917599999999993</v>
      </c>
      <c r="D5">
        <f t="shared" si="0"/>
        <v>1.0879241392373458</v>
      </c>
      <c r="E5">
        <v>101.0873</v>
      </c>
      <c r="F5">
        <f t="shared" si="1"/>
        <v>3.9443549984071909E-3</v>
      </c>
      <c r="G5">
        <v>0.36649999999999999</v>
      </c>
      <c r="H5">
        <f t="shared" si="2"/>
        <v>1.0918684942357531</v>
      </c>
      <c r="I5">
        <v>101.4538</v>
      </c>
    </row>
    <row r="6" spans="1:9" x14ac:dyDescent="0.25">
      <c r="A6">
        <v>5</v>
      </c>
      <c r="B6" t="s">
        <v>59</v>
      </c>
      <c r="C6">
        <f>CGAM!C11</f>
        <v>92.917599999999993</v>
      </c>
      <c r="D6">
        <f t="shared" si="0"/>
        <v>0.41343943450971615</v>
      </c>
      <c r="E6">
        <v>38.415799999999997</v>
      </c>
      <c r="F6">
        <f t="shared" si="1"/>
        <v>3.9443549984071909E-3</v>
      </c>
      <c r="G6">
        <v>0.36649999999999999</v>
      </c>
      <c r="H6">
        <f t="shared" si="2"/>
        <v>0.41738378950812333</v>
      </c>
      <c r="I6">
        <v>38.782299999999999</v>
      </c>
    </row>
    <row r="7" spans="1:9" x14ac:dyDescent="0.25">
      <c r="A7">
        <v>6</v>
      </c>
      <c r="B7" t="s">
        <v>59</v>
      </c>
      <c r="C7">
        <f>CGAM!C12</f>
        <v>92.917599999999993</v>
      </c>
      <c r="D7">
        <f t="shared" si="0"/>
        <v>0.23015123076790622</v>
      </c>
      <c r="E7">
        <v>21.385100000000001</v>
      </c>
      <c r="F7">
        <f t="shared" si="1"/>
        <v>3.9443549984071909E-3</v>
      </c>
      <c r="G7">
        <v>0.36649999999999999</v>
      </c>
      <c r="H7">
        <f t="shared" si="2"/>
        <v>0.2340955857663134</v>
      </c>
      <c r="I7">
        <v>21.7516</v>
      </c>
    </row>
    <row r="8" spans="1:9" x14ac:dyDescent="0.25">
      <c r="A8">
        <v>7</v>
      </c>
      <c r="B8" t="s">
        <v>59</v>
      </c>
      <c r="C8">
        <f>CGAM!C13</f>
        <v>92.917599999999993</v>
      </c>
      <c r="D8">
        <f t="shared" si="0"/>
        <v>2.5894986525695888E-2</v>
      </c>
      <c r="E8">
        <v>2.4060999999999999</v>
      </c>
      <c r="F8">
        <f t="shared" si="1"/>
        <v>3.9443549984071909E-3</v>
      </c>
      <c r="G8">
        <v>0.36649999999999999</v>
      </c>
      <c r="H8">
        <f t="shared" si="2"/>
        <v>2.9839341524103079E-2</v>
      </c>
      <c r="I8">
        <v>2.7726000000000002</v>
      </c>
    </row>
    <row r="9" spans="1:9" x14ac:dyDescent="0.25">
      <c r="A9">
        <v>8</v>
      </c>
      <c r="B9" t="s">
        <v>60</v>
      </c>
      <c r="C9">
        <f>CGAM!C14</f>
        <v>14</v>
      </c>
      <c r="D9">
        <f t="shared" si="0"/>
        <v>1.9E-3</v>
      </c>
      <c r="E9">
        <v>2.6599999999999999E-2</v>
      </c>
      <c r="F9">
        <f t="shared" si="1"/>
        <v>2.5000000000000001E-3</v>
      </c>
      <c r="G9">
        <v>3.5000000000000003E-2</v>
      </c>
      <c r="H9">
        <f t="shared" si="2"/>
        <v>4.4000000000000003E-3</v>
      </c>
      <c r="I9">
        <v>6.1600000000000002E-2</v>
      </c>
    </row>
    <row r="10" spans="1:9" x14ac:dyDescent="0.25">
      <c r="A10">
        <v>9</v>
      </c>
      <c r="B10" t="s">
        <v>60</v>
      </c>
      <c r="C10">
        <f>CGAM!C15</f>
        <v>14</v>
      </c>
      <c r="D10">
        <f t="shared" si="0"/>
        <v>0.91251428571428572</v>
      </c>
      <c r="E10">
        <v>12.7752</v>
      </c>
      <c r="F10">
        <f t="shared" si="1"/>
        <v>2.5000000000000001E-3</v>
      </c>
      <c r="G10">
        <v>3.5000000000000003E-2</v>
      </c>
      <c r="H10">
        <f t="shared" si="2"/>
        <v>0.91501428571428567</v>
      </c>
      <c r="I10">
        <v>12.8102</v>
      </c>
    </row>
    <row r="11" spans="1:9" x14ac:dyDescent="0.25">
      <c r="A11">
        <v>10</v>
      </c>
      <c r="B11" t="s">
        <v>61</v>
      </c>
      <c r="C11">
        <f>CGAM!C16</f>
        <v>1.6418999999999999</v>
      </c>
      <c r="D11">
        <f t="shared" si="0"/>
        <v>0.38193556245812782</v>
      </c>
      <c r="E11">
        <v>0.62709999999999999</v>
      </c>
      <c r="F11">
        <f t="shared" si="1"/>
        <v>51.38364090383093</v>
      </c>
      <c r="G11">
        <v>84.366799999999998</v>
      </c>
      <c r="H11">
        <f t="shared" si="2"/>
        <v>51.765576466289055</v>
      </c>
      <c r="I11">
        <v>84.993899999999996</v>
      </c>
    </row>
    <row r="16" spans="1:9" x14ac:dyDescent="0.25">
      <c r="B16" s="26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abSelected="1" workbookViewId="0">
      <selection activeCell="C9" sqref="C9"/>
    </sheetView>
  </sheetViews>
  <sheetFormatPr baseColWidth="10" defaultRowHeight="15" x14ac:dyDescent="0.25"/>
  <sheetData>
    <row r="1" spans="1:4" x14ac:dyDescent="0.25">
      <c r="A1" t="s">
        <v>140</v>
      </c>
    </row>
    <row r="3" spans="1:4" x14ac:dyDescent="0.25">
      <c r="A3" t="s">
        <v>138</v>
      </c>
      <c r="B3">
        <v>-4713.3</v>
      </c>
    </row>
    <row r="4" spans="1:4" x14ac:dyDescent="0.25">
      <c r="A4" t="s">
        <v>139</v>
      </c>
      <c r="B4">
        <v>4596.8999999999996</v>
      </c>
      <c r="C4">
        <f>(B4-B3)/CGAM!B19*CGAM!C7</f>
        <v>29662.292650354288</v>
      </c>
    </row>
    <row r="6" spans="1:4" x14ac:dyDescent="0.25">
      <c r="A6" t="s">
        <v>141</v>
      </c>
    </row>
    <row r="8" spans="1:4" x14ac:dyDescent="0.25">
      <c r="A8" t="s">
        <v>142</v>
      </c>
      <c r="B8">
        <v>9304.9</v>
      </c>
    </row>
    <row r="9" spans="1:4" x14ac:dyDescent="0.25">
      <c r="A9" t="s">
        <v>143</v>
      </c>
      <c r="B9">
        <v>-8839</v>
      </c>
      <c r="C9">
        <f>(B8-B9)/CGAM!B20*CGAM!C10</f>
        <v>59668.989970977556</v>
      </c>
      <c r="D9">
        <f>C9-C4</f>
        <v>30006.697320623269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workbookViewId="0">
      <selection sqref="A1:F10"/>
    </sheetView>
  </sheetViews>
  <sheetFormatPr baseColWidth="10" defaultRowHeight="15" x14ac:dyDescent="0.25"/>
  <cols>
    <col min="2" max="2" width="11.42578125" customWidth="1"/>
  </cols>
  <sheetData>
    <row r="1" spans="1:6" x14ac:dyDescent="0.25">
      <c r="A1" s="19" t="s">
        <v>71</v>
      </c>
    </row>
    <row r="3" spans="1:6" x14ac:dyDescent="0.25">
      <c r="A3" t="s">
        <v>72</v>
      </c>
    </row>
    <row r="4" spans="1:6" x14ac:dyDescent="0.25">
      <c r="A4" s="20" t="s">
        <v>73</v>
      </c>
      <c r="B4" s="20" t="s">
        <v>74</v>
      </c>
      <c r="C4" s="20" t="s">
        <v>75</v>
      </c>
      <c r="D4" s="23" t="s">
        <v>77</v>
      </c>
    </row>
    <row r="5" spans="1:6" x14ac:dyDescent="0.25">
      <c r="A5" s="20"/>
      <c r="B5" s="20">
        <f>850/10^3</f>
        <v>0.85</v>
      </c>
      <c r="C5" s="20">
        <f>1520/10^3</f>
        <v>1.52</v>
      </c>
      <c r="D5" s="23"/>
    </row>
    <row r="6" spans="1:6" x14ac:dyDescent="0.25">
      <c r="A6" s="21" t="s">
        <v>64</v>
      </c>
      <c r="B6" s="21">
        <f>10^3*(KKH!$B$17+KKH!$D$17*B$5+KKH!$E$17/2*B$5^2-KKH!$F$17*1/B$5+KKH!$G$17/3*B$5^3)</f>
        <v>16640.696752450978</v>
      </c>
      <c r="C6" s="21">
        <f>10^3*(KKH!$B$17+KKH!$D$17*C$5+KKH!$E$17/2*C$5^2-KKH!$F$17*1/C$5+KKH!$G$17/3*C$5^3)</f>
        <v>39084.572974035087</v>
      </c>
      <c r="D6" s="21">
        <f>C6-B6</f>
        <v>22443.876221584109</v>
      </c>
      <c r="F6" s="18" t="s">
        <v>82</v>
      </c>
    </row>
    <row r="7" spans="1:6" x14ac:dyDescent="0.25">
      <c r="A7" s="20" t="s">
        <v>64</v>
      </c>
      <c r="B7" s="20">
        <f>10^3*(KKH!$B$18+KKH!$D$18*B$5+KKH!$E$18/2*B$5^2-KKH!$F$18*1/B$5+KKH!$G$18/3*B$5^3)</f>
        <v>17072.32</v>
      </c>
      <c r="C7" s="20">
        <f>10^3*(KKH!$B$18+KKH!$D$18*C$5+KKH!$E$18/2*C$5^2-KKH!$F$18*1/C$5+KKH!$G$18/3*C$5^3)</f>
        <v>39348.767747368431</v>
      </c>
      <c r="D7" s="20">
        <f t="shared" ref="D7:D10" si="0">C7-B7</f>
        <v>22276.447747368431</v>
      </c>
    </row>
    <row r="8" spans="1:6" x14ac:dyDescent="0.25">
      <c r="A8" s="20" t="s">
        <v>65</v>
      </c>
      <c r="B8" s="20">
        <f>10^3*(KKH!$B$19+KKH!$D$19*B$5+KKH!$E$19/2*B$5^2-KKH!$F$19*1/B$5+KKH!$G$19/3*B$5^3)</f>
        <v>17539.998463235293</v>
      </c>
      <c r="C8" s="20">
        <f>10^3*(KKH!$B$19+KKH!$D$19*C$5+KKH!$E$19/2*C$5^2-KKH!$F$19*1/C$5+KKH!$G$19/3*C$5^3)</f>
        <v>41137.860119578945</v>
      </c>
      <c r="D8" s="20">
        <f t="shared" si="0"/>
        <v>23597.861656343652</v>
      </c>
    </row>
    <row r="9" spans="1:6" x14ac:dyDescent="0.25">
      <c r="A9" s="20" t="s">
        <v>66</v>
      </c>
      <c r="B9" s="20">
        <f>10^3*(KKH!$B$22+KKH!$D$22*B$5+KKH!$E$22/2*B$5^2-KKH!$F$22*1/B$5+KKH!$G$22/3*B$5^3)</f>
        <v>-367121.02470588236</v>
      </c>
      <c r="C9" s="20">
        <f>10^3*(KKH!$B$22+KKH!$D$22*C$5+KKH!$E$22/2*C$5^2-KKH!$F$22*1/C$5+KKH!$G$22/3*C$5^3)</f>
        <v>-330159.07903157896</v>
      </c>
      <c r="D9" s="20">
        <f t="shared" si="0"/>
        <v>36961.945674303395</v>
      </c>
    </row>
    <row r="10" spans="1:6" x14ac:dyDescent="0.25">
      <c r="A10" s="20" t="s">
        <v>76</v>
      </c>
      <c r="B10" s="20">
        <f>10^3*(KKH!$B$23+KKH!$D$23*B$5+KKH!$E$23/2*B$5^2-KKH!$F$23*1/B$5+KKH!$G$23/3*B$5^3)</f>
        <v>-221321.1916911765</v>
      </c>
      <c r="C10" s="20">
        <f>10^3*(KKH!$B$23+KKH!$D$23*C$5+KKH!$E$23/2*C$5^2-KKH!$F$23*1/C$5+KKH!$G$23/3*C$5^3)</f>
        <v>-192283.26732631581</v>
      </c>
      <c r="D10" s="20">
        <f t="shared" si="0"/>
        <v>29037.924364860693</v>
      </c>
    </row>
    <row r="12" spans="1:6" x14ac:dyDescent="0.25">
      <c r="A12" t="s">
        <v>87</v>
      </c>
    </row>
    <row r="13" spans="1:6" x14ac:dyDescent="0.25">
      <c r="A13" s="20"/>
      <c r="B13" s="20" t="s">
        <v>81</v>
      </c>
      <c r="C13" s="20"/>
      <c r="D13" s="20" t="s">
        <v>80</v>
      </c>
    </row>
    <row r="14" spans="1:6" x14ac:dyDescent="0.25">
      <c r="A14" s="20" t="s">
        <v>61</v>
      </c>
      <c r="B14" s="20">
        <f>CGAM!$D$16</f>
        <v>298.14999999999998</v>
      </c>
      <c r="C14" s="20">
        <f>CGAM!$D$16/10^3</f>
        <v>0.29814999999999997</v>
      </c>
      <c r="D14" s="20">
        <f>10^3*(KKH!$B$25+KKH!$D$25*C$14+KKH!$E$25/2*C$14^2-KKH!$F$25*1/C$14+KKH!$G$25/3*C$14^3)</f>
        <v>-74871.971532006879</v>
      </c>
    </row>
    <row r="15" spans="1:6" x14ac:dyDescent="0.25">
      <c r="A15" s="20" t="s">
        <v>65</v>
      </c>
      <c r="B15" s="20">
        <f>CGAM!$D$16</f>
        <v>298.14999999999998</v>
      </c>
      <c r="C15" s="20">
        <f>CGAM!$D$16/10^3</f>
        <v>0.29814999999999997</v>
      </c>
      <c r="D15" s="20">
        <f>10^3*(KKH!$B$19+KKH!$D$19*C$15+KKH!$E$19/2*C$15^2-KKH!$F$19*1/C$15+KKH!$G$19/3*C$15^3)</f>
        <v>-0.6992388108636276</v>
      </c>
      <c r="F15" s="18" t="s">
        <v>88</v>
      </c>
    </row>
    <row r="16" spans="1:6" x14ac:dyDescent="0.25">
      <c r="A16" s="20" t="s">
        <v>66</v>
      </c>
      <c r="B16" s="20">
        <f>CGAM!$D$16</f>
        <v>298.14999999999998</v>
      </c>
      <c r="C16" s="20">
        <f>CGAM!$D$16/10^3</f>
        <v>0.29814999999999997</v>
      </c>
      <c r="D16" s="20">
        <f>10^3*(KKH!$B$22+KKH!$D$22*C$16+KKH!$E$22/2*C$16^2-KKH!$F$22*1/C$16+KKH!$G$22/3*C$16^3)</f>
        <v>-393520.99342271435</v>
      </c>
    </row>
    <row r="17" spans="1:5" x14ac:dyDescent="0.25">
      <c r="A17" s="20" t="s">
        <v>76</v>
      </c>
      <c r="B17" s="20">
        <f>CGAM!$D$16</f>
        <v>298.14999999999998</v>
      </c>
      <c r="C17" s="20">
        <f>CGAM!$D$16/10^3</f>
        <v>0.29814999999999997</v>
      </c>
      <c r="D17" s="20">
        <f>10^3*(KKH!$B$23+KKH!$D$23*C$17+KKH!$E$23/2*C$17^2-KKH!$F$23*1/C$17+KKH!$G$23/3*C$17^3)</f>
        <v>-241854.53998521887</v>
      </c>
    </row>
    <row r="19" spans="1:5" x14ac:dyDescent="0.25">
      <c r="A19" s="20"/>
      <c r="B19" s="20" t="s">
        <v>86</v>
      </c>
    </row>
    <row r="20" spans="1:5" x14ac:dyDescent="0.25">
      <c r="A20" s="20" t="s">
        <v>61</v>
      </c>
      <c r="B20" s="20">
        <f>D14+D15-D16-2*D17</f>
        <v>802357.40262233443</v>
      </c>
    </row>
    <row r="22" spans="1:5" x14ac:dyDescent="0.25">
      <c r="A22" t="s">
        <v>83</v>
      </c>
    </row>
    <row r="23" spans="1:5" x14ac:dyDescent="0.25">
      <c r="A23" s="23" t="s">
        <v>84</v>
      </c>
      <c r="B23" s="20">
        <f>(CGAM!B24*D7+CGAM!C24*D8+CGAM!D24*D9+CGAM!E24*D10)/(D14-0.02*B20-(-2*C8+C9+2*C10))</f>
        <v>3.2122888972033976E-2</v>
      </c>
    </row>
    <row r="25" spans="1:5" x14ac:dyDescent="0.25">
      <c r="A25" t="s">
        <v>85</v>
      </c>
    </row>
    <row r="26" spans="1:5" x14ac:dyDescent="0.25">
      <c r="A26" s="20" t="s">
        <v>63</v>
      </c>
      <c r="B26" s="20" t="s">
        <v>64</v>
      </c>
      <c r="C26" s="20" t="s">
        <v>65</v>
      </c>
      <c r="D26" s="20" t="s">
        <v>66</v>
      </c>
      <c r="E26" s="20" t="s">
        <v>67</v>
      </c>
    </row>
    <row r="27" spans="1:5" x14ac:dyDescent="0.25">
      <c r="A27" s="20" t="s">
        <v>59</v>
      </c>
      <c r="B27" s="20">
        <f>CGAM!B24/(1+B23)</f>
        <v>0.75068580328809442</v>
      </c>
      <c r="C27" s="20">
        <f>(CGAM!C24-2*B23)/(1+B23)</f>
        <v>0.13724550009448561</v>
      </c>
      <c r="D27" s="20">
        <f>(CGAM!D24+B23)/(1+B23)</f>
        <v>3.1413787368213764E-2</v>
      </c>
      <c r="E27" s="20">
        <f>(CGAM!E24+2*B23)/(1+B23)</f>
        <v>8.0654909249206222E-2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topLeftCell="A3" workbookViewId="0">
      <selection activeCell="B34" sqref="B34"/>
    </sheetView>
  </sheetViews>
  <sheetFormatPr baseColWidth="10" defaultRowHeight="15" x14ac:dyDescent="0.25"/>
  <cols>
    <col min="2" max="2" width="12.42578125" bestFit="1" customWidth="1"/>
  </cols>
  <sheetData>
    <row r="1" spans="1:6" x14ac:dyDescent="0.25">
      <c r="A1" s="19" t="s">
        <v>89</v>
      </c>
    </row>
    <row r="3" spans="1:6" x14ac:dyDescent="0.25">
      <c r="A3" s="19" t="s">
        <v>95</v>
      </c>
    </row>
    <row r="5" spans="1:6" x14ac:dyDescent="0.25">
      <c r="A5" t="s">
        <v>72</v>
      </c>
    </row>
    <row r="6" spans="1:6" x14ac:dyDescent="0.25">
      <c r="A6" s="20" t="s">
        <v>73</v>
      </c>
      <c r="B6" s="20" t="s">
        <v>90</v>
      </c>
      <c r="C6" s="20" t="s">
        <v>74</v>
      </c>
      <c r="D6" s="23" t="s">
        <v>77</v>
      </c>
    </row>
    <row r="7" spans="1:6" x14ac:dyDescent="0.25">
      <c r="A7" s="20"/>
      <c r="B7" s="20">
        <f>603.738/10^3</f>
        <v>0.60373800000000011</v>
      </c>
      <c r="C7" s="20">
        <f>850/10^3</f>
        <v>0.85</v>
      </c>
      <c r="D7" s="23"/>
    </row>
    <row r="8" spans="1:6" x14ac:dyDescent="0.25">
      <c r="A8" s="21" t="s">
        <v>64</v>
      </c>
      <c r="B8" s="21">
        <f>10^3*(KKH!$B$17+KKH!$D$17*B$7+KKH!$E$17/2*B$7^2-KKH!$F$17*1/B$7+KKH!$G$17/3*B$7^3)</f>
        <v>9008.4607346094745</v>
      </c>
      <c r="C8" s="21">
        <f>10^3*(KKH!$B$17+KKH!$D$17*C$7+KKH!$E$17/2*C$7^2-KKH!$F$17*1/C$7+KKH!$G$17/3*C$7^3)</f>
        <v>16640.696752450978</v>
      </c>
      <c r="D8" s="21">
        <f>C8-B8</f>
        <v>7632.2360178415038</v>
      </c>
      <c r="F8" s="18" t="s">
        <v>82</v>
      </c>
    </row>
    <row r="9" spans="1:6" x14ac:dyDescent="0.25">
      <c r="A9" s="20" t="s">
        <v>64</v>
      </c>
      <c r="B9" s="20">
        <f>10^3*(KKH!$B$18+KKH!$D$18*B$7+KKH!$E$18/2*B$7^2-KKH!$F$18*1/B$7+KKH!$G$18/3*B$7^3)</f>
        <v>9240.3566741982959</v>
      </c>
      <c r="C9" s="20">
        <f>10^3*(KKH!$B$18+KKH!$D$18*C$7+KKH!$E$18/2*C$7^2-KKH!$F$18*1/C$7+KKH!$G$18/3*C$7^3)</f>
        <v>17072.32</v>
      </c>
      <c r="D9" s="20">
        <f t="shared" ref="D9:D12" si="0">C9-B9</f>
        <v>7831.9633258017038</v>
      </c>
    </row>
    <row r="10" spans="1:6" x14ac:dyDescent="0.25">
      <c r="A10" s="20" t="s">
        <v>65</v>
      </c>
      <c r="B10" s="20">
        <f>10^3*(KKH!$B$19+KKH!$D$19*B$7+KKH!$E$19/2*B$7^2-KKH!$F$19*1/B$7+KKH!$G$19/3*B$7^3)</f>
        <v>9422.9763798961212</v>
      </c>
      <c r="C10" s="20">
        <f>10^3*(KKH!$B$19+KKH!$D$19*C$7+KKH!$E$19/2*C$7^2-KKH!$F$19*1/C$7+KKH!$G$19/3*C$7^3)</f>
        <v>17539.998463235293</v>
      </c>
      <c r="D10" s="20">
        <f t="shared" si="0"/>
        <v>8117.0220833391722</v>
      </c>
    </row>
    <row r="11" spans="1:6" x14ac:dyDescent="0.25">
      <c r="A11" s="20" t="s">
        <v>66</v>
      </c>
      <c r="B11" s="20">
        <f>10^3*(KKH!$B$22+KKH!$D$22*B$7+KKH!$E$22/2*B$7^2-KKH!$F$22*1/B$7+KKH!$G$22/3*B$7^3)</f>
        <v>-379788.8418141143</v>
      </c>
      <c r="C11" s="20">
        <f>10^3*(KKH!$B$22+KKH!$D$22*C$7+KKH!$E$22/2*C$7^2-KKH!$F$22*1/C$7+KKH!$G$22/3*C$7^3)</f>
        <v>-367121.02470588236</v>
      </c>
      <c r="D11" s="20">
        <f t="shared" si="0"/>
        <v>12667.817108231946</v>
      </c>
    </row>
    <row r="12" spans="1:6" x14ac:dyDescent="0.25">
      <c r="A12" s="20" t="s">
        <v>76</v>
      </c>
      <c r="B12" s="20">
        <f>10^3*(KKH!$B$23+KKH!$D$23*B$7+KKH!$E$23/2*B$7^2-KKH!$F$23*1/B$7+KKH!$G$23/3*B$7^3)</f>
        <v>-230987.24689377131</v>
      </c>
      <c r="C12" s="20">
        <f>10^3*(KKH!$B$23+KKH!$D$23*C$7+KKH!$E$23/2*C$7^2-KKH!$F$23*1/C$7+KKH!$G$23/3*C$7^3)</f>
        <v>-221321.1916911765</v>
      </c>
      <c r="D12" s="20">
        <f t="shared" si="0"/>
        <v>9666.0552025948127</v>
      </c>
    </row>
    <row r="14" spans="1:6" x14ac:dyDescent="0.25">
      <c r="B14" t="s">
        <v>91</v>
      </c>
      <c r="C14" t="s">
        <v>92</v>
      </c>
    </row>
    <row r="15" spans="1:6" x14ac:dyDescent="0.25">
      <c r="B15">
        <f>B9*CGAM!B24+APH!B10*CGAM!C24+APH!B11*CGAM!D24+APH!B12*CGAM!E24</f>
        <v>4596.9248442635608</v>
      </c>
      <c r="C15">
        <f>C9*CGAM!B24+APH!C10*CGAM!C24+APH!C11*CGAM!D24+APH!C12*CGAM!E24</f>
        <v>12523.88027003603</v>
      </c>
      <c r="D15">
        <f>B15-C15</f>
        <v>-7926.9554257724694</v>
      </c>
    </row>
    <row r="16" spans="1:6" x14ac:dyDescent="0.25">
      <c r="A16" t="s">
        <v>93</v>
      </c>
      <c r="B16">
        <f>CGAM!C8/CGAM!B19</f>
        <v>3.1859995113267479</v>
      </c>
    </row>
    <row r="17" spans="1:6" x14ac:dyDescent="0.25">
      <c r="A17" t="s">
        <v>94</v>
      </c>
      <c r="B17" s="24">
        <f>B16*D15</f>
        <v>-25255.27611282</v>
      </c>
    </row>
    <row r="20" spans="1:6" x14ac:dyDescent="0.25">
      <c r="A20" s="19" t="s">
        <v>96</v>
      </c>
    </row>
    <row r="22" spans="1:6" x14ac:dyDescent="0.25">
      <c r="A22" t="s">
        <v>72</v>
      </c>
    </row>
    <row r="23" spans="1:6" x14ac:dyDescent="0.25">
      <c r="A23" s="20" t="s">
        <v>73</v>
      </c>
      <c r="B23" s="20" t="s">
        <v>97</v>
      </c>
      <c r="C23" s="20" t="s">
        <v>98</v>
      </c>
      <c r="D23" s="23" t="s">
        <v>77</v>
      </c>
    </row>
    <row r="24" spans="1:6" x14ac:dyDescent="0.25">
      <c r="A24" s="20"/>
      <c r="B24" s="20">
        <f>1006.162/10^3</f>
        <v>1.006162</v>
      </c>
      <c r="C24" s="20">
        <f>779.784/10^3</f>
        <v>0.77978400000000003</v>
      </c>
      <c r="D24" s="23"/>
    </row>
    <row r="25" spans="1:6" x14ac:dyDescent="0.25">
      <c r="A25" s="21" t="s">
        <v>64</v>
      </c>
      <c r="B25" s="21">
        <f>10^3*(KKH!$B$17+KKH!$D$17*B$24+KKH!$E$17/2*B$24^2-KKH!$F$17*1/B$24+KKH!$G$17/3*B$24^3)</f>
        <v>21669.911831351379</v>
      </c>
      <c r="C25" s="21">
        <f>10^3*(KKH!$B$17+KKH!$D$17*C$24+KKH!$E$17/2*C$24^2-KKH!$F$17*1/C$24+KKH!$G$17/3*C$24^3)</f>
        <v>14426.377429654493</v>
      </c>
      <c r="D25" s="21">
        <f>C25-B25</f>
        <v>-7243.5344016968866</v>
      </c>
      <c r="F25" s="18" t="s">
        <v>82</v>
      </c>
    </row>
    <row r="26" spans="1:6" x14ac:dyDescent="0.25">
      <c r="A26" s="20" t="s">
        <v>64</v>
      </c>
      <c r="B26" s="20">
        <f>10^3*(KKH!$B$18+KKH!$D$18*B$24+KKH!$E$18/2*B$24^2-KKH!$F$18*1/B$24+KKH!$G$18/3*B$24^3)</f>
        <v>22147.702567723984</v>
      </c>
      <c r="C26" s="20">
        <f>10^3*(KKH!$B$18+KKH!$D$18*C$24+KKH!$E$18/2*C$24^2-KKH!$F$18*1/C$24+KKH!$G$18/3*C$24^3)</f>
        <v>14816.138683801721</v>
      </c>
      <c r="D26" s="20">
        <f t="shared" ref="D26:D29" si="1">C26-B26</f>
        <v>-7331.5638839222629</v>
      </c>
    </row>
    <row r="27" spans="1:6" x14ac:dyDescent="0.25">
      <c r="A27" s="20" t="s">
        <v>65</v>
      </c>
      <c r="B27" s="20">
        <f>10^3*(KKH!$B$19+KKH!$D$19*B$24+KKH!$E$19/2*B$24^2-KKH!$F$19*1/B$24+KKH!$G$19/3*B$24^3)</f>
        <v>22860.748875317902</v>
      </c>
      <c r="C27" s="20">
        <f>10^3*(KKH!$B$19+KKH!$D$19*C$24+KKH!$E$19/2*C$24^2-KKH!$F$19*1/C$24+KKH!$G$19/3*C$24^3)</f>
        <v>15189.258305009689</v>
      </c>
      <c r="D27" s="20">
        <f t="shared" si="1"/>
        <v>-7671.4905703082131</v>
      </c>
    </row>
    <row r="28" spans="1:6" x14ac:dyDescent="0.25">
      <c r="A28" s="20" t="s">
        <v>66</v>
      </c>
      <c r="B28" s="20">
        <f>10^3*(KKH!$B$22+KKH!$D$22*B$24+KKH!$E$22/2*B$24^2-KKH!$F$22*1/B$24+KKH!$G$22/3*B$24^3)</f>
        <v>-358771.94726229954</v>
      </c>
      <c r="C28" s="20">
        <f>10^3*(KKH!$B$22+KKH!$D$22*C$24+KKH!$E$22/2*C$24^2-KKH!$F$22*1/C$24+KKH!$G$22/3*C$24^3)</f>
        <v>-370805.33885048243</v>
      </c>
      <c r="D28" s="20">
        <f t="shared" si="1"/>
        <v>-12033.391588182887</v>
      </c>
    </row>
    <row r="29" spans="1:6" x14ac:dyDescent="0.25">
      <c r="A29" s="20" t="s">
        <v>76</v>
      </c>
      <c r="B29" s="20">
        <f>10^3*(KKH!$B$23+KKH!$D$23*B$24+KKH!$E$23/2*B$24^2-KKH!$F$23*1/B$24+KKH!$G$23/3*B$24^3)</f>
        <v>-214893.80054660951</v>
      </c>
      <c r="C29" s="20">
        <f>10^3*(KKH!$B$23+KKH!$D$23*C$24+KKH!$E$23/2*C$24^2-KKH!$F$23*1/C$24+KKH!$G$23/3*C$24^3)</f>
        <v>-224138.77597334355</v>
      </c>
      <c r="D29" s="20">
        <f t="shared" si="1"/>
        <v>-9244.9754267340468</v>
      </c>
    </row>
    <row r="31" spans="1:6" x14ac:dyDescent="0.25">
      <c r="B31" t="s">
        <v>99</v>
      </c>
      <c r="C31" t="s">
        <v>100</v>
      </c>
    </row>
    <row r="32" spans="1:6" x14ac:dyDescent="0.25">
      <c r="B32">
        <f>B26*CGAM!B25+APH!B27*CGAM!C25+APH!B28*CGAM!D25+APH!B29*CGAM!E25</f>
        <v>-8844.5937848635804</v>
      </c>
      <c r="C32">
        <f>C26*CGAM!B25+APH!C27*CGAM!C25+APH!C28*CGAM!D25+APH!C29*CGAM!E25</f>
        <v>-16524.84531157669</v>
      </c>
      <c r="D32">
        <f>B32-C32</f>
        <v>7680.2515267131093</v>
      </c>
    </row>
    <row r="33" spans="1:2" x14ac:dyDescent="0.25">
      <c r="A33" t="s">
        <v>101</v>
      </c>
      <c r="B33">
        <f>CGAM!C11/CGAM!B20</f>
        <v>3.2886529340978266</v>
      </c>
    </row>
    <row r="34" spans="1:2" x14ac:dyDescent="0.25">
      <c r="A34" t="s">
        <v>101</v>
      </c>
      <c r="B34" s="24">
        <f>B33*D32</f>
        <v>25257.681717934378</v>
      </c>
    </row>
  </sheetData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5"/>
  <sheetViews>
    <sheetView topLeftCell="A14" workbookViewId="0">
      <selection activeCell="K26" sqref="K26"/>
    </sheetView>
  </sheetViews>
  <sheetFormatPr baseColWidth="10" defaultRowHeight="15" x14ac:dyDescent="0.25"/>
  <sheetData>
    <row r="1" spans="1:6" x14ac:dyDescent="0.25">
      <c r="A1" s="19" t="s">
        <v>102</v>
      </c>
    </row>
    <row r="3" spans="1:6" x14ac:dyDescent="0.25">
      <c r="A3" s="19" t="s">
        <v>96</v>
      </c>
    </row>
    <row r="5" spans="1:6" x14ac:dyDescent="0.25">
      <c r="A5" t="s">
        <v>72</v>
      </c>
    </row>
    <row r="6" spans="1:6" x14ac:dyDescent="0.25">
      <c r="A6" s="20" t="s">
        <v>73</v>
      </c>
      <c r="B6" s="20" t="s">
        <v>98</v>
      </c>
      <c r="C6" s="20" t="s">
        <v>103</v>
      </c>
      <c r="D6" s="23" t="s">
        <v>77</v>
      </c>
    </row>
    <row r="7" spans="1:6" x14ac:dyDescent="0.25">
      <c r="A7" s="20"/>
      <c r="B7" s="20">
        <f>779.784/10^3</f>
        <v>0.77978400000000003</v>
      </c>
      <c r="C7" s="20">
        <f>426.897/10^3</f>
        <v>0.42689699999999997</v>
      </c>
      <c r="D7" s="23"/>
    </row>
    <row r="8" spans="1:6" x14ac:dyDescent="0.25">
      <c r="A8" s="21" t="s">
        <v>64</v>
      </c>
      <c r="B8" s="21">
        <f>10^3*(KKH!$B$17+KKH!$D$17*B$7+KKH!$E$17/2*B$7^2-KKH!$F$17*1/B$7+KKH!$G$17/3*B$7^3)</f>
        <v>14426.377429654493</v>
      </c>
      <c r="C8" s="21">
        <f>10^3*(KKH!$B$17+KKH!$D$17*C$7+KKH!$E$17/2*C$7^2-KKH!$F$17*1/C$7+KKH!$G$17/3*C$7^3)</f>
        <v>3751.2848284789738</v>
      </c>
      <c r="D8" s="21">
        <f>C8-B8</f>
        <v>-10675.092601175518</v>
      </c>
      <c r="F8" s="18" t="s">
        <v>82</v>
      </c>
    </row>
    <row r="9" spans="1:6" x14ac:dyDescent="0.25">
      <c r="A9" s="20" t="s">
        <v>64</v>
      </c>
      <c r="B9" s="20">
        <f>10^3*(KKH!$B$18+KKH!$D$18*B$7+KKH!$E$18/2*B$7^2-KKH!$F$18*1/B$7+KKH!$G$18/3*B$7^3)</f>
        <v>14816.138683801721</v>
      </c>
      <c r="C9" s="20">
        <f>10^3*(KKH!$B$18+KKH!$D$18*C$7+KKH!$E$18/2*C$7^2-KKH!$F$18*1/C$7+KKH!$G$18/3*C$7^3)</f>
        <v>3792.6750907151463</v>
      </c>
      <c r="D9" s="20">
        <f t="shared" ref="D9:D12" si="0">C9-B9</f>
        <v>-11023.463593086573</v>
      </c>
    </row>
    <row r="10" spans="1:6" x14ac:dyDescent="0.25">
      <c r="A10" s="20" t="s">
        <v>65</v>
      </c>
      <c r="B10" s="20">
        <f>10^3*(KKH!$B$19+KKH!$D$19*B$7+KKH!$E$19/2*B$7^2-KKH!$F$19*1/B$7+KKH!$G$19/3*B$7^3)</f>
        <v>15189.258305009689</v>
      </c>
      <c r="C10" s="20">
        <f>10^3*(KKH!$B$19+KKH!$D$19*C$7+KKH!$E$19/2*C$7^2-KKH!$F$19*1/C$7+KKH!$G$19/3*C$7^3)</f>
        <v>3851.5865167163797</v>
      </c>
      <c r="D10" s="20">
        <f t="shared" si="0"/>
        <v>-11337.67178829331</v>
      </c>
    </row>
    <row r="11" spans="1:6" x14ac:dyDescent="0.25">
      <c r="A11" s="20" t="s">
        <v>66</v>
      </c>
      <c r="B11" s="20">
        <f>10^3*(KKH!$B$22+KKH!$D$22*B$7+KKH!$E$22/2*B$7^2-KKH!$F$22*1/B$7+KKH!$G$22/3*B$7^3)</f>
        <v>-370805.33885048243</v>
      </c>
      <c r="C11" s="20">
        <f>10^3*(KKH!$B$22+KKH!$D$22*C$7+KKH!$E$22/2*C$7^2-KKH!$F$22*1/C$7+KKH!$G$22/3*C$7^3)</f>
        <v>-388220.48464615172</v>
      </c>
      <c r="D11" s="20">
        <f t="shared" si="0"/>
        <v>-17415.14579566929</v>
      </c>
    </row>
    <row r="12" spans="1:6" x14ac:dyDescent="0.25">
      <c r="A12" s="20" t="s">
        <v>76</v>
      </c>
      <c r="B12" s="20">
        <f>10^3*(KKH!$B$23+KKH!$D$23*B$7+KKH!$E$23/2*B$7^2-KKH!$F$23*1/B$7+KKH!$G$23/3*B$7^3)</f>
        <v>-224138.77597334355</v>
      </c>
      <c r="C12" s="20">
        <f>10^3*(KKH!$B$23+KKH!$D$23*C$7+KKH!$E$23/2*C$7^2-KKH!$F$23*1/C$7+KKH!$G$23/3*C$7^3)</f>
        <v>-237490.64136262529</v>
      </c>
      <c r="D12" s="20">
        <f t="shared" si="0"/>
        <v>-13351.865389281738</v>
      </c>
    </row>
    <row r="14" spans="1:6" x14ac:dyDescent="0.25">
      <c r="B14" t="s">
        <v>100</v>
      </c>
      <c r="C14" t="s">
        <v>104</v>
      </c>
    </row>
    <row r="15" spans="1:6" x14ac:dyDescent="0.25">
      <c r="B15">
        <f>B9*CGAM!$B$25+B10*CGAM!$C$25+B11*CGAM!$D$25+B12*CGAM!$E$25</f>
        <v>-16524.84531157669</v>
      </c>
      <c r="C15">
        <f>C9*CGAM!$B$25+C10*CGAM!$C$25+C11*CGAM!$D$25+C12*CGAM!$E$25</f>
        <v>-27980.019115159674</v>
      </c>
      <c r="D15">
        <f>B15-C15</f>
        <v>11455.173803582984</v>
      </c>
    </row>
    <row r="16" spans="1:6" x14ac:dyDescent="0.25">
      <c r="A16" t="s">
        <v>105</v>
      </c>
      <c r="B16">
        <f>CGAM!$C$12/CGAM!$B$20</f>
        <v>3.2886529340978266</v>
      </c>
    </row>
    <row r="17" spans="1:17" x14ac:dyDescent="0.25">
      <c r="A17" t="s">
        <v>101</v>
      </c>
      <c r="B17" s="24">
        <f>B16*D15</f>
        <v>37672.09093975374</v>
      </c>
    </row>
    <row r="18" spans="1:17" x14ac:dyDescent="0.25">
      <c r="B18" s="25"/>
    </row>
    <row r="19" spans="1:17" x14ac:dyDescent="0.25">
      <c r="A19" t="s">
        <v>113</v>
      </c>
      <c r="B19" s="25">
        <v>1.17</v>
      </c>
    </row>
    <row r="20" spans="1:17" x14ac:dyDescent="0.25">
      <c r="A20" t="s">
        <v>117</v>
      </c>
      <c r="B20" s="25">
        <f>CGAM!D12-CGAM!D13</f>
        <v>352.887</v>
      </c>
    </row>
    <row r="21" spans="1:17" x14ac:dyDescent="0.25">
      <c r="A21" t="s">
        <v>114</v>
      </c>
      <c r="B21" s="25">
        <f>CGAM!C12*HRSG!B19*B20</f>
        <v>38363.613340103999</v>
      </c>
      <c r="D21" s="25"/>
    </row>
    <row r="23" spans="1:17" x14ac:dyDescent="0.25">
      <c r="A23" s="19" t="s">
        <v>106</v>
      </c>
      <c r="N23" s="19" t="s">
        <v>123</v>
      </c>
    </row>
    <row r="25" spans="1:17" x14ac:dyDescent="0.25">
      <c r="A25" t="s">
        <v>119</v>
      </c>
      <c r="N25" t="s">
        <v>72</v>
      </c>
    </row>
    <row r="26" spans="1:17" x14ac:dyDescent="0.25">
      <c r="N26" s="20" t="s">
        <v>73</v>
      </c>
      <c r="O26" s="20" t="s">
        <v>124</v>
      </c>
      <c r="P26" s="20" t="s">
        <v>103</v>
      </c>
      <c r="Q26" s="23" t="s">
        <v>77</v>
      </c>
    </row>
    <row r="27" spans="1:17" x14ac:dyDescent="0.25">
      <c r="D27" t="s">
        <v>111</v>
      </c>
      <c r="N27" s="20"/>
      <c r="O27" s="20">
        <f>526/10^3</f>
        <v>0.52600000000000002</v>
      </c>
      <c r="P27" s="20">
        <f>426.897/10^3</f>
        <v>0.42689699999999997</v>
      </c>
      <c r="Q27" s="23"/>
    </row>
    <row r="28" spans="1:17" x14ac:dyDescent="0.25">
      <c r="A28" t="s">
        <v>115</v>
      </c>
      <c r="D28" s="24">
        <f>B17/CGAM!C14</f>
        <v>2690.8636385538384</v>
      </c>
      <c r="N28" s="21" t="s">
        <v>64</v>
      </c>
      <c r="O28" s="21">
        <f>10^3*(KKH!$B$17+KKH!$D$17*O$27+KKH!$E$17/2*O$27^2-KKH!$F$17*1/O$27+KKH!$G$17/3*O$27^3)</f>
        <v>6676.4009086594169</v>
      </c>
      <c r="P28" s="21">
        <f>10^3*(KKH!$B$17+KKH!$D$17*P$27+KKH!$E$17/2*P$27^2-KKH!$F$17*1/P$27+KKH!$G$17/3*P$27^3)</f>
        <v>3751.2848284789738</v>
      </c>
      <c r="Q28" s="21">
        <f>P28-O28</f>
        <v>-2925.1160801804431</v>
      </c>
    </row>
    <row r="29" spans="1:17" x14ac:dyDescent="0.25">
      <c r="A29" t="s">
        <v>116</v>
      </c>
      <c r="D29">
        <f>B21/CGAM!C14</f>
        <v>2740.2580957217142</v>
      </c>
      <c r="N29" s="20" t="s">
        <v>64</v>
      </c>
      <c r="O29" s="20">
        <f>10^3*(KKH!$B$18+KKH!$D$18*O$27+KKH!$E$18/2*O$27^2-KKH!$F$18*1/O$27+KKH!$G$18/3*O$27^3)</f>
        <v>6822.2713548897354</v>
      </c>
      <c r="P29" s="20">
        <f>10^3*(KKH!$B$18+KKH!$D$18*P$27+KKH!$E$18/2*P$27^2-KKH!$F$18*1/P$27+KKH!$G$18/3*P$27^3)</f>
        <v>3792.6750907151463</v>
      </c>
      <c r="Q29" s="20">
        <f t="shared" ref="Q29:Q32" si="1">P29-O29</f>
        <v>-3029.5962641745891</v>
      </c>
    </row>
    <row r="30" spans="1:17" x14ac:dyDescent="0.25">
      <c r="N30" s="20" t="s">
        <v>65</v>
      </c>
      <c r="O30" s="20">
        <f>10^3*(KKH!$B$19+KKH!$D$19*O$27+KKH!$E$19/2*O$27^2-KKH!$F$19*1/O$27+KKH!$G$19/3*O$27^3)</f>
        <v>6942.4939076675601</v>
      </c>
      <c r="P30" s="20">
        <f>10^3*(KKH!$B$19+KKH!$D$19*P$27+KKH!$E$19/2*P$27^2-KKH!$F$19*1/P$27+KKH!$G$19/3*P$27^3)</f>
        <v>3851.5865167163797</v>
      </c>
      <c r="Q30" s="20">
        <f t="shared" si="1"/>
        <v>-3090.9073909511803</v>
      </c>
    </row>
    <row r="31" spans="1:17" x14ac:dyDescent="0.25">
      <c r="A31" t="s">
        <v>110</v>
      </c>
      <c r="C31" t="s">
        <v>111</v>
      </c>
      <c r="D31">
        <v>2690</v>
      </c>
      <c r="N31" s="20" t="s">
        <v>66</v>
      </c>
      <c r="O31" s="20">
        <f>10^3*(KKH!$B$22+KKH!$D$22*O$27+KKH!$E$22/2*O$27^2-KKH!$F$22*1/O$27+KKH!$G$22/3*O$27^3)</f>
        <v>-383595.63595060079</v>
      </c>
      <c r="P31" s="20">
        <f>10^3*(KKH!$B$22+KKH!$D$22*P$27+KKH!$E$22/2*P$27^2-KKH!$F$22*1/P$27+KKH!$G$22/3*P$27^3)</f>
        <v>-388220.48464615172</v>
      </c>
      <c r="Q31" s="20">
        <f t="shared" si="1"/>
        <v>-4624.8486955509288</v>
      </c>
    </row>
    <row r="32" spans="1:17" x14ac:dyDescent="0.25">
      <c r="N32" s="20" t="s">
        <v>76</v>
      </c>
      <c r="O32" s="20">
        <f>10^3*(KKH!$B$23+KKH!$D$23*O$27+KKH!$E$23/2*O$27^2-KKH!$F$23*1/O$27+KKH!$G$23/3*O$27^3)</f>
        <v>-233900.33323249433</v>
      </c>
      <c r="P32" s="20">
        <f>10^3*(KKH!$B$23+KKH!$D$23*P$27+KKH!$E$23/2*P$27^2-KKH!$F$23*1/P$27+KKH!$G$23/3*P$27^3)</f>
        <v>-237490.64136262529</v>
      </c>
      <c r="Q32" s="20">
        <f t="shared" si="1"/>
        <v>-3590.3081301309576</v>
      </c>
    </row>
    <row r="34" spans="1:17" x14ac:dyDescent="0.25">
      <c r="A34" t="s">
        <v>112</v>
      </c>
      <c r="O34" t="s">
        <v>125</v>
      </c>
      <c r="P34" t="s">
        <v>104</v>
      </c>
    </row>
    <row r="35" spans="1:17" x14ac:dyDescent="0.25">
      <c r="B35" t="s">
        <v>107</v>
      </c>
      <c r="C35" t="s">
        <v>108</v>
      </c>
      <c r="D35" t="s">
        <v>111</v>
      </c>
      <c r="O35">
        <f>O29*CGAM!$B$25+O30*CGAM!$C$25+O31*CGAM!$D$25+O32*CGAM!$E$25</f>
        <v>-24846.670590463444</v>
      </c>
      <c r="P35">
        <f>P29*CGAM!$B$25+P30*CGAM!$C$25+P31*CGAM!$D$25+P32*CGAM!$E$25</f>
        <v>-27980.019115159674</v>
      </c>
      <c r="Q35">
        <f>O35-P35</f>
        <v>3133.34852469623</v>
      </c>
    </row>
    <row r="36" spans="1:17" x14ac:dyDescent="0.25">
      <c r="B36">
        <v>-15866</v>
      </c>
      <c r="C36">
        <v>-13174</v>
      </c>
      <c r="D36">
        <f>B36-C36</f>
        <v>-2692</v>
      </c>
      <c r="N36" t="s">
        <v>105</v>
      </c>
      <c r="O36">
        <f>CGAM!$C$12/CGAM!$B$20</f>
        <v>3.2886529340978266</v>
      </c>
    </row>
    <row r="37" spans="1:17" x14ac:dyDescent="0.25">
      <c r="A37" t="s">
        <v>109</v>
      </c>
      <c r="B37">
        <f>CGAM!C15*D36</f>
        <v>-37688</v>
      </c>
      <c r="N37" t="s">
        <v>101</v>
      </c>
      <c r="O37" s="25">
        <f>O36*Q35</f>
        <v>10304.495819293354</v>
      </c>
    </row>
    <row r="39" spans="1:17" x14ac:dyDescent="0.25">
      <c r="A39" t="s">
        <v>118</v>
      </c>
      <c r="F39" t="s">
        <v>120</v>
      </c>
      <c r="N39" t="s">
        <v>118</v>
      </c>
      <c r="P39">
        <v>736.12533495242303</v>
      </c>
      <c r="Q39">
        <f>P39*CGAM!C14</f>
        <v>10305.754689333922</v>
      </c>
    </row>
    <row r="40" spans="1:17" x14ac:dyDescent="0.25">
      <c r="B40" t="s">
        <v>107</v>
      </c>
      <c r="C40" t="s">
        <v>108</v>
      </c>
      <c r="F40" t="s">
        <v>121</v>
      </c>
    </row>
    <row r="41" spans="1:17" x14ac:dyDescent="0.25">
      <c r="B41">
        <v>106.67698424832</v>
      </c>
      <c r="C41">
        <v>2798.2926031981001</v>
      </c>
      <c r="D41" s="24">
        <f>C41-B41</f>
        <v>2691.6156189497801</v>
      </c>
      <c r="F41" t="s">
        <v>122</v>
      </c>
      <c r="N41" s="19" t="s">
        <v>129</v>
      </c>
    </row>
    <row r="43" spans="1:17" x14ac:dyDescent="0.25">
      <c r="Q43" t="s">
        <v>130</v>
      </c>
    </row>
    <row r="44" spans="1:17" x14ac:dyDescent="0.25">
      <c r="N44" t="s">
        <v>131</v>
      </c>
      <c r="Q44">
        <f>(B17-O37)/CGAM!C14</f>
        <v>1954.8282228900275</v>
      </c>
    </row>
    <row r="45" spans="1:17" x14ac:dyDescent="0.25">
      <c r="N45" t="s">
        <v>118</v>
      </c>
      <c r="Q45">
        <v>1955.4902839973499</v>
      </c>
    </row>
  </sheetData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C10" sqref="C10"/>
    </sheetView>
  </sheetViews>
  <sheetFormatPr baseColWidth="10" defaultRowHeight="15" x14ac:dyDescent="0.25"/>
  <sheetData>
    <row r="1" spans="1:2" x14ac:dyDescent="0.25">
      <c r="A1" s="19" t="s">
        <v>126</v>
      </c>
    </row>
    <row r="2" spans="1:2" x14ac:dyDescent="0.25">
      <c r="A2" t="s">
        <v>128</v>
      </c>
      <c r="B2" t="s">
        <v>81</v>
      </c>
    </row>
    <row r="3" spans="1:2" x14ac:dyDescent="0.25">
      <c r="A3">
        <v>0</v>
      </c>
      <c r="B3">
        <f>CGAM!D13</f>
        <v>426.89699999999999</v>
      </c>
    </row>
    <row r="4" spans="1:2" x14ac:dyDescent="0.25">
      <c r="A4">
        <f>HRSG!O37</f>
        <v>10304.495819293354</v>
      </c>
      <c r="B4">
        <v>526</v>
      </c>
    </row>
    <row r="5" spans="1:2" x14ac:dyDescent="0.25">
      <c r="A5">
        <f>HRSG!O37</f>
        <v>10304.495819293354</v>
      </c>
      <c r="B5">
        <v>526</v>
      </c>
    </row>
    <row r="6" spans="1:2" x14ac:dyDescent="0.25">
      <c r="A6">
        <f>HRSG!B17</f>
        <v>37672.09093975374</v>
      </c>
      <c r="B6">
        <f>CGAM!D12</f>
        <v>779.78399999999999</v>
      </c>
    </row>
    <row r="9" spans="1:2" x14ac:dyDescent="0.25">
      <c r="A9" s="19" t="s">
        <v>127</v>
      </c>
    </row>
    <row r="10" spans="1:2" x14ac:dyDescent="0.25">
      <c r="A10" t="s">
        <v>128</v>
      </c>
      <c r="B10" t="s">
        <v>81</v>
      </c>
    </row>
    <row r="11" spans="1:2" x14ac:dyDescent="0.25">
      <c r="A11">
        <v>0</v>
      </c>
      <c r="B11">
        <f>CGAM!D14</f>
        <v>298.14999999999998</v>
      </c>
    </row>
    <row r="12" spans="1:2" x14ac:dyDescent="0.25">
      <c r="A12">
        <f>HRSG!O37</f>
        <v>10304.495819293354</v>
      </c>
      <c r="B12">
        <v>471</v>
      </c>
    </row>
    <row r="13" spans="1:2" x14ac:dyDescent="0.25">
      <c r="A13">
        <f>HRSG!O37</f>
        <v>10304.495819293354</v>
      </c>
      <c r="B13">
        <f>CGAM!D15</f>
        <v>485.57</v>
      </c>
    </row>
    <row r="14" spans="1:2" x14ac:dyDescent="0.25">
      <c r="A14">
        <f>HRSG!B17</f>
        <v>37672.09093975374</v>
      </c>
      <c r="B14">
        <f>CGAM!D15</f>
        <v>485.57</v>
      </c>
    </row>
  </sheetData>
  <pageMargins left="0.7" right="0.7" top="0.78740157499999996" bottom="0.78740157499999996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9"/>
  <sheetViews>
    <sheetView workbookViewId="0">
      <selection activeCell="I7" sqref="I7:P8"/>
    </sheetView>
  </sheetViews>
  <sheetFormatPr baseColWidth="10" defaultColWidth="11.42578125" defaultRowHeight="15" x14ac:dyDescent="0.25"/>
  <cols>
    <col min="1" max="7" width="15.7109375" style="2" customWidth="1"/>
    <col min="8" max="16384" width="11.42578125" style="2"/>
  </cols>
  <sheetData>
    <row r="1" spans="1:16" ht="21" x14ac:dyDescent="0.35">
      <c r="A1" s="10" t="s">
        <v>20</v>
      </c>
    </row>
    <row r="3" spans="1:16" x14ac:dyDescent="0.25">
      <c r="A3" s="2" t="s">
        <v>21</v>
      </c>
    </row>
    <row r="5" spans="1:16" x14ac:dyDescent="0.25">
      <c r="A5" s="3" t="s">
        <v>1</v>
      </c>
      <c r="B5" s="4">
        <v>126.85</v>
      </c>
      <c r="C5" s="2" t="s">
        <v>2</v>
      </c>
      <c r="I5" s="14" t="s">
        <v>39</v>
      </c>
    </row>
    <row r="6" spans="1:16" x14ac:dyDescent="0.25">
      <c r="A6" s="3" t="s">
        <v>1</v>
      </c>
      <c r="B6" s="11">
        <f>273.15+B5</f>
        <v>400</v>
      </c>
      <c r="C6" s="2" t="s">
        <v>3</v>
      </c>
    </row>
    <row r="7" spans="1:16" x14ac:dyDescent="0.25">
      <c r="I7" s="1" t="s">
        <v>40</v>
      </c>
      <c r="J7" s="7"/>
      <c r="K7" s="1" t="s">
        <v>43</v>
      </c>
      <c r="L7" s="1" t="s">
        <v>44</v>
      </c>
      <c r="M7" s="1" t="s">
        <v>45</v>
      </c>
      <c r="N7" s="1" t="s">
        <v>46</v>
      </c>
      <c r="O7" s="1" t="s">
        <v>47</v>
      </c>
      <c r="P7" s="1" t="s">
        <v>48</v>
      </c>
    </row>
    <row r="8" spans="1:16" x14ac:dyDescent="0.25">
      <c r="A8" s="3" t="s">
        <v>4</v>
      </c>
      <c r="B8" s="5">
        <f>B6/10^3</f>
        <v>0.4</v>
      </c>
      <c r="C8" s="2" t="s">
        <v>5</v>
      </c>
      <c r="I8" s="1" t="s">
        <v>41</v>
      </c>
      <c r="J8" s="1" t="s">
        <v>42</v>
      </c>
      <c r="K8" s="7">
        <v>1.0079</v>
      </c>
      <c r="L8" s="7">
        <v>4.0026000000000002</v>
      </c>
      <c r="M8" s="7">
        <v>12.010999999999999</v>
      </c>
      <c r="N8" s="1">
        <v>14.0067</v>
      </c>
      <c r="O8" s="1">
        <v>15.9994</v>
      </c>
      <c r="P8" s="1">
        <v>32.06</v>
      </c>
    </row>
    <row r="10" spans="1:16" x14ac:dyDescent="0.25">
      <c r="A10" s="6" t="s">
        <v>6</v>
      </c>
      <c r="B10" s="2">
        <v>8.3142999999999994</v>
      </c>
      <c r="C10" s="2" t="s">
        <v>7</v>
      </c>
    </row>
    <row r="12" spans="1:16" x14ac:dyDescent="0.25">
      <c r="A12" s="13" t="s">
        <v>8</v>
      </c>
      <c r="I12" s="14" t="s">
        <v>37</v>
      </c>
    </row>
    <row r="14" spans="1:16" x14ac:dyDescent="0.25">
      <c r="A14" s="12" t="s">
        <v>9</v>
      </c>
      <c r="B14" s="12" t="s">
        <v>10</v>
      </c>
      <c r="C14" s="12" t="s">
        <v>11</v>
      </c>
      <c r="D14" s="12" t="s">
        <v>12</v>
      </c>
      <c r="E14" s="12" t="s">
        <v>13</v>
      </c>
      <c r="F14" s="12" t="s">
        <v>14</v>
      </c>
      <c r="G14" s="12" t="s">
        <v>15</v>
      </c>
      <c r="I14" s="15" t="s">
        <v>38</v>
      </c>
    </row>
    <row r="15" spans="1:16" x14ac:dyDescent="0.25">
      <c r="A15" s="7" t="s">
        <v>16</v>
      </c>
      <c r="B15" s="8">
        <v>-2.101</v>
      </c>
      <c r="C15" s="8">
        <v>-6.54</v>
      </c>
      <c r="D15" s="8">
        <v>0.109</v>
      </c>
      <c r="E15" s="8">
        <v>38.94</v>
      </c>
      <c r="F15" s="8">
        <v>-0.14599999999999999</v>
      </c>
      <c r="G15" s="8">
        <v>-17.385000000000002</v>
      </c>
      <c r="I15" s="16">
        <f>M8</f>
        <v>12.010999999999999</v>
      </c>
    </row>
    <row r="16" spans="1:16" x14ac:dyDescent="0.25">
      <c r="A16" s="7" t="s">
        <v>17</v>
      </c>
      <c r="B16" s="8">
        <v>-5.242</v>
      </c>
      <c r="C16" s="8">
        <v>-59.014000000000003</v>
      </c>
      <c r="D16" s="8">
        <v>14.795</v>
      </c>
      <c r="E16" s="8">
        <v>24.074999999999999</v>
      </c>
      <c r="F16" s="8">
        <v>7.1000000000000008E-2</v>
      </c>
      <c r="G16" s="8">
        <v>0</v>
      </c>
      <c r="I16" s="16">
        <f>P8</f>
        <v>32.06</v>
      </c>
    </row>
    <row r="17" spans="1:11" x14ac:dyDescent="0.25">
      <c r="A17" s="7" t="s">
        <v>22</v>
      </c>
      <c r="B17" s="8">
        <v>-7.069</v>
      </c>
      <c r="C17" s="8">
        <v>51.539000000000001</v>
      </c>
      <c r="D17" s="8">
        <v>24.228999999999999</v>
      </c>
      <c r="E17" s="8">
        <v>10.521000000000001</v>
      </c>
      <c r="F17" s="8">
        <v>0.18</v>
      </c>
      <c r="G17" s="8">
        <v>-2.3149999999999999</v>
      </c>
      <c r="I17" s="16">
        <f>2*N8</f>
        <v>28.013400000000001</v>
      </c>
      <c r="K17" s="18" t="s">
        <v>78</v>
      </c>
    </row>
    <row r="18" spans="1:11" x14ac:dyDescent="0.25">
      <c r="A18" s="7" t="s">
        <v>22</v>
      </c>
      <c r="B18" s="8">
        <v>-9.9819999999999993</v>
      </c>
      <c r="C18" s="8">
        <v>16.202999999999999</v>
      </c>
      <c r="D18" s="8">
        <v>30.417999999999999</v>
      </c>
      <c r="E18" s="8">
        <v>2.544</v>
      </c>
      <c r="F18" s="8">
        <v>-0.23799999999999999</v>
      </c>
      <c r="G18" s="8">
        <v>0</v>
      </c>
      <c r="I18" s="16"/>
      <c r="K18" s="18" t="s">
        <v>79</v>
      </c>
    </row>
    <row r="19" spans="1:11" x14ac:dyDescent="0.25">
      <c r="A19" s="7" t="s">
        <v>23</v>
      </c>
      <c r="B19" s="8">
        <v>-9.5890000000000004</v>
      </c>
      <c r="C19" s="8">
        <v>36.116</v>
      </c>
      <c r="D19" s="8">
        <v>29.154</v>
      </c>
      <c r="E19" s="8">
        <v>6.4770000000000003</v>
      </c>
      <c r="F19" s="8">
        <v>-0.184</v>
      </c>
      <c r="G19" s="8">
        <v>-1.0169999999999999</v>
      </c>
      <c r="I19" s="17">
        <f>2*O8</f>
        <v>31.998799999999999</v>
      </c>
    </row>
    <row r="20" spans="1:11" x14ac:dyDescent="0.25">
      <c r="A20" s="7" t="s">
        <v>24</v>
      </c>
      <c r="B20" s="8">
        <v>-7.8230000000000004</v>
      </c>
      <c r="C20" s="8">
        <v>-22.966000000000001</v>
      </c>
      <c r="D20" s="8">
        <v>26.882000000000001</v>
      </c>
      <c r="E20" s="8">
        <v>3.5859999999999999</v>
      </c>
      <c r="F20" s="8">
        <v>0.105</v>
      </c>
      <c r="G20" s="8">
        <v>0</v>
      </c>
      <c r="I20" s="17">
        <f>2*K8</f>
        <v>2.0158</v>
      </c>
    </row>
    <row r="21" spans="1:11" x14ac:dyDescent="0.25">
      <c r="A21" s="7" t="s">
        <v>18</v>
      </c>
      <c r="B21" s="8">
        <v>-120.809</v>
      </c>
      <c r="C21" s="8">
        <v>18.937000000000001</v>
      </c>
      <c r="D21" s="8">
        <v>30.962</v>
      </c>
      <c r="E21" s="8">
        <v>2.4390000000000001</v>
      </c>
      <c r="F21" s="8">
        <v>-0.28000000000000003</v>
      </c>
      <c r="G21" s="8">
        <v>0</v>
      </c>
      <c r="I21" s="17">
        <f>M8+O8</f>
        <v>28.010399999999997</v>
      </c>
    </row>
    <row r="22" spans="1:11" x14ac:dyDescent="0.25">
      <c r="A22" s="7" t="s">
        <v>25</v>
      </c>
      <c r="B22" s="8">
        <v>-413.88600000000002</v>
      </c>
      <c r="C22" s="8">
        <v>-87.078000000000003</v>
      </c>
      <c r="D22" s="8">
        <v>51.128</v>
      </c>
      <c r="E22" s="8">
        <v>4.3680000000000003</v>
      </c>
      <c r="F22" s="8">
        <v>-1.4690000000000001</v>
      </c>
      <c r="G22" s="8">
        <v>0</v>
      </c>
      <c r="I22" s="17">
        <f>M8+2*O8</f>
        <v>44.009799999999998</v>
      </c>
    </row>
    <row r="23" spans="1:11" x14ac:dyDescent="0.25">
      <c r="A23" s="7" t="s">
        <v>26</v>
      </c>
      <c r="B23" s="8">
        <v>-253.87100000000001</v>
      </c>
      <c r="C23" s="8">
        <v>-11.75</v>
      </c>
      <c r="D23" s="8">
        <v>34.375999999999998</v>
      </c>
      <c r="E23" s="8">
        <v>7.8410000000000002</v>
      </c>
      <c r="F23" s="8">
        <v>-0.42299999999999999</v>
      </c>
      <c r="G23" s="8">
        <v>0</v>
      </c>
      <c r="I23" s="17">
        <f>2*K8+O8</f>
        <v>18.0152</v>
      </c>
    </row>
    <row r="24" spans="1:11" x14ac:dyDescent="0.25">
      <c r="A24" s="7" t="s">
        <v>27</v>
      </c>
      <c r="B24" s="8">
        <v>-289.93200000000002</v>
      </c>
      <c r="C24" s="8">
        <v>-67.147000000000006</v>
      </c>
      <c r="D24" s="8">
        <v>20.355</v>
      </c>
      <c r="E24" s="8">
        <v>109.19799999999999</v>
      </c>
      <c r="F24" s="8">
        <v>2.0329999999999999</v>
      </c>
      <c r="G24" s="8">
        <v>0</v>
      </c>
      <c r="I24" s="17">
        <f>2*K8+O8</f>
        <v>18.0152</v>
      </c>
    </row>
    <row r="25" spans="1:11" x14ac:dyDescent="0.25">
      <c r="A25" s="7" t="s">
        <v>28</v>
      </c>
      <c r="B25" s="8">
        <v>-81.242000000000004</v>
      </c>
      <c r="C25" s="8">
        <v>96.730999999999995</v>
      </c>
      <c r="D25" s="8">
        <v>11.933</v>
      </c>
      <c r="E25" s="8">
        <v>77.647000000000006</v>
      </c>
      <c r="F25" s="8">
        <v>0.14200000000000002</v>
      </c>
      <c r="G25" s="8">
        <v>-18.414000000000001</v>
      </c>
      <c r="I25" s="17">
        <f>M8+4*K8</f>
        <v>16.0426</v>
      </c>
    </row>
    <row r="26" spans="1:11" x14ac:dyDescent="0.25">
      <c r="A26" s="7" t="s">
        <v>29</v>
      </c>
      <c r="B26" s="8">
        <v>-101.393</v>
      </c>
      <c r="C26" s="8">
        <v>28.55</v>
      </c>
      <c r="D26" s="8">
        <v>28.187999999999999</v>
      </c>
      <c r="E26" s="8">
        <v>122.61199999999999</v>
      </c>
      <c r="F26" s="8">
        <v>-0.91200000000000003</v>
      </c>
      <c r="G26" s="8">
        <v>-27.835999999999999</v>
      </c>
      <c r="I26" s="17">
        <f>2*M8+6*K8</f>
        <v>30.069399999999998</v>
      </c>
      <c r="K26" s="18" t="s">
        <v>49</v>
      </c>
    </row>
    <row r="27" spans="1:11" x14ac:dyDescent="0.25">
      <c r="A27" s="7" t="s">
        <v>30</v>
      </c>
      <c r="B27" s="8">
        <v>-315.42200000000003</v>
      </c>
      <c r="C27" s="8">
        <v>-43.725000000000001</v>
      </c>
      <c r="D27" s="8">
        <v>49.936</v>
      </c>
      <c r="E27" s="8">
        <v>4.766</v>
      </c>
      <c r="F27" s="8">
        <v>-1.046</v>
      </c>
      <c r="G27" s="8">
        <v>0</v>
      </c>
      <c r="I27" s="17">
        <f>P8+2*O8</f>
        <v>64.058800000000005</v>
      </c>
    </row>
    <row r="28" spans="1:11" x14ac:dyDescent="0.25">
      <c r="A28" s="7" t="s">
        <v>31</v>
      </c>
      <c r="B28" s="8">
        <v>-32.887</v>
      </c>
      <c r="C28" s="8">
        <v>1.1419999999999999</v>
      </c>
      <c r="D28" s="8">
        <v>34.911000000000001</v>
      </c>
      <c r="E28" s="8">
        <v>10.686</v>
      </c>
      <c r="F28" s="8">
        <v>-0.44800000000000001</v>
      </c>
      <c r="G28" s="8">
        <v>0</v>
      </c>
      <c r="I28" s="17">
        <f>2*K8+P8</f>
        <v>34.075800000000001</v>
      </c>
    </row>
    <row r="29" spans="1:11" x14ac:dyDescent="0.25">
      <c r="A29" s="7" t="s">
        <v>32</v>
      </c>
      <c r="B29" s="8">
        <v>-60.244</v>
      </c>
      <c r="C29" s="8">
        <v>-29.402000000000001</v>
      </c>
      <c r="D29" s="8">
        <v>37.320999999999998</v>
      </c>
      <c r="E29" s="8">
        <v>18.661000000000001</v>
      </c>
      <c r="F29" s="8">
        <v>-0.64900000000000002</v>
      </c>
      <c r="G29" s="8">
        <v>0</v>
      </c>
      <c r="I29" s="17">
        <f>N8+3*K8</f>
        <v>17.0304</v>
      </c>
    </row>
    <row r="33" spans="1:5" x14ac:dyDescent="0.25">
      <c r="A33" s="13" t="s">
        <v>19</v>
      </c>
    </row>
    <row r="35" spans="1:5" ht="15.75" x14ac:dyDescent="0.25">
      <c r="A35" s="12" t="s">
        <v>9</v>
      </c>
      <c r="B35" s="12" t="s">
        <v>33</v>
      </c>
      <c r="C35" s="12" t="s">
        <v>34</v>
      </c>
      <c r="D35" s="12" t="s">
        <v>35</v>
      </c>
      <c r="E35" s="12" t="s">
        <v>36</v>
      </c>
    </row>
    <row r="36" spans="1:5" x14ac:dyDescent="0.25">
      <c r="A36" s="7" t="s">
        <v>16</v>
      </c>
      <c r="B36" s="7">
        <f>10^3*(B15+D15*$B$8+E15/2*$B$8^2-F15*1/$B$8+G15/3*$B$8^3)</f>
        <v>1051.9200000000005</v>
      </c>
      <c r="C36" s="8">
        <f>C15+D15*LN($B$6)+E15*$B$8-F15/(2*$B$8^2)+G15/2*$B$8^2</f>
        <v>8.7545196356347699</v>
      </c>
      <c r="D36" s="8">
        <f>D15+E15*$B$8+F15/$B$8^2+G15*$B$8^2</f>
        <v>11.9909</v>
      </c>
      <c r="E36" s="9">
        <f t="shared" ref="E36:E49" si="0">B36-$B$6*C36</f>
        <v>-2449.8878542539073</v>
      </c>
    </row>
    <row r="37" spans="1:5" x14ac:dyDescent="0.25">
      <c r="A37" s="7" t="s">
        <v>17</v>
      </c>
      <c r="B37" s="7">
        <f>10^3*(B16+D16*$B$8+E16/2*$B$8^2-F16*1/$B$8+G16/3*$B$8^3)</f>
        <v>2424.5</v>
      </c>
      <c r="C37" s="8">
        <f>C16+D16*LN($B$6)+E16*$B$8-F16/(2*$B$8^2)+G16/2*$B$8^2</f>
        <v>39.037842974462592</v>
      </c>
      <c r="D37" s="8">
        <f>D16+E16*$B$8+F16/$B$8^2+G16*$B$8^2</f>
        <v>24.868750000000002</v>
      </c>
      <c r="E37" s="9">
        <f t="shared" si="0"/>
        <v>-13190.637189785037</v>
      </c>
    </row>
    <row r="38" spans="1:5" x14ac:dyDescent="0.25">
      <c r="A38" s="7" t="s">
        <v>22</v>
      </c>
      <c r="B38" s="7">
        <f>10^3*(B17+D17*$B$8+E17/2*$B$8^2-F17*1/$B$8+G17/3*$B$8^3)</f>
        <v>2964.8933333333348</v>
      </c>
      <c r="C38" s="8">
        <f>C17+D17*LN($B$6)+E17*$B$8-F17/(2*$B$8^2)+G17/2*$B$8^2</f>
        <v>200.16689451187929</v>
      </c>
      <c r="D38" s="8">
        <f>D17+E17*$B$8+F17/$B$8^2+G17*$B$8^2</f>
        <v>29.192</v>
      </c>
      <c r="E38" s="9">
        <f t="shared" si="0"/>
        <v>-77101.864471418376</v>
      </c>
    </row>
    <row r="39" spans="1:5" x14ac:dyDescent="0.25">
      <c r="A39" s="7" t="s">
        <v>23</v>
      </c>
      <c r="B39" s="7">
        <f t="shared" ref="B39:B49" si="1">10^3*(B19+D19*$B$8+E19/2*$B$8^2-F19*1/$B$8+G19/3*$B$8^3)</f>
        <v>3029.0639999999994</v>
      </c>
      <c r="C39" s="8">
        <f t="shared" ref="C39:C49" si="2">C19+D19*LN($B$6)+E19*$B$8-F19/(2*$B$8^2)+G19/2*$B$8^2</f>
        <v>213.87559740638611</v>
      </c>
      <c r="D39" s="8">
        <f t="shared" ref="D39:D49" si="3">D19+E19*$B$8+F19/$B$8^2+G19*$B$8^2</f>
        <v>30.432080000000003</v>
      </c>
      <c r="E39" s="9">
        <f t="shared" si="0"/>
        <v>-82521.174962554447</v>
      </c>
    </row>
    <row r="40" spans="1:5" x14ac:dyDescent="0.25">
      <c r="A40" s="7" t="s">
        <v>24</v>
      </c>
      <c r="B40" s="7">
        <f t="shared" si="1"/>
        <v>2954.18</v>
      </c>
      <c r="C40" s="8">
        <f t="shared" si="2"/>
        <v>139.20282495535679</v>
      </c>
      <c r="D40" s="8">
        <f t="shared" si="3"/>
        <v>28.972650000000002</v>
      </c>
      <c r="E40" s="9">
        <f t="shared" si="0"/>
        <v>-52726.949982142716</v>
      </c>
    </row>
    <row r="41" spans="1:5" x14ac:dyDescent="0.25">
      <c r="A41" s="7" t="s">
        <v>18</v>
      </c>
      <c r="B41" s="7">
        <f t="shared" si="1"/>
        <v>-107529.07999999999</v>
      </c>
      <c r="C41" s="8">
        <f t="shared" si="2"/>
        <v>206.29532530755733</v>
      </c>
      <c r="D41" s="8">
        <f t="shared" si="3"/>
        <v>30.1876</v>
      </c>
      <c r="E41" s="9">
        <f t="shared" si="0"/>
        <v>-190047.2101230229</v>
      </c>
    </row>
    <row r="42" spans="1:5" x14ac:dyDescent="0.25">
      <c r="A42" s="7" t="s">
        <v>25</v>
      </c>
      <c r="B42" s="7">
        <f t="shared" si="1"/>
        <v>-389412.86</v>
      </c>
      <c r="C42" s="8">
        <f t="shared" si="2"/>
        <v>225.59142436453686</v>
      </c>
      <c r="D42" s="8">
        <f t="shared" si="3"/>
        <v>43.693950000000001</v>
      </c>
      <c r="E42" s="9">
        <f t="shared" si="0"/>
        <v>-479649.42974581476</v>
      </c>
    </row>
    <row r="43" spans="1:5" x14ac:dyDescent="0.25">
      <c r="A43" s="7" t="s">
        <v>26</v>
      </c>
      <c r="B43" s="7">
        <f t="shared" si="1"/>
        <v>-238435.82</v>
      </c>
      <c r="C43" s="8">
        <f t="shared" si="2"/>
        <v>198.67086027138399</v>
      </c>
      <c r="D43" s="8">
        <f t="shared" si="3"/>
        <v>34.868650000000002</v>
      </c>
      <c r="E43" s="9">
        <f t="shared" si="0"/>
        <v>-317904.16410855361</v>
      </c>
    </row>
    <row r="44" spans="1:5" x14ac:dyDescent="0.25">
      <c r="A44" s="7" t="s">
        <v>27</v>
      </c>
      <c r="B44" s="7">
        <f t="shared" si="1"/>
        <v>-278136.66000000003</v>
      </c>
      <c r="C44" s="8">
        <f t="shared" si="2"/>
        <v>92.135335856382966</v>
      </c>
      <c r="D44" s="8">
        <f t="shared" si="3"/>
        <v>76.740449999999996</v>
      </c>
      <c r="E44" s="9">
        <f t="shared" si="0"/>
        <v>-314990.79434255324</v>
      </c>
    </row>
    <row r="45" spans="1:5" x14ac:dyDescent="0.25">
      <c r="A45" s="7" t="s">
        <v>28</v>
      </c>
      <c r="B45" s="7">
        <f t="shared" si="1"/>
        <v>-71004.872000000003</v>
      </c>
      <c r="C45" s="8">
        <f t="shared" si="2"/>
        <v>197.36907644063959</v>
      </c>
      <c r="D45" s="8">
        <f t="shared" si="3"/>
        <v>40.933060000000005</v>
      </c>
      <c r="E45" s="9">
        <f t="shared" si="0"/>
        <v>-149952.50257625582</v>
      </c>
    </row>
    <row r="46" spans="1:5" x14ac:dyDescent="0.25">
      <c r="A46" s="7" t="s">
        <v>29</v>
      </c>
      <c r="B46" s="7">
        <f t="shared" si="1"/>
        <v>-78622.674666666673</v>
      </c>
      <c r="C46" s="8">
        <f t="shared" si="2"/>
        <v>247.1053226538798</v>
      </c>
      <c r="D46" s="8">
        <f t="shared" si="3"/>
        <v>67.079039999999992</v>
      </c>
      <c r="E46" s="9">
        <f t="shared" si="0"/>
        <v>-177464.8037282186</v>
      </c>
    </row>
    <row r="47" spans="1:5" x14ac:dyDescent="0.25">
      <c r="A47" s="7" t="s">
        <v>30</v>
      </c>
      <c r="B47" s="7">
        <f t="shared" si="1"/>
        <v>-292451.32</v>
      </c>
      <c r="C47" s="8">
        <f t="shared" si="2"/>
        <v>260.63992362438421</v>
      </c>
      <c r="D47" s="8">
        <f t="shared" si="3"/>
        <v>45.304899999999996</v>
      </c>
      <c r="E47" s="9">
        <f t="shared" si="0"/>
        <v>-396707.28944975371</v>
      </c>
    </row>
    <row r="48" spans="1:5" x14ac:dyDescent="0.25">
      <c r="A48" s="7" t="s">
        <v>31</v>
      </c>
      <c r="B48" s="7">
        <f t="shared" si="1"/>
        <v>-16947.719999999998</v>
      </c>
      <c r="C48" s="8">
        <f t="shared" si="2"/>
        <v>215.98441880408674</v>
      </c>
      <c r="D48" s="8">
        <f t="shared" si="3"/>
        <v>36.385400000000004</v>
      </c>
      <c r="E48" s="9">
        <f t="shared" si="0"/>
        <v>-103341.4875216347</v>
      </c>
    </row>
    <row r="49" spans="1:5" x14ac:dyDescent="0.25">
      <c r="A49" s="7" t="s">
        <v>32</v>
      </c>
      <c r="B49" s="7">
        <f t="shared" si="1"/>
        <v>-42200.22</v>
      </c>
      <c r="C49" s="8">
        <f t="shared" si="2"/>
        <v>203.69797336261695</v>
      </c>
      <c r="D49" s="8">
        <f t="shared" si="3"/>
        <v>40.729149999999997</v>
      </c>
      <c r="E49" s="9">
        <f t="shared" si="0"/>
        <v>-123679.40934504678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8</vt:i4>
      </vt:variant>
      <vt:variant>
        <vt:lpstr>Benannte Bereiche</vt:lpstr>
      </vt:variant>
      <vt:variant>
        <vt:i4>1</vt:i4>
      </vt:variant>
    </vt:vector>
  </HeadingPairs>
  <TitlesOfParts>
    <vt:vector size="9" baseType="lpstr">
      <vt:lpstr>CGAM</vt:lpstr>
      <vt:lpstr>Exergie</vt:lpstr>
      <vt:lpstr>Arbeit</vt:lpstr>
      <vt:lpstr>CC</vt:lpstr>
      <vt:lpstr>APH</vt:lpstr>
      <vt:lpstr>HRSG</vt:lpstr>
      <vt:lpstr>T-delatH-Diagramm</vt:lpstr>
      <vt:lpstr>KKH</vt:lpstr>
      <vt:lpstr>Exergie!cgam_tdo_exergy_rates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hofmann</dc:creator>
  <cp:lastModifiedBy>hofmann</cp:lastModifiedBy>
  <dcterms:created xsi:type="dcterms:W3CDTF">2022-01-26T11:39:50Z</dcterms:created>
  <dcterms:modified xsi:type="dcterms:W3CDTF">2022-02-21T16:00:41Z</dcterms:modified>
</cp:coreProperties>
</file>