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fmann\Documents\DC01-hofmann\2022-paper-ecos-tespy-chemical-exergy\Chemical-Exergy-in-TESPy\validation\h0s0-calculation\"/>
    </mc:Choice>
  </mc:AlternateContent>
  <bookViews>
    <workbookView xWindow="0" yWindow="0" windowWidth="29010" windowHeight="13470" activeTab="1"/>
  </bookViews>
  <sheets>
    <sheet name="FLASH" sheetId="1" r:id="rId1"/>
    <sheet name="h0s0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F23" i="3"/>
  <c r="F24" i="3"/>
  <c r="F25" i="3"/>
  <c r="F26" i="3"/>
  <c r="F21" i="3"/>
  <c r="J10" i="3"/>
  <c r="C21" i="1"/>
  <c r="C3" i="3"/>
  <c r="C36" i="1" l="1"/>
  <c r="C8" i="1"/>
  <c r="C7" i="1"/>
  <c r="C6" i="1"/>
  <c r="C9" i="1"/>
  <c r="E8" i="1" l="1"/>
  <c r="E7" i="1"/>
  <c r="E6" i="1"/>
  <c r="E9" i="1"/>
  <c r="C11" i="1"/>
  <c r="D11" i="1"/>
  <c r="C27" i="1"/>
  <c r="C18" i="1"/>
  <c r="C7" i="3"/>
  <c r="C9" i="3"/>
  <c r="C8" i="3"/>
  <c r="C10" i="3"/>
  <c r="C23" i="1"/>
  <c r="C37" i="1" l="1"/>
  <c r="C38" i="1" s="1"/>
  <c r="C39" i="1" s="1"/>
  <c r="K10" i="1" s="1"/>
  <c r="E11" i="1"/>
  <c r="A30" i="1"/>
  <c r="F9" i="3"/>
  <c r="D9" i="3" l="1"/>
  <c r="E9" i="3" s="1"/>
  <c r="C41" i="1"/>
  <c r="K11" i="1" s="1"/>
  <c r="K19" i="1"/>
  <c r="K9" i="1"/>
  <c r="K8" i="1"/>
  <c r="C11" i="3"/>
  <c r="F10" i="3"/>
  <c r="F8" i="3"/>
  <c r="F7" i="3"/>
  <c r="D11" i="3" l="1"/>
  <c r="E11" i="3" s="1"/>
  <c r="D7" i="3"/>
  <c r="E7" i="3" s="1"/>
  <c r="D8" i="3"/>
  <c r="E8" i="3" s="1"/>
  <c r="D10" i="3"/>
  <c r="E10" i="3" s="1"/>
  <c r="L11" i="1"/>
  <c r="L9" i="1"/>
  <c r="L8" i="1"/>
  <c r="K13" i="1"/>
  <c r="K26" i="1"/>
  <c r="K28" i="1" s="1"/>
  <c r="L19" i="1"/>
  <c r="L10" i="1"/>
  <c r="F11" i="3"/>
  <c r="C15" i="3" l="1"/>
  <c r="D15" i="3" s="1"/>
  <c r="L13" i="1"/>
  <c r="L26" i="1"/>
  <c r="L28" i="1" s="1"/>
</calcChain>
</file>

<file path=xl/sharedStrings.xml><?xml version="1.0" encoding="utf-8"?>
<sst xmlns="http://schemas.openxmlformats.org/spreadsheetml/2006/main" count="112" uniqueCount="82">
  <si>
    <t>FlashRoutine</t>
  </si>
  <si>
    <t>N2</t>
  </si>
  <si>
    <t xml:space="preserve">Molar Mass </t>
  </si>
  <si>
    <t>kg/mol</t>
  </si>
  <si>
    <t>O2</t>
  </si>
  <si>
    <t>CARBONDIOXIDE</t>
  </si>
  <si>
    <t>OXYGEN</t>
  </si>
  <si>
    <t>NITROGEN</t>
  </si>
  <si>
    <t>CO2</t>
  </si>
  <si>
    <t>WATER</t>
  </si>
  <si>
    <t>H2O</t>
  </si>
  <si>
    <t>Molar Fraction</t>
  </si>
  <si>
    <t>Mass Fraction</t>
  </si>
  <si>
    <t>mol/mol</t>
  </si>
  <si>
    <t>kg/kg</t>
  </si>
  <si>
    <t>K</t>
  </si>
  <si>
    <t>°C</t>
  </si>
  <si>
    <t>p^sat (T0)</t>
  </si>
  <si>
    <t>Vapour pressure</t>
  </si>
  <si>
    <t>Water</t>
  </si>
  <si>
    <t>Vapour quality</t>
  </si>
  <si>
    <t>Q</t>
  </si>
  <si>
    <t>Fluid</t>
  </si>
  <si>
    <t>bar</t>
  </si>
  <si>
    <t>OVERALL</t>
  </si>
  <si>
    <t>p_i,H2O</t>
  </si>
  <si>
    <t>p_0</t>
  </si>
  <si>
    <t>T_0</t>
  </si>
  <si>
    <t>Comment</t>
  </si>
  <si>
    <t>Amb. Temperature</t>
  </si>
  <si>
    <t>Amb. Pressure</t>
  </si>
  <si>
    <t>x_i,H2O * p_0</t>
  </si>
  <si>
    <t>M_i</t>
  </si>
  <si>
    <t>i</t>
  </si>
  <si>
    <t>x_i</t>
  </si>
  <si>
    <t>y_i</t>
  </si>
  <si>
    <t>Flash mixture to p_0</t>
  </si>
  <si>
    <t>Partial pressure, Water</t>
  </si>
  <si>
    <t>Condensation if p_i,H2O &gt; p^sat (T0)</t>
  </si>
  <si>
    <t>x'_i</t>
  </si>
  <si>
    <t>H2O(g)</t>
  </si>
  <si>
    <t>y'_i</t>
  </si>
  <si>
    <t>x_dry</t>
  </si>
  <si>
    <t>x_H2O(g)</t>
  </si>
  <si>
    <t>Dry components</t>
  </si>
  <si>
    <t>Water (gaseous)</t>
  </si>
  <si>
    <t>Water (liquid)</t>
  </si>
  <si>
    <t>x_H2O(l)</t>
  </si>
  <si>
    <t>x_gas</t>
  </si>
  <si>
    <t>Gaseous components</t>
  </si>
  <si>
    <t>Help factors for recalculation of composition</t>
  </si>
  <si>
    <t>Composition of gas mixture</t>
  </si>
  <si>
    <t>SUM x_i for all i neq H2O</t>
  </si>
  <si>
    <t>x_dry / ( p_0 / p^sat (T0) -1 )</t>
  </si>
  <si>
    <t>x_H2O - x_H2O(g)</t>
  </si>
  <si>
    <t>1 - x_H2O(l)</t>
  </si>
  <si>
    <t>H2O(l)</t>
  </si>
  <si>
    <t>under respect of flash routine</t>
  </si>
  <si>
    <t>SUM (liquid and gaseous phase)</t>
  </si>
  <si>
    <t>Corrected compostion</t>
  </si>
  <si>
    <t>Gaseous phase</t>
  </si>
  <si>
    <t>Liquid phase</t>
  </si>
  <si>
    <t>R</t>
  </si>
  <si>
    <t>Molar gas constant</t>
  </si>
  <si>
    <t>Reference pressure</t>
  </si>
  <si>
    <t>p_ref</t>
  </si>
  <si>
    <t>J/(mol K)</t>
  </si>
  <si>
    <t>Entropy</t>
  </si>
  <si>
    <t>s_molar</t>
  </si>
  <si>
    <t>Pa</t>
  </si>
  <si>
    <t>R * ln ((x'_i * p_0) / p_ref )</t>
  </si>
  <si>
    <t>s_i,molar (T_0, p_ref)</t>
  </si>
  <si>
    <t>s_i,molar (T_0,x'_i*p0)</t>
  </si>
  <si>
    <t>Water needs correction:</t>
  </si>
  <si>
    <t>calculated direct</t>
  </si>
  <si>
    <t>calculated indirect</t>
  </si>
  <si>
    <t>MIXTURE</t>
  </si>
  <si>
    <t>s_mass</t>
  </si>
  <si>
    <t>kJ/kg</t>
  </si>
  <si>
    <t>T</t>
  </si>
  <si>
    <t>s_mass (from Ebsilon)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</si>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</sst>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h0s0!$D$20</c:f>
              <c:strCache>
                <c:ptCount val="1"/>
                <c:pt idx="0">
                  <c:v>s_mass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h0s0!$C$21:$C$26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h0s0!$D$21:$D$26</c:f>
              <c:numCache>
                <c:formatCode>General</c:formatCode>
                <c:ptCount val="6"/>
                <c:pt idx="0">
                  <c:v>6.3942901713443119</c:v>
                </c:pt>
                <c:pt idx="1">
                  <c:v>6.4910744536227183</c:v>
                </c:pt>
                <c:pt idx="2">
                  <c:v>6.5523042213290301</c:v>
                </c:pt>
                <c:pt idx="3">
                  <c:v>6.8325916879972288</c:v>
                </c:pt>
                <c:pt idx="4">
                  <c:v>6.8674818695633144</c:v>
                </c:pt>
                <c:pt idx="5">
                  <c:v>6.8952434394823872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5-472A-B8DC-8FD7DA000549}"/>
            </c:ext>
          </c:extLst>
        </c:ser>
        <c:ser>
          <c:idx val="1"/>
          <c:order val="1"/>
          <c:tx>
            <c:strRef>
              <c:f>h0s0!$E$20</c:f>
              <c:strCache>
                <c:ptCount val="1"/>
                <c:pt idx="0">
                  <c:v>s_mass (from Ebsilon)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h0s0!$C$21:$C$26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h0s0!$E$21:$E$26</c:f>
              <c:numCache>
                <c:formatCode>0.0000000</c:formatCode>
                <c:ptCount val="6"/>
                <c:pt idx="0">
                  <c:v>6.6838544807649596</c:v>
                </c:pt>
                <c:pt idx="1">
                  <c:v>6.7806508473345302</c:v>
                </c:pt>
                <c:pt idx="2">
                  <c:v>6.84190435929239</c:v>
                </c:pt>
                <c:pt idx="3">
                  <c:v>6.9149803247617196</c:v>
                </c:pt>
                <c:pt idx="4">
                  <c:v>7.1106945940089004</c:v>
                </c:pt>
                <c:pt idx="5">
                  <c:v>7.1847184192726798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5-472A-B8DC-8FD7DA00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22720"/>
        <c:axId val="2081420640"/>
      </c:scatterChart>
      <c:valAx>
        <c:axId val="20814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420640"/>
        <c:crosses val="autoZero"/>
        <c:crossBetween val="midCat"/>
      </c:valAx>
      <c:valAx>
        <c:axId val="20814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4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13</xdr:row>
      <xdr:rowOff>73025</xdr:rowOff>
    </xdr:from>
    <xdr:to>
      <xdr:col>12</xdr:col>
      <xdr:colOff>231775</xdr:colOff>
      <xdr:row>28</xdr:row>
      <xdr:rowOff>53975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man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1SI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C18" sqref="C18"/>
    </sheetView>
  </sheetViews>
  <sheetFormatPr baseColWidth="10" defaultRowHeight="14.5" x14ac:dyDescent="0.35"/>
  <cols>
    <col min="1" max="1" width="20.7265625" customWidth="1"/>
    <col min="2" max="18" width="15.7265625" customWidth="1"/>
  </cols>
  <sheetData>
    <row r="1" spans="1:12" x14ac:dyDescent="0.35">
      <c r="A1" s="4" t="s">
        <v>51</v>
      </c>
      <c r="J1" s="4" t="s">
        <v>59</v>
      </c>
    </row>
    <row r="3" spans="1:12" x14ac:dyDescent="0.35">
      <c r="A3" s="1"/>
      <c r="B3" s="1"/>
      <c r="C3" s="3" t="s">
        <v>2</v>
      </c>
      <c r="D3" s="3" t="s">
        <v>11</v>
      </c>
      <c r="E3" s="3" t="s">
        <v>12</v>
      </c>
      <c r="J3" s="4" t="s">
        <v>60</v>
      </c>
    </row>
    <row r="4" spans="1:12" x14ac:dyDescent="0.35">
      <c r="A4" s="1"/>
      <c r="B4" s="1"/>
      <c r="C4" s="1" t="s">
        <v>3</v>
      </c>
      <c r="D4" s="1" t="s">
        <v>13</v>
      </c>
      <c r="E4" s="1" t="s">
        <v>14</v>
      </c>
    </row>
    <row r="5" spans="1:12" x14ac:dyDescent="0.35">
      <c r="A5" s="1"/>
      <c r="B5" s="1" t="s">
        <v>33</v>
      </c>
      <c r="C5" s="1" t="s">
        <v>32</v>
      </c>
      <c r="D5" s="1" t="s">
        <v>34</v>
      </c>
      <c r="E5" s="1" t="s">
        <v>35</v>
      </c>
      <c r="J5" s="1"/>
      <c r="K5" s="3" t="s">
        <v>11</v>
      </c>
      <c r="L5" s="3" t="s">
        <v>12</v>
      </c>
    </row>
    <row r="6" spans="1:12" x14ac:dyDescent="0.35">
      <c r="A6" s="1" t="s">
        <v>7</v>
      </c>
      <c r="B6" s="1" t="s">
        <v>1</v>
      </c>
      <c r="C6" s="1">
        <f>[1]!Props1SI("M",B6)</f>
        <v>2.801348E-2</v>
      </c>
      <c r="D6" s="2">
        <v>0.75070000000000003</v>
      </c>
      <c r="E6" s="1">
        <f>D6*C6/SUMPRODUCT($C$6:$C$9,$D$6:$D$9)</f>
        <v>0.74426481816341739</v>
      </c>
      <c r="J6" s="1"/>
      <c r="K6" s="1" t="s">
        <v>13</v>
      </c>
      <c r="L6" s="1" t="s">
        <v>14</v>
      </c>
    </row>
    <row r="7" spans="1:12" x14ac:dyDescent="0.35">
      <c r="A7" s="1" t="s">
        <v>6</v>
      </c>
      <c r="B7" s="1" t="s">
        <v>4</v>
      </c>
      <c r="C7" s="1">
        <f>[1]!Props1SI("M",B7)</f>
        <v>3.1998800000000001E-2</v>
      </c>
      <c r="D7" s="2">
        <v>0.13719999999999999</v>
      </c>
      <c r="E7" s="1">
        <f>D7*C7/SUMPRODUCT($C$6:$C$9,$D$6:$D$9)</f>
        <v>0.15537524082758308</v>
      </c>
      <c r="J7" s="1"/>
      <c r="K7" s="1" t="s">
        <v>39</v>
      </c>
      <c r="L7" s="1" t="s">
        <v>41</v>
      </c>
    </row>
    <row r="8" spans="1:12" x14ac:dyDescent="0.35">
      <c r="A8" s="1" t="s">
        <v>5</v>
      </c>
      <c r="B8" s="1" t="s">
        <v>8</v>
      </c>
      <c r="C8" s="1">
        <f>[1]!Props1SI("M",B8)</f>
        <v>4.4009800000000002E-2</v>
      </c>
      <c r="D8" s="2">
        <v>3.1399999999999997E-2</v>
      </c>
      <c r="E8" s="1">
        <f>D8*C8/SUMPRODUCT($C$6:$C$9,$D$6:$D$9)</f>
        <v>4.8907228699578476E-2</v>
      </c>
      <c r="J8" s="1" t="s">
        <v>1</v>
      </c>
      <c r="K8" s="1">
        <f>IF(C27&gt;C23,D6/C39,D6)</f>
        <v>0.79104615101922093</v>
      </c>
      <c r="L8" s="1">
        <f>K8*C6/SUMPRODUCT($C$6:$C$9,$K$8:$K$11)</f>
        <v>0.76928094093038235</v>
      </c>
    </row>
    <row r="9" spans="1:12" x14ac:dyDescent="0.35">
      <c r="A9" s="1" t="s">
        <v>9</v>
      </c>
      <c r="B9" s="1" t="s">
        <v>10</v>
      </c>
      <c r="C9" s="1">
        <f>[1]!Props1SI("M",B9)</f>
        <v>1.8015268000000001E-2</v>
      </c>
      <c r="D9" s="2">
        <v>8.0699999999999994E-2</v>
      </c>
      <c r="E9" s="1">
        <f>D9*C9/SUMPRODUCT($C$6:$C$9,$D$6:$D$9)</f>
        <v>5.1452712309421042E-2</v>
      </c>
      <c r="J9" s="1" t="s">
        <v>4</v>
      </c>
      <c r="K9" s="1">
        <f>IF(C27&gt;C23,D7/C39,D7)</f>
        <v>0.14457377370432542</v>
      </c>
      <c r="L9" s="1">
        <f t="shared" ref="L9:L11" si="0">K9*C7/SUMPRODUCT($C$6:$C$9,$K$8:$K$11)</f>
        <v>0.1605976912304935</v>
      </c>
    </row>
    <row r="10" spans="1:12" x14ac:dyDescent="0.35">
      <c r="J10" s="1" t="s">
        <v>8</v>
      </c>
      <c r="K10" s="1">
        <f>IF(C27&gt;C23,D8/C39,D8)</f>
        <v>3.3087583777812089E-2</v>
      </c>
      <c r="L10" s="1">
        <f t="shared" si="0"/>
        <v>5.0551091485353819E-2</v>
      </c>
    </row>
    <row r="11" spans="1:12" x14ac:dyDescent="0.35">
      <c r="A11" s="1" t="s">
        <v>24</v>
      </c>
      <c r="B11" s="1"/>
      <c r="C11" s="1">
        <f>SUMPRODUCT(C6:C9,D6:D9)</f>
        <v>2.8255694643600001E-2</v>
      </c>
      <c r="D11" s="1">
        <f>SUM(D6:D9)</f>
        <v>1</v>
      </c>
      <c r="E11" s="1">
        <f>SUM(E6:E9)</f>
        <v>1</v>
      </c>
      <c r="J11" s="1" t="s">
        <v>40</v>
      </c>
      <c r="K11" s="1">
        <f>IF(C27&gt;C23,C41/C39,C41)</f>
        <v>3.1292491498641557E-2</v>
      </c>
      <c r="L11" s="1">
        <f t="shared" si="0"/>
        <v>1.9570276353770257E-2</v>
      </c>
    </row>
    <row r="13" spans="1:12" x14ac:dyDescent="0.35">
      <c r="J13" s="1" t="s">
        <v>24</v>
      </c>
      <c r="K13" s="1">
        <f>SUM(K8:K11)</f>
        <v>1</v>
      </c>
      <c r="L13" s="1">
        <f>SUM(L8:L11)</f>
        <v>1</v>
      </c>
    </row>
    <row r="15" spans="1:12" x14ac:dyDescent="0.35">
      <c r="A15" s="4" t="s">
        <v>0</v>
      </c>
      <c r="F15" t="s">
        <v>28</v>
      </c>
    </row>
    <row r="17" spans="1:12" x14ac:dyDescent="0.35">
      <c r="A17" s="3" t="s">
        <v>29</v>
      </c>
      <c r="B17" s="1" t="s">
        <v>27</v>
      </c>
      <c r="C17" s="2">
        <v>25</v>
      </c>
      <c r="D17" s="1" t="s">
        <v>16</v>
      </c>
      <c r="J17" s="4" t="s">
        <v>61</v>
      </c>
    </row>
    <row r="18" spans="1:12" x14ac:dyDescent="0.35">
      <c r="A18" s="1"/>
      <c r="B18" s="1"/>
      <c r="C18" s="1">
        <f>C17+273.15</f>
        <v>298.14999999999998</v>
      </c>
      <c r="D18" s="1" t="s">
        <v>15</v>
      </c>
    </row>
    <row r="19" spans="1:12" x14ac:dyDescent="0.35">
      <c r="J19" s="1" t="s">
        <v>56</v>
      </c>
      <c r="K19" s="1">
        <f>IF(C27&gt;C23,C38,0)</f>
        <v>5.1003536225082483E-2</v>
      </c>
      <c r="L19" s="1">
        <f>K19*C9/SUMPRODUCT($C$6:$C$9,$K$8:$K$11)</f>
        <v>3.1897533598043072E-2</v>
      </c>
    </row>
    <row r="20" spans="1:12" x14ac:dyDescent="0.35">
      <c r="A20" s="3" t="s">
        <v>30</v>
      </c>
      <c r="B20" s="1" t="s">
        <v>26</v>
      </c>
      <c r="C20" s="2">
        <v>1.0129999999999999</v>
      </c>
      <c r="D20" s="1" t="s">
        <v>23</v>
      </c>
    </row>
    <row r="21" spans="1:12" x14ac:dyDescent="0.35">
      <c r="A21" s="3"/>
      <c r="B21" s="1"/>
      <c r="C21" s="5">
        <f>C20*100000</f>
        <v>101299.99999999999</v>
      </c>
      <c r="D21" s="5" t="s">
        <v>69</v>
      </c>
    </row>
    <row r="23" spans="1:12" x14ac:dyDescent="0.35">
      <c r="A23" s="3" t="s">
        <v>18</v>
      </c>
      <c r="B23" s="1" t="s">
        <v>17</v>
      </c>
      <c r="C23" s="1">
        <f>[1]!PropsSI("P","T",C18,"Q",C25,B24)*0.00001</f>
        <v>3.1699293888123897E-2</v>
      </c>
      <c r="D23" s="1" t="s">
        <v>23</v>
      </c>
    </row>
    <row r="24" spans="1:12" x14ac:dyDescent="0.35">
      <c r="A24" s="1" t="s">
        <v>22</v>
      </c>
      <c r="B24" s="1" t="s">
        <v>19</v>
      </c>
      <c r="C24" s="1"/>
      <c r="D24" s="1"/>
      <c r="J24" s="4" t="s">
        <v>58</v>
      </c>
    </row>
    <row r="25" spans="1:12" x14ac:dyDescent="0.35">
      <c r="A25" s="1" t="s">
        <v>20</v>
      </c>
      <c r="B25" s="1" t="s">
        <v>21</v>
      </c>
      <c r="C25" s="1">
        <v>1</v>
      </c>
      <c r="D25" s="1"/>
    </row>
    <row r="26" spans="1:12" x14ac:dyDescent="0.35">
      <c r="J26" s="1" t="s">
        <v>48</v>
      </c>
      <c r="K26" s="1">
        <f>1-K19</f>
        <v>0.94899646377491753</v>
      </c>
      <c r="L26" s="1">
        <f>1-L19</f>
        <v>0.96810246640195696</v>
      </c>
    </row>
    <row r="27" spans="1:12" x14ac:dyDescent="0.35">
      <c r="A27" s="1" t="s">
        <v>37</v>
      </c>
      <c r="B27" s="1" t="s">
        <v>25</v>
      </c>
      <c r="C27" s="1">
        <f>FLASH!D9*FLASH!C20</f>
        <v>8.1749099999999991E-2</v>
      </c>
      <c r="D27" s="1" t="s">
        <v>23</v>
      </c>
      <c r="F27" t="s">
        <v>31</v>
      </c>
    </row>
    <row r="28" spans="1:12" x14ac:dyDescent="0.35">
      <c r="J28" s="1" t="s">
        <v>24</v>
      </c>
      <c r="K28" s="1">
        <f>K19+K26</f>
        <v>1</v>
      </c>
      <c r="L28" s="1">
        <f>L19+L26</f>
        <v>1</v>
      </c>
    </row>
    <row r="29" spans="1:12" x14ac:dyDescent="0.35">
      <c r="A29" s="4" t="s">
        <v>36</v>
      </c>
      <c r="F29" t="s">
        <v>38</v>
      </c>
    </row>
    <row r="30" spans="1:12" x14ac:dyDescent="0.35">
      <c r="A30" t="str">
        <f>IF(C27&gt;C23,"Water condensates!","No condensation!")</f>
        <v>Water condensates!</v>
      </c>
    </row>
    <row r="34" spans="1:6" x14ac:dyDescent="0.35">
      <c r="A34" s="4" t="s">
        <v>50</v>
      </c>
    </row>
    <row r="35" spans="1:6" x14ac:dyDescent="0.35">
      <c r="A35" s="4"/>
    </row>
    <row r="36" spans="1:6" x14ac:dyDescent="0.35">
      <c r="A36" s="1" t="s">
        <v>44</v>
      </c>
      <c r="B36" s="1" t="s">
        <v>42</v>
      </c>
      <c r="C36" s="1">
        <f>SUM($D$6:$D$8)</f>
        <v>0.91930000000000001</v>
      </c>
      <c r="D36" s="1"/>
      <c r="F36" t="s">
        <v>52</v>
      </c>
    </row>
    <row r="37" spans="1:6" x14ac:dyDescent="0.35">
      <c r="A37" s="1" t="s">
        <v>45</v>
      </c>
      <c r="B37" s="1" t="s">
        <v>43</v>
      </c>
      <c r="C37" s="1">
        <f>IF(C27&gt;C23,C36/(C20/C23-1),D9)</f>
        <v>2.9696463774917508E-2</v>
      </c>
      <c r="D37" s="1"/>
      <c r="F37" t="s">
        <v>53</v>
      </c>
    </row>
    <row r="38" spans="1:6" x14ac:dyDescent="0.35">
      <c r="A38" s="1" t="s">
        <v>46</v>
      </c>
      <c r="B38" s="1" t="s">
        <v>47</v>
      </c>
      <c r="C38" s="1">
        <f>IF(C27&gt;C23,D9-C37,0)</f>
        <v>5.1003536225082483E-2</v>
      </c>
      <c r="D38" s="1"/>
      <c r="F38" t="s">
        <v>54</v>
      </c>
    </row>
    <row r="39" spans="1:6" x14ac:dyDescent="0.35">
      <c r="A39" s="1" t="s">
        <v>49</v>
      </c>
      <c r="B39" s="1" t="s">
        <v>48</v>
      </c>
      <c r="C39" s="1">
        <f>1-C38</f>
        <v>0.94899646377491753</v>
      </c>
      <c r="D39" s="1"/>
      <c r="F39" t="s">
        <v>55</v>
      </c>
    </row>
    <row r="41" spans="1:6" x14ac:dyDescent="0.35">
      <c r="A41" s="1" t="s">
        <v>45</v>
      </c>
      <c r="B41" s="1" t="s">
        <v>43</v>
      </c>
      <c r="C41" s="1">
        <f>IF(C27&gt;C23,C37,D9)</f>
        <v>2.9696463774917508E-2</v>
      </c>
      <c r="D41" s="1"/>
      <c r="F41" t="s">
        <v>57</v>
      </c>
    </row>
  </sheetData>
  <conditionalFormatting sqref="A30">
    <cfRule type="containsText" dxfId="1" priority="1" operator="containsText" text="No condensation!">
      <formula>NOT(ISERROR(SEARCH("No condensation!",A30)))</formula>
    </cfRule>
    <cfRule type="containsText" dxfId="0" priority="2" operator="containsText" text="Water condensates!">
      <formula>NOT(ISERROR(SEARCH("Water condensates!",A30)))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abSelected="1" workbookViewId="0">
      <selection activeCell="E18" sqref="E18"/>
    </sheetView>
  </sheetViews>
  <sheetFormatPr baseColWidth="10" defaultRowHeight="14.5" x14ac:dyDescent="0.35"/>
  <cols>
    <col min="1" max="1" width="20.6328125" customWidth="1"/>
    <col min="3" max="3" width="18.36328125" customWidth="1"/>
    <col min="4" max="4" width="23.54296875" customWidth="1"/>
    <col min="5" max="5" width="19.90625" customWidth="1"/>
    <col min="6" max="6" width="21.36328125" customWidth="1"/>
    <col min="10" max="10" width="11.81640625" bestFit="1" customWidth="1"/>
  </cols>
  <sheetData>
    <row r="1" spans="1:10" x14ac:dyDescent="0.35">
      <c r="A1" t="s">
        <v>63</v>
      </c>
      <c r="B1" t="s">
        <v>62</v>
      </c>
      <c r="C1">
        <v>8.3145100000000003</v>
      </c>
      <c r="D1" t="s">
        <v>66</v>
      </c>
    </row>
    <row r="2" spans="1:10" x14ac:dyDescent="0.35">
      <c r="A2" t="s">
        <v>64</v>
      </c>
      <c r="B2" t="s">
        <v>65</v>
      </c>
      <c r="C2">
        <v>1.01325</v>
      </c>
      <c r="D2" t="s">
        <v>23</v>
      </c>
    </row>
    <row r="3" spans="1:10" x14ac:dyDescent="0.35">
      <c r="C3">
        <f>C2*100000</f>
        <v>101325</v>
      </c>
      <c r="D3" t="s">
        <v>69</v>
      </c>
    </row>
    <row r="5" spans="1:10" x14ac:dyDescent="0.35">
      <c r="A5" s="4" t="s">
        <v>67</v>
      </c>
      <c r="C5" s="7" t="s">
        <v>75</v>
      </c>
      <c r="D5" s="7"/>
      <c r="E5" s="7"/>
      <c r="F5" s="8" t="s">
        <v>74</v>
      </c>
    </row>
    <row r="6" spans="1:10" x14ac:dyDescent="0.35">
      <c r="A6" s="1"/>
      <c r="B6" s="1" t="s">
        <v>33</v>
      </c>
      <c r="C6" s="3" t="s">
        <v>71</v>
      </c>
      <c r="D6" s="3" t="s">
        <v>70</v>
      </c>
      <c r="E6" s="3" t="s">
        <v>72</v>
      </c>
      <c r="F6" s="3" t="s">
        <v>72</v>
      </c>
    </row>
    <row r="7" spans="1:10" x14ac:dyDescent="0.35">
      <c r="A7" s="1" t="s">
        <v>7</v>
      </c>
      <c r="B7" s="1" t="s">
        <v>1</v>
      </c>
      <c r="C7" s="1">
        <f>[1]!PropsSI("Smolar","T",FLASH!$C$18,"P",$C$3,A7)</f>
        <v>191.48033977150558</v>
      </c>
      <c r="D7" s="1">
        <f>$C$1*LN(FLASH!K8*FLASH!$C$21/h0s0!$C$3)</f>
        <v>-1.9509642603873241</v>
      </c>
      <c r="E7" s="1">
        <f>C7-D7</f>
        <v>193.43130403189292</v>
      </c>
      <c r="F7" s="1">
        <f>[1]!PropsSI("Smolar","T",FLASH!$C$18,"P",FLASH!K8*FLASH!$C$21,h0s0!A7)</f>
        <v>193.43541443514809</v>
      </c>
    </row>
    <row r="8" spans="1:10" x14ac:dyDescent="0.35">
      <c r="A8" s="1" t="s">
        <v>6</v>
      </c>
      <c r="B8" s="1" t="s">
        <v>4</v>
      </c>
      <c r="C8" s="1">
        <f>[1]!PropsSI("Smolar","T",FLASH!$C$18,"P",$C$3,A8)</f>
        <v>205.02152841978645</v>
      </c>
      <c r="D8" s="1">
        <f>$C$1*LN(FLASH!K9*FLASH!$C$21/h0s0!$C$3)</f>
        <v>-16.082025999779407</v>
      </c>
      <c r="E8" s="1">
        <f t="shared" ref="E8:E11" si="0">C8-D8</f>
        <v>221.10355441956585</v>
      </c>
      <c r="F8" s="1">
        <f>[1]!PropsSI("Smolar","T",FLASH!$C$18,"P",FLASH!K9*FLASH!$C$21,h0s0!A8)</f>
        <v>221.12159404569786</v>
      </c>
    </row>
    <row r="9" spans="1:10" x14ac:dyDescent="0.35">
      <c r="A9" s="1" t="s">
        <v>5</v>
      </c>
      <c r="B9" s="1" t="s">
        <v>8</v>
      </c>
      <c r="C9" s="1">
        <f>[1]!PropsSI("Smolar","T",FLASH!$C$18,"P",$C$3,A9)</f>
        <v>120.44641486534503</v>
      </c>
      <c r="D9" s="1">
        <f>$C$1*LN(FLASH!K10*FLASH!$C$21/h0s0!$C$3)</f>
        <v>-28.342867033255999</v>
      </c>
      <c r="E9" s="1">
        <f t="shared" si="0"/>
        <v>148.78928189860102</v>
      </c>
      <c r="F9" s="1">
        <f>[1]!PropsSI("Smolar","T",FLASH!$C$18,"P",FLASH!K10*FLASH!$C$21,h0s0!A9)</f>
        <v>148.88274931326472</v>
      </c>
    </row>
    <row r="10" spans="1:10" x14ac:dyDescent="0.35">
      <c r="A10" s="1" t="s">
        <v>9</v>
      </c>
      <c r="B10" s="1" t="s">
        <v>40</v>
      </c>
      <c r="C10" s="1">
        <f>[1]!PropsSI("Smolar","T",FLASH!$C$18,"P",$C$3,A10)</f>
        <v>6.6151999620359581</v>
      </c>
      <c r="D10" s="1">
        <f>$C$1*LN(FLASH!K11*FLASH!$C$21/h0s0!$C$3)</f>
        <v>-28.806649727679833</v>
      </c>
      <c r="E10" s="1">
        <f t="shared" si="0"/>
        <v>35.421849689715792</v>
      </c>
      <c r="F10" s="1">
        <f>[1]!PropsSI("Smolar","T",FLASH!$C$18,"P",(FLASH!K11-J10)*FLASH!$C$21,h0s0!A10)</f>
        <v>154.1503153375366</v>
      </c>
      <c r="H10" t="s">
        <v>73</v>
      </c>
      <c r="J10" s="6">
        <f>0.0000001</f>
        <v>9.9999999999999995E-8</v>
      </c>
    </row>
    <row r="11" spans="1:10" x14ac:dyDescent="0.35">
      <c r="A11" s="5" t="s">
        <v>9</v>
      </c>
      <c r="B11" s="5" t="s">
        <v>56</v>
      </c>
      <c r="C11" s="1">
        <f>IF(FLASH!C27&gt;FLASH!C23,[1]!PropsSI("Smolar","T",FLASH!$C$18,"P",FLASH!K19*FLASH!$C$20*100000,h0s0!A11),0)</f>
        <v>6.6156469047578144</v>
      </c>
      <c r="D11" s="1">
        <f>IF(FLASH!C27&gt;FLASH!C23,$C$1*LN(FLASH!K19*FLASH!$C$21/h0s0!$C$3),0)</f>
        <v>-24.744872012666274</v>
      </c>
      <c r="E11" s="1">
        <f t="shared" si="0"/>
        <v>31.360518917424088</v>
      </c>
      <c r="F11" s="1">
        <f>IF(FLASH!C27&gt;FLASH!C23,[1]!PropsSI("Smolar","T",FLASH!$C$18,"P",FLASH!K19*FLASH!$C$21,h0s0!A11),0)</f>
        <v>6.6156469047578144</v>
      </c>
    </row>
    <row r="13" spans="1:10" x14ac:dyDescent="0.35">
      <c r="A13" s="1"/>
      <c r="B13" s="1"/>
      <c r="C13" s="3" t="s">
        <v>68</v>
      </c>
      <c r="D13" s="3" t="s">
        <v>77</v>
      </c>
    </row>
    <row r="14" spans="1:10" x14ac:dyDescent="0.35">
      <c r="A14" s="1"/>
      <c r="B14" s="1"/>
      <c r="C14" s="1" t="s">
        <v>66</v>
      </c>
      <c r="D14" s="1" t="s">
        <v>78</v>
      </c>
    </row>
    <row r="15" spans="1:10" x14ac:dyDescent="0.35">
      <c r="A15" s="1" t="s">
        <v>76</v>
      </c>
      <c r="B15" s="1"/>
      <c r="C15" s="1">
        <f>SUMPRODUCT(FLASH!D6:D8,h0s0!F7:F9)+SUMPRODUCT(FLASH!C37:C38,h0s0!F10:F11)</f>
        <v>185.13990728984436</v>
      </c>
      <c r="D15" s="1">
        <f>C15/FLASH!C11*0.001</f>
        <v>6.5523042213290301</v>
      </c>
    </row>
    <row r="20" spans="3:6" x14ac:dyDescent="0.35">
      <c r="C20" s="10" t="s">
        <v>79</v>
      </c>
      <c r="D20" s="10" t="s">
        <v>77</v>
      </c>
      <c r="E20" s="10" t="s">
        <v>80</v>
      </c>
      <c r="F20" s="10" t="s">
        <v>81</v>
      </c>
    </row>
    <row r="21" spans="3:6" x14ac:dyDescent="0.35">
      <c r="C21" s="1">
        <v>10</v>
      </c>
      <c r="D21" s="1">
        <v>6.3942901713443119</v>
      </c>
      <c r="E21" s="9">
        <v>6.6838544807649596</v>
      </c>
      <c r="F21" s="9">
        <f>D21-E21</f>
        <v>-0.2895643094206477</v>
      </c>
    </row>
    <row r="22" spans="3:6" x14ac:dyDescent="0.35">
      <c r="C22" s="1">
        <v>20</v>
      </c>
      <c r="D22" s="1">
        <v>6.4910744536227183</v>
      </c>
      <c r="E22" s="9">
        <v>6.7806508473345302</v>
      </c>
      <c r="F22" s="9">
        <f t="shared" ref="F22:F26" si="1">D22-E22</f>
        <v>-0.28957639371181187</v>
      </c>
    </row>
    <row r="23" spans="3:6" x14ac:dyDescent="0.35">
      <c r="C23" s="1">
        <v>25</v>
      </c>
      <c r="D23" s="1">
        <v>6.5523042213290301</v>
      </c>
      <c r="E23" s="9">
        <v>6.84190435929239</v>
      </c>
      <c r="F23" s="9">
        <f t="shared" si="1"/>
        <v>-0.28960013796335993</v>
      </c>
    </row>
    <row r="24" spans="3:6" x14ac:dyDescent="0.35">
      <c r="C24" s="1">
        <v>30</v>
      </c>
      <c r="D24" s="1">
        <v>6.8325916879972288</v>
      </c>
      <c r="E24" s="9">
        <v>6.9149803247617196</v>
      </c>
      <c r="F24" s="9">
        <f t="shared" si="1"/>
        <v>-8.2388636764490819E-2</v>
      </c>
    </row>
    <row r="25" spans="3:6" x14ac:dyDescent="0.35">
      <c r="C25" s="1">
        <v>40</v>
      </c>
      <c r="D25" s="1">
        <v>6.8674818695633144</v>
      </c>
      <c r="E25" s="9">
        <v>7.1106945940089004</v>
      </c>
      <c r="F25" s="9">
        <f t="shared" si="1"/>
        <v>-0.24321272444558595</v>
      </c>
    </row>
    <row r="26" spans="3:6" x14ac:dyDescent="0.35">
      <c r="C26" s="1">
        <v>50</v>
      </c>
      <c r="D26" s="1">
        <v>6.8952434394823872</v>
      </c>
      <c r="E26" s="9">
        <v>7.1847184192726798</v>
      </c>
      <c r="F26" s="9">
        <f t="shared" si="1"/>
        <v>-0.28947497979029269</v>
      </c>
    </row>
  </sheetData>
  <mergeCells count="1">
    <mergeCell ref="C5:E5"/>
  </mergeCells>
  <pageMargins left="0.7" right="0.7" top="0.78740157499999996" bottom="0.78740157499999996" header="0.3" footer="0.3"/>
  <pageSetup paperSize="9" scale="69" orientation="landscape" horizontalDpi="1200" verticalDpi="1200" r:id="rId1"/>
  <ignoredErrors>
    <ignoredError sqref="C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FLASH</vt:lpstr>
      <vt:lpstr>h0s0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</dc:creator>
  <cp:lastModifiedBy>hofmann</cp:lastModifiedBy>
  <cp:lastPrinted>2022-03-03T21:24:06Z</cp:lastPrinted>
  <dcterms:created xsi:type="dcterms:W3CDTF">2022-03-03T14:23:01Z</dcterms:created>
  <dcterms:modified xsi:type="dcterms:W3CDTF">2022-03-03T21:25:53Z</dcterms:modified>
</cp:coreProperties>
</file>