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fmann\Documents\DC01-hofmann\2022-paper-ecos-tespy-chemical-exergy\Chemical-Exergy-in-TESPy\validation\h0s0-calculation\"/>
    </mc:Choice>
  </mc:AlternateContent>
  <bookViews>
    <workbookView xWindow="0" yWindow="0" windowWidth="29010" windowHeight="13470"/>
  </bookViews>
  <sheets>
    <sheet name="GasComposition_FlashRoutin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K27" i="1"/>
  <c r="L25" i="1"/>
  <c r="K25" i="1"/>
  <c r="L19" i="1"/>
  <c r="L13" i="1"/>
  <c r="L9" i="1"/>
  <c r="L10" i="1"/>
  <c r="L11" i="1"/>
  <c r="L8" i="1"/>
  <c r="K13" i="1"/>
  <c r="C35" i="1"/>
  <c r="C6" i="1"/>
  <c r="C7" i="1"/>
  <c r="C8" i="1"/>
  <c r="C9" i="1"/>
  <c r="E8" i="1" l="1"/>
  <c r="E7" i="1"/>
  <c r="E6" i="1"/>
  <c r="E9" i="1"/>
  <c r="C11" i="1"/>
  <c r="D11" i="1"/>
  <c r="C26" i="1"/>
  <c r="C18" i="1"/>
  <c r="C22" i="1"/>
  <c r="E11" i="1" l="1"/>
  <c r="C36" i="1"/>
  <c r="C37" i="1" s="1"/>
  <c r="C38" i="1" s="1"/>
  <c r="K10" i="1" s="1"/>
  <c r="A29" i="1"/>
  <c r="C40" i="1" l="1"/>
  <c r="K11" i="1" s="1"/>
  <c r="K19" i="1"/>
  <c r="K9" i="1"/>
  <c r="K8" i="1"/>
</calcChain>
</file>

<file path=xl/sharedStrings.xml><?xml version="1.0" encoding="utf-8"?>
<sst xmlns="http://schemas.openxmlformats.org/spreadsheetml/2006/main" count="76" uniqueCount="62">
  <si>
    <t>FlashRoutine</t>
  </si>
  <si>
    <t>N2</t>
  </si>
  <si>
    <t xml:space="preserve">Molar Mass </t>
  </si>
  <si>
    <t>kg/mol</t>
  </si>
  <si>
    <t>O2</t>
  </si>
  <si>
    <t>CARBONDIOXIDE</t>
  </si>
  <si>
    <t>OXYGEN</t>
  </si>
  <si>
    <t>NITROGEN</t>
  </si>
  <si>
    <t>CO2</t>
  </si>
  <si>
    <t>WATER</t>
  </si>
  <si>
    <t>H2O</t>
  </si>
  <si>
    <t>Molar Fraction</t>
  </si>
  <si>
    <t>Mass Fraction</t>
  </si>
  <si>
    <t>mol/mol</t>
  </si>
  <si>
    <t>kg/kg</t>
  </si>
  <si>
    <t>K</t>
  </si>
  <si>
    <t>°C</t>
  </si>
  <si>
    <t>p^sat (T0)</t>
  </si>
  <si>
    <t>Vapour pressure</t>
  </si>
  <si>
    <t>Water</t>
  </si>
  <si>
    <t>Vapour quality</t>
  </si>
  <si>
    <t>Q</t>
  </si>
  <si>
    <t>Fluid</t>
  </si>
  <si>
    <t>bar</t>
  </si>
  <si>
    <t>OVERALL</t>
  </si>
  <si>
    <t>p_i,H2O</t>
  </si>
  <si>
    <t>p_0</t>
  </si>
  <si>
    <t>T_0</t>
  </si>
  <si>
    <t>Comment</t>
  </si>
  <si>
    <t>Amb. Temperature</t>
  </si>
  <si>
    <t>Amb. Pressure</t>
  </si>
  <si>
    <t>x_i,H2O * p_0</t>
  </si>
  <si>
    <t>M_i</t>
  </si>
  <si>
    <t>i</t>
  </si>
  <si>
    <t>x_i</t>
  </si>
  <si>
    <t>y_i</t>
  </si>
  <si>
    <t>Flash mixture to p_0</t>
  </si>
  <si>
    <t>Partial pressure, Water</t>
  </si>
  <si>
    <t>Condensation if p_i,H2O &gt; p^sat (T0)</t>
  </si>
  <si>
    <t>x'_i</t>
  </si>
  <si>
    <t>H2O(g)</t>
  </si>
  <si>
    <t>y'_i</t>
  </si>
  <si>
    <t>x_dry</t>
  </si>
  <si>
    <t>x_H2O(g)</t>
  </si>
  <si>
    <t>Dry components</t>
  </si>
  <si>
    <t>Water (gaseous)</t>
  </si>
  <si>
    <t>Water (liquid)</t>
  </si>
  <si>
    <t>x_H2O(l)</t>
  </si>
  <si>
    <t>x_gas</t>
  </si>
  <si>
    <t>Gaseous components</t>
  </si>
  <si>
    <t>Help factors for recalculation of composition</t>
  </si>
  <si>
    <t>Composition of gas mixture</t>
  </si>
  <si>
    <t>SUM x_i for all i neq H2O</t>
  </si>
  <si>
    <t>x_dry / ( p_0 / p^sat (T0) -1 )</t>
  </si>
  <si>
    <t>x_H2O - x_H2O(g)</t>
  </si>
  <si>
    <t>1 - x_H2O(l)</t>
  </si>
  <si>
    <t>H2O(l)</t>
  </si>
  <si>
    <t>under respect of flash routine</t>
  </si>
  <si>
    <t>SUM (liquid and gaseous phase)</t>
  </si>
  <si>
    <t>Corrected compostion</t>
  </si>
  <si>
    <t>Gaseous phase</t>
  </si>
  <si>
    <t>Liquid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</si>
</sst>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0" xfId="0" applyFont="1"/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man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1SI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D28" sqref="D28"/>
    </sheetView>
  </sheetViews>
  <sheetFormatPr baseColWidth="10" defaultRowHeight="15" x14ac:dyDescent="0.25"/>
  <cols>
    <col min="1" max="1" width="20.7109375" customWidth="1"/>
    <col min="2" max="18" width="15.7109375" customWidth="1"/>
  </cols>
  <sheetData>
    <row r="1" spans="1:12" x14ac:dyDescent="0.25">
      <c r="A1" s="4" t="s">
        <v>51</v>
      </c>
      <c r="J1" s="4" t="s">
        <v>59</v>
      </c>
    </row>
    <row r="3" spans="1:12" x14ac:dyDescent="0.25">
      <c r="A3" s="1"/>
      <c r="B3" s="1"/>
      <c r="C3" s="3" t="s">
        <v>2</v>
      </c>
      <c r="D3" s="3" t="s">
        <v>11</v>
      </c>
      <c r="E3" s="3" t="s">
        <v>12</v>
      </c>
      <c r="J3" s="4" t="s">
        <v>60</v>
      </c>
    </row>
    <row r="4" spans="1:12" x14ac:dyDescent="0.25">
      <c r="A4" s="1"/>
      <c r="B4" s="1"/>
      <c r="C4" s="1" t="s">
        <v>3</v>
      </c>
      <c r="D4" s="1" t="s">
        <v>13</v>
      </c>
      <c r="E4" s="1" t="s">
        <v>14</v>
      </c>
    </row>
    <row r="5" spans="1:12" x14ac:dyDescent="0.25">
      <c r="A5" s="1"/>
      <c r="B5" s="1" t="s">
        <v>33</v>
      </c>
      <c r="C5" s="1" t="s">
        <v>32</v>
      </c>
      <c r="D5" s="1" t="s">
        <v>34</v>
      </c>
      <c r="E5" s="1" t="s">
        <v>35</v>
      </c>
      <c r="J5" s="1"/>
      <c r="K5" s="3" t="s">
        <v>11</v>
      </c>
      <c r="L5" s="3" t="s">
        <v>12</v>
      </c>
    </row>
    <row r="6" spans="1:12" x14ac:dyDescent="0.25">
      <c r="A6" s="1" t="s">
        <v>7</v>
      </c>
      <c r="B6" s="1" t="s">
        <v>1</v>
      </c>
      <c r="C6" s="1">
        <f>[1]!Props1SI("M",B6)</f>
        <v>2.801348E-2</v>
      </c>
      <c r="D6" s="2">
        <v>0.75</v>
      </c>
      <c r="E6" s="1">
        <f>D6*C6/SUMPRODUCT($C$6:$C$9,$D$6:$D$9)</f>
        <v>0.74368234080032647</v>
      </c>
      <c r="J6" s="1"/>
      <c r="K6" s="1" t="s">
        <v>13</v>
      </c>
      <c r="L6" s="1" t="s">
        <v>14</v>
      </c>
    </row>
    <row r="7" spans="1:12" x14ac:dyDescent="0.25">
      <c r="A7" s="1" t="s">
        <v>6</v>
      </c>
      <c r="B7" s="1" t="s">
        <v>4</v>
      </c>
      <c r="C7" s="1">
        <f>[1]!Props1SI("M",B7)</f>
        <v>3.1998800000000001E-2</v>
      </c>
      <c r="D7" s="2">
        <v>0.14000000000000001</v>
      </c>
      <c r="E7" s="1">
        <f>D7*C7/SUMPRODUCT($C$6:$C$9,$D$6:$D$9)</f>
        <v>0.15856994314414388</v>
      </c>
      <c r="J7" s="1"/>
      <c r="K7" s="1" t="s">
        <v>39</v>
      </c>
      <c r="L7" s="1" t="s">
        <v>41</v>
      </c>
    </row>
    <row r="8" spans="1:12" x14ac:dyDescent="0.25">
      <c r="A8" s="1" t="s">
        <v>5</v>
      </c>
      <c r="B8" s="1" t="s">
        <v>8</v>
      </c>
      <c r="C8" s="1">
        <f>[1]!Props1SI("M",B8)</f>
        <v>4.4009800000000002E-2</v>
      </c>
      <c r="D8" s="2">
        <v>0.03</v>
      </c>
      <c r="E8" s="1">
        <f>D8*C8/SUMPRODUCT($C$6:$C$9,$D$6:$D$9)</f>
        <v>4.6733659769731165E-2</v>
      </c>
      <c r="J8" s="1" t="s">
        <v>1</v>
      </c>
      <c r="K8" s="1">
        <f>IF(C26&gt;C22,D6/C38,D6)</f>
        <v>0.78970720801741179</v>
      </c>
      <c r="L8" s="1">
        <f>K8*C6/SUMPRODUCT($C$6:$C$9,$K$8:$K$11)</f>
        <v>0.76831682437506077</v>
      </c>
    </row>
    <row r="9" spans="1:12" x14ac:dyDescent="0.25">
      <c r="A9" s="1" t="s">
        <v>9</v>
      </c>
      <c r="B9" s="1" t="s">
        <v>10</v>
      </c>
      <c r="C9" s="1">
        <f>[1]!Props1SI("M",B9)</f>
        <v>1.8015268000000001E-2</v>
      </c>
      <c r="D9" s="2">
        <v>0.08</v>
      </c>
      <c r="E9" s="1">
        <f>D9*C9/SUMPRODUCT($C$6:$C$9,$D$6:$D$9)</f>
        <v>5.1014056285798477E-2</v>
      </c>
      <c r="J9" s="1" t="s">
        <v>4</v>
      </c>
      <c r="K9" s="1">
        <f>IF(C26&gt;C22,D7/C38,D7)</f>
        <v>0.1474120121632502</v>
      </c>
      <c r="L9" s="1">
        <f t="shared" ref="L9:L11" si="0">K9*C7/SUMPRODUCT($C$6:$C$9,$K$8:$K$11)</f>
        <v>0.16382257379774678</v>
      </c>
    </row>
    <row r="10" spans="1:12" x14ac:dyDescent="0.25">
      <c r="J10" s="1" t="s">
        <v>8</v>
      </c>
      <c r="K10" s="1">
        <f>IF(C26&gt;C22,D8/C38,D8)</f>
        <v>3.1588288320696468E-2</v>
      </c>
      <c r="L10" s="1">
        <f t="shared" si="0"/>
        <v>4.8281712628893733E-2</v>
      </c>
    </row>
    <row r="11" spans="1:12" x14ac:dyDescent="0.25">
      <c r="A11" s="1" t="s">
        <v>24</v>
      </c>
      <c r="B11" s="1"/>
      <c r="C11" s="1">
        <f>SUMPRODUCT(C6:C9,D6:D9)</f>
        <v>2.8251457439999999E-2</v>
      </c>
      <c r="D11" s="1">
        <f>SUM(D6:D9)</f>
        <v>1</v>
      </c>
      <c r="E11" s="1">
        <f>SUM(E6:E9)</f>
        <v>1</v>
      </c>
      <c r="J11" s="1" t="s">
        <v>40</v>
      </c>
      <c r="K11" s="1">
        <f>IF(C26&gt;C22,C40/C38,C40)</f>
        <v>3.1292491498641557E-2</v>
      </c>
      <c r="L11" s="1">
        <f t="shared" si="0"/>
        <v>1.9578889198298591E-2</v>
      </c>
    </row>
    <row r="13" spans="1:12" x14ac:dyDescent="0.25">
      <c r="J13" s="1" t="s">
        <v>24</v>
      </c>
      <c r="K13" s="1">
        <f>SUM(K8:K11)</f>
        <v>1</v>
      </c>
      <c r="L13" s="1">
        <f>SUM(L8:L11)</f>
        <v>0.99999999999999989</v>
      </c>
    </row>
    <row r="15" spans="1:12" x14ac:dyDescent="0.25">
      <c r="A15" s="4" t="s">
        <v>0</v>
      </c>
      <c r="F15" t="s">
        <v>28</v>
      </c>
    </row>
    <row r="17" spans="1:12" x14ac:dyDescent="0.25">
      <c r="A17" s="3" t="s">
        <v>29</v>
      </c>
      <c r="B17" s="1" t="s">
        <v>27</v>
      </c>
      <c r="C17" s="2">
        <v>25</v>
      </c>
      <c r="D17" s="1" t="s">
        <v>16</v>
      </c>
      <c r="J17" s="4" t="s">
        <v>61</v>
      </c>
    </row>
    <row r="18" spans="1:12" x14ac:dyDescent="0.25">
      <c r="A18" s="1"/>
      <c r="B18" s="1"/>
      <c r="C18" s="1">
        <f>C17+273.15</f>
        <v>298.14999999999998</v>
      </c>
      <c r="D18" s="1" t="s">
        <v>15</v>
      </c>
    </row>
    <row r="19" spans="1:12" x14ac:dyDescent="0.25">
      <c r="J19" s="1" t="s">
        <v>56</v>
      </c>
      <c r="K19" s="1">
        <f>IF(C26&gt;C22,C37,0)</f>
        <v>5.0280923884559875E-2</v>
      </c>
      <c r="L19" s="1">
        <f>K19*C9/SUMPRODUCT($C$6:$C$9,$K$8:$K$11)</f>
        <v>3.1459452104241011E-2</v>
      </c>
    </row>
    <row r="20" spans="1:12" x14ac:dyDescent="0.25">
      <c r="A20" s="3" t="s">
        <v>30</v>
      </c>
      <c r="B20" s="1" t="s">
        <v>26</v>
      </c>
      <c r="C20" s="2">
        <v>1.0129999999999999</v>
      </c>
      <c r="D20" s="1" t="s">
        <v>23</v>
      </c>
    </row>
    <row r="22" spans="1:12" x14ac:dyDescent="0.25">
      <c r="A22" s="3" t="s">
        <v>18</v>
      </c>
      <c r="B22" s="1" t="s">
        <v>17</v>
      </c>
      <c r="C22" s="1">
        <f>[1]!PropsSI("P","T",C18,"Q",C24,B23)*0.00001</f>
        <v>3.1699293888123897E-2</v>
      </c>
      <c r="D22" s="1" t="s">
        <v>23</v>
      </c>
    </row>
    <row r="23" spans="1:12" x14ac:dyDescent="0.25">
      <c r="A23" s="1" t="s">
        <v>22</v>
      </c>
      <c r="B23" s="1" t="s">
        <v>19</v>
      </c>
      <c r="C23" s="1"/>
      <c r="D23" s="1"/>
      <c r="J23" s="4" t="s">
        <v>58</v>
      </c>
    </row>
    <row r="24" spans="1:12" x14ac:dyDescent="0.25">
      <c r="A24" s="1" t="s">
        <v>20</v>
      </c>
      <c r="B24" s="1" t="s">
        <v>21</v>
      </c>
      <c r="C24" s="1">
        <v>1</v>
      </c>
      <c r="D24" s="1"/>
    </row>
    <row r="25" spans="1:12" x14ac:dyDescent="0.25">
      <c r="J25" s="1" t="s">
        <v>48</v>
      </c>
      <c r="K25" s="1">
        <f>1-K19</f>
        <v>0.94971907611544015</v>
      </c>
      <c r="L25" s="1">
        <f>1-L19</f>
        <v>0.96854054789575894</v>
      </c>
    </row>
    <row r="26" spans="1:12" x14ac:dyDescent="0.25">
      <c r="A26" s="1" t="s">
        <v>37</v>
      </c>
      <c r="B26" s="1" t="s">
        <v>25</v>
      </c>
      <c r="C26" s="1">
        <f>GasComposition_FlashRoutine!D9*GasComposition_FlashRoutine!C20</f>
        <v>8.1039999999999987E-2</v>
      </c>
      <c r="D26" s="1" t="s">
        <v>23</v>
      </c>
      <c r="F26" t="s">
        <v>31</v>
      </c>
    </row>
    <row r="27" spans="1:12" x14ac:dyDescent="0.25">
      <c r="J27" s="1" t="s">
        <v>24</v>
      </c>
      <c r="K27" s="1">
        <f>K19+K25</f>
        <v>1</v>
      </c>
      <c r="L27" s="1">
        <f>L19+L25</f>
        <v>1</v>
      </c>
    </row>
    <row r="28" spans="1:12" x14ac:dyDescent="0.25">
      <c r="A28" s="4" t="s">
        <v>36</v>
      </c>
      <c r="F28" t="s">
        <v>38</v>
      </c>
    </row>
    <row r="29" spans="1:12" x14ac:dyDescent="0.25">
      <c r="A29" t="str">
        <f>IF(C26&gt;C22,"Water condensates!","No condensation!")</f>
        <v>Water condensates!</v>
      </c>
    </row>
    <row r="33" spans="1:6" x14ac:dyDescent="0.25">
      <c r="A33" s="4" t="s">
        <v>50</v>
      </c>
    </row>
    <row r="34" spans="1:6" x14ac:dyDescent="0.25">
      <c r="A34" s="4"/>
    </row>
    <row r="35" spans="1:6" x14ac:dyDescent="0.25">
      <c r="A35" s="1" t="s">
        <v>44</v>
      </c>
      <c r="B35" s="1" t="s">
        <v>42</v>
      </c>
      <c r="C35" s="1">
        <f>SUM($D$6:$D$8)</f>
        <v>0.92</v>
      </c>
      <c r="D35" s="1"/>
      <c r="F35" t="s">
        <v>52</v>
      </c>
    </row>
    <row r="36" spans="1:6" x14ac:dyDescent="0.25">
      <c r="A36" s="1" t="s">
        <v>45</v>
      </c>
      <c r="B36" s="1" t="s">
        <v>43</v>
      </c>
      <c r="C36" s="1">
        <f>C35/(C20/C22-1)</f>
        <v>2.9719076115440127E-2</v>
      </c>
      <c r="D36" s="1"/>
      <c r="F36" t="s">
        <v>53</v>
      </c>
    </row>
    <row r="37" spans="1:6" x14ac:dyDescent="0.25">
      <c r="A37" s="1" t="s">
        <v>46</v>
      </c>
      <c r="B37" s="1" t="s">
        <v>47</v>
      </c>
      <c r="C37" s="1">
        <f>D9-C36</f>
        <v>5.0280923884559875E-2</v>
      </c>
      <c r="D37" s="1"/>
      <c r="F37" t="s">
        <v>54</v>
      </c>
    </row>
    <row r="38" spans="1:6" x14ac:dyDescent="0.25">
      <c r="A38" s="1" t="s">
        <v>49</v>
      </c>
      <c r="B38" s="1" t="s">
        <v>48</v>
      </c>
      <c r="C38" s="1">
        <f>1-C37</f>
        <v>0.94971907611544015</v>
      </c>
      <c r="D38" s="1"/>
      <c r="F38" t="s">
        <v>55</v>
      </c>
    </row>
    <row r="40" spans="1:6" x14ac:dyDescent="0.25">
      <c r="A40" s="1" t="s">
        <v>45</v>
      </c>
      <c r="B40" s="1" t="s">
        <v>43</v>
      </c>
      <c r="C40" s="1">
        <f>IF(C26&gt;C22,C36,D9)</f>
        <v>2.9719076115440127E-2</v>
      </c>
      <c r="D40" s="1"/>
      <c r="F40" t="s">
        <v>57</v>
      </c>
    </row>
  </sheetData>
  <conditionalFormatting sqref="A29">
    <cfRule type="containsText" dxfId="1" priority="1" operator="containsText" text="No condensation!">
      <formula>NOT(ISERROR(SEARCH("No condensation!",A29)))</formula>
    </cfRule>
    <cfRule type="containsText" dxfId="0" priority="2" operator="containsText" text="Water condensates!">
      <formula>NOT(ISERROR(SEARCH("Water condensates!",A29)))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GasComposition_FlashRoutine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</dc:creator>
  <cp:lastModifiedBy>hofmann</cp:lastModifiedBy>
  <dcterms:created xsi:type="dcterms:W3CDTF">2022-03-03T14:23:01Z</dcterms:created>
  <dcterms:modified xsi:type="dcterms:W3CDTF">2022-03-03T15:54:27Z</dcterms:modified>
</cp:coreProperties>
</file>