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courses\this semester\INE 320H\project stuff\"/>
    </mc:Choice>
  </mc:AlternateContent>
  <xr:revisionPtr revIDLastSave="0" documentId="13_ncr:1_{51AF7A7A-00AE-437A-B4F2-37EC52982EDD}" xr6:coauthVersionLast="47" xr6:coauthVersionMax="47" xr10:uidLastSave="{00000000-0000-0000-0000-000000000000}"/>
  <bookViews>
    <workbookView xWindow="-120" yWindow="-120" windowWidth="29040" windowHeight="15840" firstSheet="5" activeTab="11" xr2:uid="{CFCA8DE2-B7E9-477A-BC4C-981A16DC61E6}"/>
  </bookViews>
  <sheets>
    <sheet name="HomePage" sheetId="19" r:id="rId1"/>
    <sheet name="Investment Needed for Wind Turb" sheetId="1" r:id="rId2"/>
    <sheet name=" Cost Basis of The Wind Farm" sheetId="2" r:id="rId3"/>
    <sheet name="Annual O&amp;M Payments" sheetId="3" r:id="rId4"/>
    <sheet name="Bank Loan &amp; Payment Plan" sheetId="4" r:id="rId5"/>
    <sheet name="Depreciation" sheetId="11" r:id="rId6"/>
    <sheet name="Equivalent&amp;PerU Costs " sheetId="5" r:id="rId7"/>
    <sheet name="Annual Revenues" sheetId="10" r:id="rId8"/>
    <sheet name="Net Income Statement" sheetId="16" r:id="rId9"/>
    <sheet name="Cash Flow Statement" sheetId="15" r:id="rId10"/>
    <sheet name="Decision Table" sheetId="17" r:id="rId11"/>
    <sheet name="Cashflow diagram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5" l="1" a="1"/>
  <c r="F12" i="5" s="1"/>
  <c r="D21" i="18"/>
  <c r="D20" i="18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9" i="2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E19" i="18"/>
  <c r="C17" i="18" l="1" a="1"/>
  <c r="G4" i="5"/>
  <c r="M20" i="18" l="1"/>
  <c r="G20" i="18"/>
  <c r="O20" i="18"/>
  <c r="W20" i="18"/>
  <c r="H20" i="18"/>
  <c r="P20" i="18"/>
  <c r="X20" i="18"/>
  <c r="I20" i="18"/>
  <c r="Q20" i="18"/>
  <c r="Y20" i="18"/>
  <c r="J20" i="18"/>
  <c r="R20" i="18"/>
  <c r="V20" i="18"/>
  <c r="Z20" i="18"/>
  <c r="N20" i="18"/>
  <c r="K20" i="18"/>
  <c r="S20" i="18"/>
  <c r="AA20" i="18"/>
  <c r="E20" i="18"/>
  <c r="L20" i="18"/>
  <c r="T20" i="18"/>
  <c r="AB20" i="18"/>
  <c r="U20" i="18"/>
  <c r="AC20" i="18"/>
  <c r="F20" i="18"/>
  <c r="C17" i="18"/>
  <c r="D8" i="3"/>
  <c r="F3" i="4"/>
  <c r="C5" i="4"/>
  <c r="C7" i="4"/>
  <c r="G5" i="4"/>
  <c r="F5" i="4" s="1"/>
  <c r="F4" i="4"/>
  <c r="F6" i="4"/>
  <c r="E4" i="2"/>
  <c r="E9" i="1"/>
  <c r="E11" i="1"/>
  <c r="E5" i="1"/>
  <c r="D5" i="3" s="1"/>
  <c r="E5" i="2" l="1"/>
  <c r="E11" i="2" s="1"/>
  <c r="E7" i="1"/>
  <c r="E18" i="2" s="1"/>
  <c r="E12" i="1"/>
  <c r="E14" i="1" s="1"/>
  <c r="I8" i="10"/>
  <c r="I16" i="10"/>
  <c r="I24" i="10"/>
  <c r="I6" i="10"/>
  <c r="I19" i="10"/>
  <c r="I7" i="10"/>
  <c r="I9" i="10"/>
  <c r="I17" i="10"/>
  <c r="I25" i="10"/>
  <c r="I27" i="10"/>
  <c r="I10" i="10"/>
  <c r="I18" i="10"/>
  <c r="I26" i="10"/>
  <c r="I11" i="10"/>
  <c r="I22" i="10"/>
  <c r="I15" i="10"/>
  <c r="I12" i="10"/>
  <c r="I20" i="10"/>
  <c r="I28" i="10"/>
  <c r="I21" i="10"/>
  <c r="I30" i="10"/>
  <c r="I31" i="10"/>
  <c r="I13" i="10"/>
  <c r="I29" i="10"/>
  <c r="I14" i="10"/>
  <c r="I23" i="10"/>
  <c r="E6" i="2"/>
  <c r="K15" i="10" l="1" a="1"/>
  <c r="K15" i="10" s="1"/>
  <c r="AC16" i="18"/>
  <c r="AC21" i="18" s="1"/>
  <c r="Z16" i="18"/>
  <c r="Z21" i="18" s="1"/>
  <c r="R16" i="18"/>
  <c r="R21" i="18" s="1"/>
  <c r="J16" i="18"/>
  <c r="J21" i="18" s="1"/>
  <c r="Y16" i="18"/>
  <c r="Y21" i="18" s="1"/>
  <c r="Q16" i="18"/>
  <c r="Q21" i="18" s="1"/>
  <c r="I16" i="18"/>
  <c r="I21" i="18" s="1"/>
  <c r="X16" i="18"/>
  <c r="X21" i="18" s="1"/>
  <c r="P16" i="18"/>
  <c r="P21" i="18" s="1"/>
  <c r="H16" i="18"/>
  <c r="H21" i="18" s="1"/>
  <c r="W16" i="18"/>
  <c r="W21" i="18" s="1"/>
  <c r="O16" i="18"/>
  <c r="O21" i="18" s="1"/>
  <c r="G16" i="18"/>
  <c r="G21" i="18" s="1"/>
  <c r="T16" i="18"/>
  <c r="T21" i="18" s="1"/>
  <c r="V16" i="18"/>
  <c r="V21" i="18" s="1"/>
  <c r="N16" i="18"/>
  <c r="N21" i="18" s="1"/>
  <c r="F16" i="18"/>
  <c r="F21" i="18" s="1"/>
  <c r="U16" i="18"/>
  <c r="U21" i="18" s="1"/>
  <c r="M16" i="18"/>
  <c r="M21" i="18" s="1"/>
  <c r="E16" i="18"/>
  <c r="E21" i="18" s="1"/>
  <c r="AB16" i="18"/>
  <c r="AB21" i="18" s="1"/>
  <c r="L16" i="18"/>
  <c r="L21" i="18" s="1"/>
  <c r="AA16" i="18"/>
  <c r="AA21" i="18" s="1"/>
  <c r="S16" i="18"/>
  <c r="S21" i="18" s="1"/>
  <c r="K16" i="18"/>
  <c r="K21" i="18" s="1"/>
  <c r="E25" i="2"/>
  <c r="E5" i="16"/>
  <c r="AA5" i="16"/>
  <c r="F5" i="16"/>
  <c r="M5" i="16"/>
  <c r="S5" i="16"/>
  <c r="W5" i="16"/>
  <c r="I5" i="16"/>
  <c r="T5" i="16"/>
  <c r="G5" i="16"/>
  <c r="O5" i="16"/>
  <c r="Z5" i="16"/>
  <c r="K5" i="16"/>
  <c r="AB5" i="16"/>
  <c r="V5" i="16"/>
  <c r="D5" i="16"/>
  <c r="R5" i="16"/>
  <c r="U5" i="16"/>
  <c r="J5" i="16"/>
  <c r="X5" i="16"/>
  <c r="P5" i="16"/>
  <c r="L5" i="16"/>
  <c r="N5" i="16"/>
  <c r="H5" i="16"/>
  <c r="Y5" i="16"/>
  <c r="Q5" i="16"/>
  <c r="D9" i="3"/>
  <c r="D11" i="3" s="1"/>
  <c r="G2" i="5"/>
  <c r="G6" i="5" s="1"/>
  <c r="D6" i="11" l="1"/>
  <c r="AD13" i="15" s="1"/>
  <c r="E12" i="15"/>
  <c r="D5" i="11"/>
  <c r="G7" i="5"/>
  <c r="G8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C2" i="4"/>
  <c r="G20" i="5"/>
  <c r="J7" i="16"/>
  <c r="R7" i="16"/>
  <c r="Z7" i="16"/>
  <c r="U7" i="16"/>
  <c r="X7" i="16"/>
  <c r="I7" i="16"/>
  <c r="K7" i="16"/>
  <c r="S7" i="16"/>
  <c r="AA7" i="16"/>
  <c r="D7" i="16"/>
  <c r="Q7" i="16"/>
  <c r="L7" i="16"/>
  <c r="T7" i="16"/>
  <c r="AB7" i="16"/>
  <c r="M7" i="16"/>
  <c r="E7" i="16"/>
  <c r="F7" i="16"/>
  <c r="N7" i="16"/>
  <c r="V7" i="16"/>
  <c r="P7" i="16"/>
  <c r="Y7" i="16"/>
  <c r="G7" i="16"/>
  <c r="O7" i="16"/>
  <c r="W7" i="16"/>
  <c r="H7" i="16"/>
  <c r="G23" i="5"/>
  <c r="G16" i="5"/>
  <c r="G29" i="5"/>
  <c r="G33" i="5"/>
  <c r="G27" i="5"/>
  <c r="G21" i="5"/>
  <c r="G32" i="5"/>
  <c r="G17" i="5"/>
  <c r="G13" i="5"/>
  <c r="G18" i="5"/>
  <c r="G36" i="5"/>
  <c r="G35" i="5"/>
  <c r="G28" i="5"/>
  <c r="G34" i="5"/>
  <c r="G19" i="5"/>
  <c r="G12" i="5"/>
  <c r="G30" i="5"/>
  <c r="G15" i="5"/>
  <c r="G26" i="5"/>
  <c r="G25" i="5"/>
  <c r="G24" i="5"/>
  <c r="G22" i="5"/>
  <c r="G14" i="5"/>
  <c r="G31" i="5"/>
  <c r="D12" i="11" l="1"/>
  <c r="D8" i="11"/>
  <c r="G12" i="4"/>
  <c r="C13" i="4" s="1"/>
  <c r="E18" i="15"/>
  <c r="E21" i="15" s="1"/>
  <c r="E15" i="11" l="1"/>
  <c r="E34" i="11"/>
  <c r="E14" i="11"/>
  <c r="E30" i="11"/>
  <c r="E35" i="11"/>
  <c r="E26" i="11"/>
  <c r="E31" i="11"/>
  <c r="E27" i="11"/>
  <c r="E19" i="11"/>
  <c r="E22" i="11"/>
  <c r="E23" i="11"/>
  <c r="E18" i="11"/>
  <c r="E21" i="11"/>
  <c r="E25" i="11"/>
  <c r="T8" i="15"/>
  <c r="E17" i="11"/>
  <c r="G8" i="15"/>
  <c r="E29" i="11"/>
  <c r="N8" i="15"/>
  <c r="X8" i="15"/>
  <c r="E33" i="11"/>
  <c r="K8" i="15"/>
  <c r="E13" i="11"/>
  <c r="R8" i="15"/>
  <c r="AB8" i="15"/>
  <c r="J8" i="15"/>
  <c r="AA8" i="15"/>
  <c r="E36" i="11"/>
  <c r="Y8" i="15"/>
  <c r="L8" i="15"/>
  <c r="O8" i="15"/>
  <c r="I8" i="15"/>
  <c r="Z8" i="15"/>
  <c r="E16" i="11"/>
  <c r="V8" i="15"/>
  <c r="S8" i="15"/>
  <c r="M8" i="15"/>
  <c r="E28" i="11"/>
  <c r="E24" i="11"/>
  <c r="AD8" i="15"/>
  <c r="W8" i="15"/>
  <c r="Q8" i="15"/>
  <c r="H8" i="15"/>
  <c r="E32" i="11"/>
  <c r="E20" i="11"/>
  <c r="U8" i="15"/>
  <c r="E12" i="11"/>
  <c r="F12" i="11" s="1"/>
  <c r="D13" i="11" s="1"/>
  <c r="F13" i="11" s="1"/>
  <c r="D14" i="11" s="1"/>
  <c r="F14" i="11" s="1"/>
  <c r="D15" i="11" s="1"/>
  <c r="P8" i="15"/>
  <c r="F8" i="15"/>
  <c r="AC8" i="15"/>
  <c r="D20" i="4"/>
  <c r="D18" i="4"/>
  <c r="D33" i="4"/>
  <c r="D38" i="4"/>
  <c r="D34" i="4"/>
  <c r="D57" i="4"/>
  <c r="D47" i="4"/>
  <c r="D67" i="4"/>
  <c r="D43" i="4"/>
  <c r="D68" i="4"/>
  <c r="D28" i="4"/>
  <c r="D44" i="4"/>
  <c r="D50" i="4"/>
  <c r="D52" i="4"/>
  <c r="D63" i="4"/>
  <c r="D55" i="4"/>
  <c r="D58" i="4"/>
  <c r="D37" i="4"/>
  <c r="D64" i="4"/>
  <c r="D21" i="4"/>
  <c r="D27" i="4"/>
  <c r="D61" i="4"/>
  <c r="D40" i="4"/>
  <c r="D42" i="4"/>
  <c r="D66" i="4"/>
  <c r="D23" i="4"/>
  <c r="D51" i="4"/>
  <c r="F13" i="4"/>
  <c r="D59" i="4"/>
  <c r="D25" i="4"/>
  <c r="D19" i="4"/>
  <c r="D16" i="4"/>
  <c r="D22" i="4"/>
  <c r="D41" i="4"/>
  <c r="D69" i="4"/>
  <c r="D24" i="4"/>
  <c r="D29" i="4"/>
  <c r="D14" i="4"/>
  <c r="I12" i="5" s="1"/>
  <c r="J12" i="5" s="1"/>
  <c r="D17" i="4"/>
  <c r="D45" i="4"/>
  <c r="D72" i="4"/>
  <c r="D13" i="4"/>
  <c r="D30" i="4"/>
  <c r="D26" i="4"/>
  <c r="D49" i="4"/>
  <c r="D46" i="4"/>
  <c r="D53" i="4"/>
  <c r="D60" i="4"/>
  <c r="D31" i="4"/>
  <c r="D62" i="4"/>
  <c r="D56" i="4"/>
  <c r="D36" i="4"/>
  <c r="D39" i="4"/>
  <c r="D71" i="4"/>
  <c r="D32" i="4"/>
  <c r="D35" i="4"/>
  <c r="D65" i="4"/>
  <c r="D54" i="4"/>
  <c r="D15" i="4"/>
  <c r="D48" i="4"/>
  <c r="D70" i="4"/>
  <c r="F15" i="11" l="1"/>
  <c r="D16" i="11" s="1"/>
  <c r="F16" i="11" s="1"/>
  <c r="D17" i="11" s="1"/>
  <c r="F17" i="11" s="1"/>
  <c r="D18" i="11" s="1"/>
  <c r="F18" i="11" s="1"/>
  <c r="D19" i="11" s="1"/>
  <c r="F19" i="11" s="1"/>
  <c r="D20" i="11" s="1"/>
  <c r="F20" i="11" s="1"/>
  <c r="D21" i="11" s="1"/>
  <c r="F21" i="11" s="1"/>
  <c r="D22" i="11" s="1"/>
  <c r="F22" i="11" s="1"/>
  <c r="D23" i="11" s="1"/>
  <c r="F23" i="11" s="1"/>
  <c r="D24" i="11" s="1"/>
  <c r="F24" i="11" s="1"/>
  <c r="D25" i="11" s="1"/>
  <c r="F25" i="11" s="1"/>
  <c r="D26" i="11" s="1"/>
  <c r="F26" i="11" s="1"/>
  <c r="D27" i="11" s="1"/>
  <c r="F27" i="11" s="1"/>
  <c r="D28" i="11" s="1"/>
  <c r="F28" i="11" s="1"/>
  <c r="D29" i="11" s="1"/>
  <c r="F29" i="11" s="1"/>
  <c r="D30" i="11" s="1"/>
  <c r="F30" i="11" s="1"/>
  <c r="D31" i="11" s="1"/>
  <c r="F31" i="11" s="1"/>
  <c r="D32" i="11" s="1"/>
  <c r="F32" i="11" s="1"/>
  <c r="D33" i="11" s="1"/>
  <c r="F33" i="11" s="1"/>
  <c r="D34" i="11" s="1"/>
  <c r="F34" i="11" s="1"/>
  <c r="D35" i="11" s="1"/>
  <c r="F35" i="11" s="1"/>
  <c r="D36" i="11" s="1"/>
  <c r="F36" i="11" s="1"/>
  <c r="P9" i="16"/>
  <c r="G9" i="16"/>
  <c r="Y9" i="16"/>
  <c r="T9" i="16"/>
  <c r="O9" i="16"/>
  <c r="D9" i="16"/>
  <c r="X9" i="16"/>
  <c r="W9" i="16"/>
  <c r="N9" i="16"/>
  <c r="AB9" i="16"/>
  <c r="E9" i="16"/>
  <c r="V9" i="16"/>
  <c r="I9" i="16"/>
  <c r="J9" i="16"/>
  <c r="M9" i="16"/>
  <c r="S9" i="16"/>
  <c r="R9" i="16"/>
  <c r="U9" i="16"/>
  <c r="H9" i="16"/>
  <c r="F9" i="16"/>
  <c r="AA9" i="16"/>
  <c r="Z9" i="16"/>
  <c r="K9" i="16"/>
  <c r="Q9" i="16"/>
  <c r="L9" i="16"/>
  <c r="I13" i="5"/>
  <c r="J13" i="5" s="1"/>
  <c r="E13" i="4"/>
  <c r="I16" i="5"/>
  <c r="J16" i="5" s="1"/>
  <c r="I14" i="5"/>
  <c r="J14" i="5" s="1"/>
  <c r="I15" i="5"/>
  <c r="J15" i="5" s="1"/>
  <c r="G13" i="4" l="1"/>
  <c r="C14" i="4" s="1"/>
  <c r="F14" i="4" s="1"/>
  <c r="E14" i="4" l="1"/>
  <c r="G14" i="4" l="1"/>
  <c r="C15" i="4" s="1"/>
  <c r="F15" i="4" s="1"/>
  <c r="E15" i="4" l="1"/>
  <c r="G15" i="4" l="1"/>
  <c r="C16" i="4" s="1"/>
  <c r="F16" i="4" l="1"/>
  <c r="E16" i="4" l="1"/>
  <c r="G16" i="4" l="1"/>
  <c r="C17" i="4" s="1"/>
  <c r="F17" i="4" s="1"/>
  <c r="E17" i="4" s="1"/>
  <c r="G17" i="4" s="1"/>
  <c r="C18" i="4" s="1"/>
  <c r="F18" i="4" s="1"/>
  <c r="E18" i="4" s="1"/>
  <c r="G18" i="4" s="1"/>
  <c r="C19" i="4" s="1"/>
  <c r="F19" i="4" s="1"/>
  <c r="E19" i="4" s="1"/>
  <c r="G19" i="4" s="1"/>
  <c r="C20" i="4" s="1"/>
  <c r="F20" i="4" s="1"/>
  <c r="E20" i="4" s="1"/>
  <c r="G20" i="4" s="1"/>
  <c r="C21" i="4" s="1"/>
  <c r="F21" i="4" s="1"/>
  <c r="E21" i="4" s="1"/>
  <c r="G21" i="4" s="1"/>
  <c r="C22" i="4" s="1"/>
  <c r="F22" i="4" s="1"/>
  <c r="E22" i="4" s="1"/>
  <c r="G22" i="4" s="1"/>
  <c r="C23" i="4" s="1"/>
  <c r="F23" i="4" s="1"/>
  <c r="E23" i="4" s="1"/>
  <c r="G23" i="4" s="1"/>
  <c r="C24" i="4" s="1"/>
  <c r="F24" i="4" s="1"/>
  <c r="E24" i="4" l="1"/>
  <c r="G24" i="4" s="1"/>
  <c r="C25" i="4" s="1"/>
  <c r="F25" i="4" s="1"/>
  <c r="D8" i="16"/>
  <c r="D11" i="16" s="1"/>
  <c r="E25" i="4" l="1"/>
  <c r="D12" i="16"/>
  <c r="D14" i="16" s="1"/>
  <c r="F7" i="15" s="1"/>
  <c r="F21" i="15" s="1"/>
  <c r="G25" i="4" l="1"/>
  <c r="C26" i="4" s="1"/>
  <c r="F26" i="4" s="1"/>
  <c r="E26" i="4" l="1"/>
  <c r="G26" i="4" l="1"/>
  <c r="C27" i="4" s="1"/>
  <c r="F27" i="4" s="1"/>
  <c r="E27" i="4" l="1"/>
  <c r="G27" i="4" l="1"/>
  <c r="C28" i="4" s="1"/>
  <c r="F28" i="4" s="1"/>
  <c r="E28" i="4" l="1"/>
  <c r="G28" i="4" l="1"/>
  <c r="C29" i="4" s="1"/>
  <c r="F29" i="4" s="1"/>
  <c r="E29" i="4" l="1"/>
  <c r="G29" i="4" l="1"/>
  <c r="C30" i="4" s="1"/>
  <c r="F30" i="4" s="1"/>
  <c r="E30" i="4" s="1"/>
  <c r="G30" i="4" s="1"/>
  <c r="C31" i="4" s="1"/>
  <c r="F31" i="4" s="1"/>
  <c r="E31" i="4" s="1"/>
  <c r="G31" i="4" s="1"/>
  <c r="C32" i="4" s="1"/>
  <c r="F32" i="4" s="1"/>
  <c r="E32" i="4" s="1"/>
  <c r="G32" i="4" s="1"/>
  <c r="C33" i="4" s="1"/>
  <c r="F33" i="4" s="1"/>
  <c r="E33" i="4" s="1"/>
  <c r="G33" i="4" s="1"/>
  <c r="C34" i="4" s="1"/>
  <c r="F34" i="4" s="1"/>
  <c r="E34" i="4" s="1"/>
  <c r="G34" i="4" s="1"/>
  <c r="C35" i="4" s="1"/>
  <c r="F35" i="4" s="1"/>
  <c r="E35" i="4" s="1"/>
  <c r="G35" i="4" s="1"/>
  <c r="C36" i="4" s="1"/>
  <c r="F36" i="4" s="1"/>
  <c r="E36" i="4" l="1"/>
  <c r="E8" i="16"/>
  <c r="E11" i="16" s="1"/>
  <c r="E12" i="16" s="1"/>
  <c r="E14" i="16" s="1"/>
  <c r="G7" i="15" s="1"/>
  <c r="G36" i="4" l="1"/>
  <c r="C37" i="4" s="1"/>
  <c r="F37" i="4" s="1"/>
  <c r="G21" i="15"/>
  <c r="E37" i="4" l="1"/>
  <c r="G37" i="4" l="1"/>
  <c r="C38" i="4" s="1"/>
  <c r="F38" i="4" s="1"/>
  <c r="E38" i="4" l="1"/>
  <c r="G38" i="4" l="1"/>
  <c r="C39" i="4" s="1"/>
  <c r="F39" i="4" s="1"/>
  <c r="E39" i="4" l="1"/>
  <c r="G39" i="4" l="1"/>
  <c r="C40" i="4" s="1"/>
  <c r="F40" i="4" s="1"/>
  <c r="E40" i="4" l="1"/>
  <c r="G40" i="4" l="1"/>
  <c r="C41" i="4" s="1"/>
  <c r="F41" i="4" s="1"/>
  <c r="E41" i="4" l="1"/>
  <c r="G41" i="4" l="1"/>
  <c r="C42" i="4" s="1"/>
  <c r="F42" i="4" s="1"/>
  <c r="E42" i="4" s="1"/>
  <c r="G42" i="4" s="1"/>
  <c r="C43" i="4" s="1"/>
  <c r="F43" i="4" s="1"/>
  <c r="E43" i="4" s="1"/>
  <c r="G43" i="4" s="1"/>
  <c r="C44" i="4" s="1"/>
  <c r="F44" i="4" s="1"/>
  <c r="E44" i="4" s="1"/>
  <c r="G44" i="4" s="1"/>
  <c r="C45" i="4" s="1"/>
  <c r="F45" i="4" s="1"/>
  <c r="E45" i="4" s="1"/>
  <c r="G45" i="4" s="1"/>
  <c r="C46" i="4" s="1"/>
  <c r="F46" i="4" s="1"/>
  <c r="E46" i="4" s="1"/>
  <c r="G46" i="4" s="1"/>
  <c r="C47" i="4" s="1"/>
  <c r="F47" i="4" s="1"/>
  <c r="E47" i="4" s="1"/>
  <c r="G47" i="4" s="1"/>
  <c r="C48" i="4" s="1"/>
  <c r="F48" i="4" s="1"/>
  <c r="E48" i="4" l="1"/>
  <c r="F8" i="16"/>
  <c r="F11" i="16" s="1"/>
  <c r="F12" i="16" s="1"/>
  <c r="F14" i="16" s="1"/>
  <c r="H7" i="15" s="1"/>
  <c r="G48" i="4" l="1"/>
  <c r="C49" i="4" s="1"/>
  <c r="F49" i="4" s="1"/>
  <c r="H21" i="15"/>
  <c r="E49" i="4" l="1"/>
  <c r="G49" i="4" l="1"/>
  <c r="C50" i="4" s="1"/>
  <c r="F50" i="4" s="1"/>
  <c r="E50" i="4" l="1"/>
  <c r="G50" i="4" l="1"/>
  <c r="C51" i="4" s="1"/>
  <c r="F51" i="4" s="1"/>
  <c r="E51" i="4" l="1"/>
  <c r="G51" i="4" l="1"/>
  <c r="C52" i="4" s="1"/>
  <c r="F52" i="4" s="1"/>
  <c r="E52" i="4" l="1"/>
  <c r="G52" i="4" l="1"/>
  <c r="C53" i="4" s="1"/>
  <c r="F53" i="4" s="1"/>
  <c r="E53" i="4" l="1"/>
  <c r="G53" i="4" l="1"/>
  <c r="C54" i="4" s="1"/>
  <c r="F54" i="4" s="1"/>
  <c r="E54" i="4" s="1"/>
  <c r="G54" i="4" s="1"/>
  <c r="C55" i="4" s="1"/>
  <c r="F55" i="4" s="1"/>
  <c r="E55" i="4" s="1"/>
  <c r="G55" i="4" s="1"/>
  <c r="C56" i="4" s="1"/>
  <c r="F56" i="4" s="1"/>
  <c r="E56" i="4" s="1"/>
  <c r="G56" i="4" s="1"/>
  <c r="C57" i="4" s="1"/>
  <c r="F57" i="4" s="1"/>
  <c r="E57" i="4" s="1"/>
  <c r="G57" i="4" s="1"/>
  <c r="C58" i="4" s="1"/>
  <c r="F58" i="4" s="1"/>
  <c r="E58" i="4" s="1"/>
  <c r="G58" i="4" s="1"/>
  <c r="C59" i="4" s="1"/>
  <c r="F59" i="4" s="1"/>
  <c r="E59" i="4" s="1"/>
  <c r="G59" i="4" s="1"/>
  <c r="C60" i="4" s="1"/>
  <c r="F60" i="4" s="1"/>
  <c r="E60" i="4" l="1"/>
  <c r="G8" i="16"/>
  <c r="G11" i="16" s="1"/>
  <c r="G12" i="16" s="1"/>
  <c r="G14" i="16" s="1"/>
  <c r="I7" i="15" s="1"/>
  <c r="G60" i="4" l="1"/>
  <c r="C61" i="4" s="1"/>
  <c r="F61" i="4" s="1"/>
  <c r="I21" i="15"/>
  <c r="E61" i="4" l="1"/>
  <c r="G61" i="4" l="1"/>
  <c r="C62" i="4" s="1"/>
  <c r="F62" i="4" s="1"/>
  <c r="E62" i="4" l="1"/>
  <c r="G62" i="4" l="1"/>
  <c r="C63" i="4" s="1"/>
  <c r="F63" i="4" s="1"/>
  <c r="E63" i="4" l="1"/>
  <c r="G63" i="4" l="1"/>
  <c r="C64" i="4" s="1"/>
  <c r="F64" i="4" s="1"/>
  <c r="E64" i="4" l="1"/>
  <c r="G64" i="4" l="1"/>
  <c r="C65" i="4" s="1"/>
  <c r="F65" i="4" s="1"/>
  <c r="E65" i="4" l="1"/>
  <c r="G65" i="4" l="1"/>
  <c r="C66" i="4" s="1"/>
  <c r="F66" i="4" s="1"/>
  <c r="E66" i="4" s="1"/>
  <c r="G66" i="4" s="1"/>
  <c r="C67" i="4" s="1"/>
  <c r="F67" i="4" s="1"/>
  <c r="E67" i="4" s="1"/>
  <c r="G67" i="4" s="1"/>
  <c r="C68" i="4" s="1"/>
  <c r="F68" i="4" s="1"/>
  <c r="E68" i="4" s="1"/>
  <c r="G68" i="4" s="1"/>
  <c r="C69" i="4" s="1"/>
  <c r="F69" i="4" s="1"/>
  <c r="E69" i="4" s="1"/>
  <c r="G69" i="4" s="1"/>
  <c r="C70" i="4" s="1"/>
  <c r="F70" i="4" s="1"/>
  <c r="E70" i="4" s="1"/>
  <c r="G70" i="4" s="1"/>
  <c r="C71" i="4" s="1"/>
  <c r="F71" i="4" s="1"/>
  <c r="E71" i="4" s="1"/>
  <c r="G71" i="4" s="1"/>
  <c r="C72" i="4" s="1"/>
  <c r="F72" i="4" s="1"/>
  <c r="E72" i="4" l="1"/>
  <c r="H8" i="16"/>
  <c r="H11" i="16" s="1"/>
  <c r="H12" i="16" s="1"/>
  <c r="H14" i="16" s="1"/>
  <c r="J7" i="15" s="1"/>
  <c r="G72" i="4" l="1"/>
  <c r="J21" i="15"/>
  <c r="D124" i="4" l="1"/>
  <c r="D125" i="4"/>
  <c r="D126" i="4"/>
  <c r="D127" i="4"/>
  <c r="D90" i="4"/>
  <c r="D107" i="4"/>
  <c r="D121" i="4"/>
  <c r="D109" i="4"/>
  <c r="D132" i="4"/>
  <c r="D73" i="4"/>
  <c r="C73" i="4"/>
  <c r="F73" i="4" s="1"/>
  <c r="D80" i="4"/>
  <c r="D98" i="4"/>
  <c r="D123" i="4"/>
  <c r="D129" i="4"/>
  <c r="D91" i="4"/>
  <c r="D111" i="4"/>
  <c r="D105" i="4"/>
  <c r="D119" i="4"/>
  <c r="D76" i="4"/>
  <c r="D77" i="4"/>
  <c r="D78" i="4"/>
  <c r="D79" i="4"/>
  <c r="D88" i="4"/>
  <c r="D106" i="4"/>
  <c r="D131" i="4"/>
  <c r="D82" i="4"/>
  <c r="D89" i="4"/>
  <c r="D83" i="4"/>
  <c r="D118" i="4"/>
  <c r="D84" i="4"/>
  <c r="D85" i="4"/>
  <c r="D86" i="4"/>
  <c r="D87" i="4"/>
  <c r="D96" i="4"/>
  <c r="D114" i="4"/>
  <c r="D81" i="4"/>
  <c r="D115" i="4"/>
  <c r="D120" i="4"/>
  <c r="D116" i="4"/>
  <c r="D113" i="4"/>
  <c r="D92" i="4"/>
  <c r="D93" i="4"/>
  <c r="D94" i="4"/>
  <c r="D95" i="4"/>
  <c r="D104" i="4"/>
  <c r="D122" i="4"/>
  <c r="D110" i="4"/>
  <c r="D117" i="4"/>
  <c r="D99" i="4"/>
  <c r="D100" i="4"/>
  <c r="D101" i="4"/>
  <c r="D102" i="4"/>
  <c r="D103" i="4"/>
  <c r="D112" i="4"/>
  <c r="D130" i="4"/>
  <c r="D97" i="4"/>
  <c r="D74" i="4"/>
  <c r="D108" i="4"/>
  <c r="D75" i="4"/>
  <c r="D128" i="4"/>
  <c r="I19" i="5" l="1"/>
  <c r="J19" i="5" s="1"/>
  <c r="I20" i="5"/>
  <c r="J20" i="5" s="1"/>
  <c r="I18" i="5"/>
  <c r="J18" i="5" s="1"/>
  <c r="I17" i="5"/>
  <c r="J17" i="5" s="1"/>
  <c r="E73" i="4"/>
  <c r="I21" i="5"/>
  <c r="J21" i="5" s="1"/>
  <c r="G73" i="4" l="1"/>
  <c r="C74" i="4" s="1"/>
  <c r="F74" i="4" s="1"/>
  <c r="E74" i="4" l="1"/>
  <c r="G74" i="4" l="1"/>
  <c r="C75" i="4" s="1"/>
  <c r="F75" i="4" s="1"/>
  <c r="E75" i="4" l="1"/>
  <c r="G75" i="4" l="1"/>
  <c r="C76" i="4" s="1"/>
  <c r="F76" i="4" s="1"/>
  <c r="E76" i="4" l="1"/>
  <c r="G76" i="4" l="1"/>
  <c r="C77" i="4" s="1"/>
  <c r="F77" i="4" s="1"/>
  <c r="E77" i="4" s="1"/>
  <c r="G77" i="4" s="1"/>
  <c r="C78" i="4" s="1"/>
  <c r="F78" i="4" s="1"/>
  <c r="E78" i="4" s="1"/>
  <c r="G78" i="4" s="1"/>
  <c r="C79" i="4" s="1"/>
  <c r="F79" i="4" s="1"/>
  <c r="E79" i="4" s="1"/>
  <c r="G79" i="4" s="1"/>
  <c r="C80" i="4" s="1"/>
  <c r="F80" i="4" s="1"/>
  <c r="E80" i="4" s="1"/>
  <c r="G80" i="4" s="1"/>
  <c r="C81" i="4" s="1"/>
  <c r="F81" i="4" s="1"/>
  <c r="E81" i="4" s="1"/>
  <c r="G81" i="4" s="1"/>
  <c r="C82" i="4" s="1"/>
  <c r="F82" i="4" s="1"/>
  <c r="E82" i="4" s="1"/>
  <c r="G82" i="4" s="1"/>
  <c r="C83" i="4" s="1"/>
  <c r="F83" i="4" s="1"/>
  <c r="E83" i="4" s="1"/>
  <c r="G83" i="4" s="1"/>
  <c r="C84" i="4" s="1"/>
  <c r="F84" i="4" s="1"/>
  <c r="E84" i="4" l="1"/>
  <c r="G84" i="4" s="1"/>
  <c r="C85" i="4" s="1"/>
  <c r="F85" i="4" s="1"/>
  <c r="I8" i="16"/>
  <c r="I11" i="16" s="1"/>
  <c r="I12" i="16" s="1"/>
  <c r="I14" i="16" s="1"/>
  <c r="K7" i="15" s="1"/>
  <c r="K21" i="15" l="1"/>
  <c r="E85" i="4"/>
  <c r="G85" i="4" l="1"/>
  <c r="C86" i="4" s="1"/>
  <c r="F86" i="4" s="1"/>
  <c r="E86" i="4" l="1"/>
  <c r="G86" i="4" l="1"/>
  <c r="C87" i="4" s="1"/>
  <c r="F87" i="4" s="1"/>
  <c r="E87" i="4" l="1"/>
  <c r="G87" i="4" l="1"/>
  <c r="C88" i="4" s="1"/>
  <c r="F88" i="4" s="1"/>
  <c r="E88" i="4" l="1"/>
  <c r="G88" i="4" l="1"/>
  <c r="C89" i="4" s="1"/>
  <c r="F89" i="4" s="1"/>
  <c r="E89" i="4" l="1"/>
  <c r="G89" i="4" l="1"/>
  <c r="C90" i="4" s="1"/>
  <c r="F90" i="4" s="1"/>
  <c r="E90" i="4" s="1"/>
  <c r="G90" i="4" s="1"/>
  <c r="C91" i="4" s="1"/>
  <c r="F91" i="4" s="1"/>
  <c r="E91" i="4" s="1"/>
  <c r="G91" i="4" s="1"/>
  <c r="C92" i="4" s="1"/>
  <c r="F92" i="4" s="1"/>
  <c r="E92" i="4" s="1"/>
  <c r="G92" i="4" s="1"/>
  <c r="C93" i="4" s="1"/>
  <c r="F93" i="4" s="1"/>
  <c r="E93" i="4" s="1"/>
  <c r="G93" i="4" s="1"/>
  <c r="C94" i="4" s="1"/>
  <c r="F94" i="4" s="1"/>
  <c r="E94" i="4" s="1"/>
  <c r="G94" i="4" s="1"/>
  <c r="C95" i="4" s="1"/>
  <c r="F95" i="4" s="1"/>
  <c r="E95" i="4" s="1"/>
  <c r="G95" i="4" s="1"/>
  <c r="C96" i="4" s="1"/>
  <c r="F96" i="4" s="1"/>
  <c r="E96" i="4" l="1"/>
  <c r="J8" i="16"/>
  <c r="J11" i="16" s="1"/>
  <c r="J12" i="16" s="1"/>
  <c r="J14" i="16" s="1"/>
  <c r="L7" i="15" s="1"/>
  <c r="G96" i="4" l="1"/>
  <c r="C97" i="4" s="1"/>
  <c r="F97" i="4" s="1"/>
  <c r="L21" i="15"/>
  <c r="E97" i="4" l="1"/>
  <c r="G97" i="4" l="1"/>
  <c r="C98" i="4" s="1"/>
  <c r="F98" i="4" s="1"/>
  <c r="E98" i="4" l="1"/>
  <c r="G98" i="4" l="1"/>
  <c r="C99" i="4" s="1"/>
  <c r="F99" i="4" s="1"/>
  <c r="E99" i="4" l="1"/>
  <c r="G99" i="4" l="1"/>
  <c r="C100" i="4" s="1"/>
  <c r="F100" i="4" s="1"/>
  <c r="E100" i="4" l="1"/>
  <c r="G100" i="4" l="1"/>
  <c r="C101" i="4" s="1"/>
  <c r="F101" i="4" s="1"/>
  <c r="E101" i="4" l="1"/>
  <c r="G101" i="4" l="1"/>
  <c r="C102" i="4" s="1"/>
  <c r="F102" i="4" s="1"/>
  <c r="E102" i="4" s="1"/>
  <c r="G102" i="4" s="1"/>
  <c r="C103" i="4" s="1"/>
  <c r="F103" i="4" s="1"/>
  <c r="E103" i="4" s="1"/>
  <c r="G103" i="4" s="1"/>
  <c r="C104" i="4" s="1"/>
  <c r="F104" i="4" s="1"/>
  <c r="E104" i="4" s="1"/>
  <c r="G104" i="4" s="1"/>
  <c r="C105" i="4" s="1"/>
  <c r="F105" i="4" s="1"/>
  <c r="E105" i="4" s="1"/>
  <c r="G105" i="4" s="1"/>
  <c r="C106" i="4" s="1"/>
  <c r="F106" i="4" s="1"/>
  <c r="E106" i="4" s="1"/>
  <c r="G106" i="4" s="1"/>
  <c r="C107" i="4" s="1"/>
  <c r="F107" i="4" s="1"/>
  <c r="E107" i="4" s="1"/>
  <c r="G107" i="4" s="1"/>
  <c r="C108" i="4" s="1"/>
  <c r="F108" i="4" s="1"/>
  <c r="E108" i="4" l="1"/>
  <c r="K8" i="16"/>
  <c r="K11" i="16" s="1"/>
  <c r="K12" i="16" s="1"/>
  <c r="K14" i="16" s="1"/>
  <c r="M7" i="15" s="1"/>
  <c r="G108" i="4" l="1"/>
  <c r="C109" i="4" s="1"/>
  <c r="F109" i="4" s="1"/>
  <c r="M21" i="15"/>
  <c r="E109" i="4" l="1"/>
  <c r="G109" i="4" l="1"/>
  <c r="C110" i="4" s="1"/>
  <c r="F110" i="4" s="1"/>
  <c r="E110" i="4" l="1"/>
  <c r="G110" i="4" l="1"/>
  <c r="C111" i="4" s="1"/>
  <c r="F111" i="4" s="1"/>
  <c r="E111" i="4" l="1"/>
  <c r="G111" i="4" l="1"/>
  <c r="C112" i="4" s="1"/>
  <c r="F112" i="4" s="1"/>
  <c r="E112" i="4" l="1"/>
  <c r="G112" i="4" l="1"/>
  <c r="C113" i="4" s="1"/>
  <c r="F113" i="4" s="1"/>
  <c r="E113" i="4" l="1"/>
  <c r="G113" i="4" l="1"/>
  <c r="C114" i="4" s="1"/>
  <c r="F114" i="4" s="1"/>
  <c r="E114" i="4" s="1"/>
  <c r="G114" i="4" s="1"/>
  <c r="C115" i="4" s="1"/>
  <c r="F115" i="4" s="1"/>
  <c r="E115" i="4" s="1"/>
  <c r="G115" i="4" s="1"/>
  <c r="C116" i="4" s="1"/>
  <c r="F116" i="4" s="1"/>
  <c r="E116" i="4" s="1"/>
  <c r="G116" i="4" s="1"/>
  <c r="C117" i="4" s="1"/>
  <c r="F117" i="4" s="1"/>
  <c r="E117" i="4" s="1"/>
  <c r="G117" i="4" s="1"/>
  <c r="C118" i="4" s="1"/>
  <c r="F118" i="4" s="1"/>
  <c r="E118" i="4" s="1"/>
  <c r="G118" i="4" s="1"/>
  <c r="C119" i="4" s="1"/>
  <c r="F119" i="4" s="1"/>
  <c r="E119" i="4" s="1"/>
  <c r="G119" i="4" s="1"/>
  <c r="C120" i="4" s="1"/>
  <c r="F120" i="4" s="1"/>
  <c r="E120" i="4" l="1"/>
  <c r="L8" i="16"/>
  <c r="L11" i="16" s="1"/>
  <c r="L12" i="16" s="1"/>
  <c r="L14" i="16" s="1"/>
  <c r="N7" i="15" s="1"/>
  <c r="G120" i="4" l="1"/>
  <c r="C121" i="4" s="1"/>
  <c r="F121" i="4" s="1"/>
  <c r="N21" i="15"/>
  <c r="E121" i="4" l="1"/>
  <c r="G121" i="4" l="1"/>
  <c r="C122" i="4" s="1"/>
  <c r="F122" i="4" s="1"/>
  <c r="E122" i="4" l="1"/>
  <c r="G122" i="4" l="1"/>
  <c r="C123" i="4" s="1"/>
  <c r="F123" i="4" s="1"/>
  <c r="E123" i="4" l="1"/>
  <c r="G123" i="4" l="1"/>
  <c r="C124" i="4" s="1"/>
  <c r="F124" i="4" s="1"/>
  <c r="E124" i="4" l="1"/>
  <c r="G124" i="4" l="1"/>
  <c r="C125" i="4" s="1"/>
  <c r="F125" i="4" s="1"/>
  <c r="E125" i="4" l="1"/>
  <c r="G125" i="4" l="1"/>
  <c r="C126" i="4" s="1"/>
  <c r="F126" i="4" s="1"/>
  <c r="E126" i="4" s="1"/>
  <c r="G126" i="4" s="1"/>
  <c r="C127" i="4" s="1"/>
  <c r="F127" i="4" s="1"/>
  <c r="E127" i="4" s="1"/>
  <c r="G127" i="4" s="1"/>
  <c r="C128" i="4" s="1"/>
  <c r="F128" i="4" s="1"/>
  <c r="E128" i="4" s="1"/>
  <c r="G128" i="4" s="1"/>
  <c r="C129" i="4" s="1"/>
  <c r="F129" i="4" s="1"/>
  <c r="E129" i="4" s="1"/>
  <c r="G129" i="4" s="1"/>
  <c r="C130" i="4" s="1"/>
  <c r="F130" i="4" s="1"/>
  <c r="E130" i="4" s="1"/>
  <c r="G130" i="4" s="1"/>
  <c r="C131" i="4" s="1"/>
  <c r="F131" i="4" s="1"/>
  <c r="E131" i="4" s="1"/>
  <c r="G131" i="4" s="1"/>
  <c r="C132" i="4" s="1"/>
  <c r="F132" i="4" s="1"/>
  <c r="E132" i="4" l="1"/>
  <c r="M8" i="16"/>
  <c r="M11" i="16" s="1"/>
  <c r="M12" i="16" s="1"/>
  <c r="M14" i="16" s="1"/>
  <c r="O7" i="15" s="1"/>
  <c r="G132" i="4" l="1"/>
  <c r="O21" i="15"/>
  <c r="D165" i="4" l="1"/>
  <c r="D138" i="4"/>
  <c r="D170" i="4"/>
  <c r="D139" i="4"/>
  <c r="D171" i="4"/>
  <c r="D140" i="4"/>
  <c r="D172" i="4"/>
  <c r="D150" i="4"/>
  <c r="D183" i="4"/>
  <c r="D154" i="4"/>
  <c r="D187" i="4"/>
  <c r="D133" i="4"/>
  <c r="D166" i="4"/>
  <c r="D168" i="4"/>
  <c r="D169" i="4"/>
  <c r="D142" i="4"/>
  <c r="D174" i="4"/>
  <c r="D143" i="4"/>
  <c r="D175" i="4"/>
  <c r="D144" i="4"/>
  <c r="D176" i="4"/>
  <c r="D177" i="4"/>
  <c r="D151" i="4"/>
  <c r="D181" i="4"/>
  <c r="D155" i="4"/>
  <c r="D188" i="4"/>
  <c r="D163" i="4"/>
  <c r="D136" i="4"/>
  <c r="D137" i="4"/>
  <c r="D173" i="4"/>
  <c r="D146" i="4"/>
  <c r="D178" i="4"/>
  <c r="D147" i="4"/>
  <c r="D179" i="4"/>
  <c r="D148" i="4"/>
  <c r="D180" i="4"/>
  <c r="D141" i="4"/>
  <c r="D182" i="4"/>
  <c r="D152" i="4"/>
  <c r="D184" i="4"/>
  <c r="D145" i="4"/>
  <c r="D186" i="4"/>
  <c r="D156" i="4"/>
  <c r="C133" i="4"/>
  <c r="F133" i="4" s="1"/>
  <c r="D161" i="4"/>
  <c r="D189" i="4"/>
  <c r="D134" i="4"/>
  <c r="D167" i="4"/>
  <c r="D149" i="4"/>
  <c r="D185" i="4"/>
  <c r="D158" i="4"/>
  <c r="D190" i="4"/>
  <c r="D159" i="4"/>
  <c r="D191" i="4"/>
  <c r="D160" i="4"/>
  <c r="D192" i="4"/>
  <c r="D153" i="4"/>
  <c r="D162" i="4"/>
  <c r="D164" i="4"/>
  <c r="D157" i="4"/>
  <c r="D135" i="4"/>
  <c r="I25" i="5" l="1"/>
  <c r="J25" i="5" s="1"/>
  <c r="I23" i="5"/>
  <c r="J23" i="5" s="1"/>
  <c r="I24" i="5"/>
  <c r="J24" i="5" s="1"/>
  <c r="E133" i="4"/>
  <c r="I22" i="5"/>
  <c r="J22" i="5" s="1"/>
  <c r="I26" i="5"/>
  <c r="J26" i="5" s="1"/>
  <c r="G133" i="4" l="1"/>
  <c r="C134" i="4" s="1"/>
  <c r="F134" i="4" s="1"/>
  <c r="E134" i="4" l="1"/>
  <c r="G134" i="4" l="1"/>
  <c r="C135" i="4" s="1"/>
  <c r="F135" i="4" s="1"/>
  <c r="E135" i="4" l="1"/>
  <c r="G135" i="4" l="1"/>
  <c r="C136" i="4" s="1"/>
  <c r="F136" i="4" s="1"/>
  <c r="E136" i="4" l="1"/>
  <c r="G136" i="4" l="1"/>
  <c r="C137" i="4" s="1"/>
  <c r="F137" i="4" s="1"/>
  <c r="E137" i="4" l="1"/>
  <c r="G137" i="4" l="1"/>
  <c r="C138" i="4" s="1"/>
  <c r="F138" i="4" s="1"/>
  <c r="E138" i="4" s="1"/>
  <c r="G138" i="4" s="1"/>
  <c r="C139" i="4" s="1"/>
  <c r="F139" i="4" s="1"/>
  <c r="E139" i="4" s="1"/>
  <c r="G139" i="4" s="1"/>
  <c r="C140" i="4" s="1"/>
  <c r="F140" i="4" s="1"/>
  <c r="E140" i="4" s="1"/>
  <c r="G140" i="4" s="1"/>
  <c r="C141" i="4" s="1"/>
  <c r="F141" i="4" s="1"/>
  <c r="E141" i="4" s="1"/>
  <c r="G141" i="4" s="1"/>
  <c r="C142" i="4" s="1"/>
  <c r="F142" i="4" s="1"/>
  <c r="E142" i="4" s="1"/>
  <c r="G142" i="4" s="1"/>
  <c r="C143" i="4" s="1"/>
  <c r="F143" i="4" s="1"/>
  <c r="E143" i="4" s="1"/>
  <c r="G143" i="4" s="1"/>
  <c r="C144" i="4" s="1"/>
  <c r="F144" i="4" s="1"/>
  <c r="E144" i="4" l="1"/>
  <c r="N8" i="16"/>
  <c r="N11" i="16" s="1"/>
  <c r="N12" i="16" s="1"/>
  <c r="N14" i="16" s="1"/>
  <c r="P7" i="15" s="1"/>
  <c r="G144" i="4" l="1"/>
  <c r="C145" i="4" s="1"/>
  <c r="F145" i="4" s="1"/>
  <c r="P21" i="15"/>
  <c r="E145" i="4" l="1"/>
  <c r="G145" i="4" l="1"/>
  <c r="C146" i="4" s="1"/>
  <c r="F146" i="4" s="1"/>
  <c r="E146" i="4" l="1"/>
  <c r="G146" i="4" l="1"/>
  <c r="C147" i="4" s="1"/>
  <c r="F147" i="4" s="1"/>
  <c r="E147" i="4" l="1"/>
  <c r="G147" i="4" l="1"/>
  <c r="C148" i="4" s="1"/>
  <c r="F148" i="4" s="1"/>
  <c r="E148" i="4" l="1"/>
  <c r="G148" i="4" l="1"/>
  <c r="C149" i="4" s="1"/>
  <c r="F149" i="4" s="1"/>
  <c r="E149" i="4" l="1"/>
  <c r="G149" i="4" l="1"/>
  <c r="C150" i="4" s="1"/>
  <c r="F150" i="4" s="1"/>
  <c r="E150" i="4" s="1"/>
  <c r="G150" i="4" s="1"/>
  <c r="C151" i="4" s="1"/>
  <c r="F151" i="4" s="1"/>
  <c r="E151" i="4" s="1"/>
  <c r="G151" i="4" s="1"/>
  <c r="C152" i="4" s="1"/>
  <c r="F152" i="4" s="1"/>
  <c r="E152" i="4" s="1"/>
  <c r="G152" i="4" s="1"/>
  <c r="C153" i="4" s="1"/>
  <c r="F153" i="4" s="1"/>
  <c r="E153" i="4" s="1"/>
  <c r="G153" i="4" s="1"/>
  <c r="C154" i="4" s="1"/>
  <c r="F154" i="4" s="1"/>
  <c r="E154" i="4" s="1"/>
  <c r="G154" i="4" s="1"/>
  <c r="C155" i="4" s="1"/>
  <c r="F155" i="4" s="1"/>
  <c r="E155" i="4" s="1"/>
  <c r="G155" i="4" s="1"/>
  <c r="C156" i="4" s="1"/>
  <c r="F156" i="4" s="1"/>
  <c r="E156" i="4" l="1"/>
  <c r="O8" i="16"/>
  <c r="O11" i="16" s="1"/>
  <c r="O12" i="16" s="1"/>
  <c r="O14" i="16" s="1"/>
  <c r="Q7" i="15" s="1"/>
  <c r="G156" i="4" l="1"/>
  <c r="C157" i="4" s="1"/>
  <c r="F157" i="4" s="1"/>
  <c r="Q21" i="15"/>
  <c r="E157" i="4" l="1"/>
  <c r="G157" i="4" l="1"/>
  <c r="C158" i="4" s="1"/>
  <c r="F158" i="4" s="1"/>
  <c r="E158" i="4" l="1"/>
  <c r="G158" i="4" l="1"/>
  <c r="C159" i="4" s="1"/>
  <c r="F159" i="4" s="1"/>
  <c r="E159" i="4" l="1"/>
  <c r="G159" i="4" l="1"/>
  <c r="C160" i="4" s="1"/>
  <c r="F160" i="4" s="1"/>
  <c r="E160" i="4" l="1"/>
  <c r="G160" i="4" l="1"/>
  <c r="C161" i="4" s="1"/>
  <c r="F161" i="4" s="1"/>
  <c r="E161" i="4" l="1"/>
  <c r="G161" i="4" l="1"/>
  <c r="C162" i="4" s="1"/>
  <c r="F162" i="4" s="1"/>
  <c r="E162" i="4" s="1"/>
  <c r="G162" i="4" s="1"/>
  <c r="C163" i="4" s="1"/>
  <c r="F163" i="4" s="1"/>
  <c r="E163" i="4" s="1"/>
  <c r="G163" i="4" s="1"/>
  <c r="C164" i="4" s="1"/>
  <c r="F164" i="4" s="1"/>
  <c r="E164" i="4" s="1"/>
  <c r="G164" i="4" s="1"/>
  <c r="C165" i="4" s="1"/>
  <c r="F165" i="4" s="1"/>
  <c r="E165" i="4" s="1"/>
  <c r="G165" i="4" s="1"/>
  <c r="C166" i="4" s="1"/>
  <c r="F166" i="4" s="1"/>
  <c r="E166" i="4" s="1"/>
  <c r="G166" i="4" s="1"/>
  <c r="C167" i="4" s="1"/>
  <c r="F167" i="4" s="1"/>
  <c r="E167" i="4" s="1"/>
  <c r="G167" i="4" s="1"/>
  <c r="C168" i="4" s="1"/>
  <c r="F168" i="4" s="1"/>
  <c r="E168" i="4" l="1"/>
  <c r="P8" i="16"/>
  <c r="P11" i="16" s="1"/>
  <c r="P12" i="16" s="1"/>
  <c r="P14" i="16" s="1"/>
  <c r="R7" i="15" s="1"/>
  <c r="G168" i="4" l="1"/>
  <c r="C169" i="4" s="1"/>
  <c r="F169" i="4" s="1"/>
  <c r="R21" i="15"/>
  <c r="E169" i="4" l="1"/>
  <c r="G169" i="4" l="1"/>
  <c r="C170" i="4" s="1"/>
  <c r="F170" i="4" s="1"/>
  <c r="E170" i="4" l="1"/>
  <c r="G170" i="4" l="1"/>
  <c r="C171" i="4" s="1"/>
  <c r="F171" i="4" s="1"/>
  <c r="E171" i="4" l="1"/>
  <c r="G171" i="4" l="1"/>
  <c r="C172" i="4" s="1"/>
  <c r="F172" i="4" s="1"/>
  <c r="E172" i="4" l="1"/>
  <c r="G172" i="4" l="1"/>
  <c r="C173" i="4" s="1"/>
  <c r="F173" i="4" s="1"/>
  <c r="E173" i="4" l="1"/>
  <c r="G173" i="4" l="1"/>
  <c r="C174" i="4" s="1"/>
  <c r="F174" i="4" s="1"/>
  <c r="E174" i="4" s="1"/>
  <c r="G174" i="4" s="1"/>
  <c r="C175" i="4" s="1"/>
  <c r="F175" i="4" s="1"/>
  <c r="E175" i="4" s="1"/>
  <c r="G175" i="4" s="1"/>
  <c r="C176" i="4" s="1"/>
  <c r="F176" i="4" s="1"/>
  <c r="E176" i="4" s="1"/>
  <c r="G176" i="4" s="1"/>
  <c r="C177" i="4" s="1"/>
  <c r="F177" i="4" s="1"/>
  <c r="E177" i="4" s="1"/>
  <c r="G177" i="4" s="1"/>
  <c r="C178" i="4" s="1"/>
  <c r="F178" i="4" s="1"/>
  <c r="E178" i="4" s="1"/>
  <c r="G178" i="4" s="1"/>
  <c r="C179" i="4" s="1"/>
  <c r="F179" i="4" s="1"/>
  <c r="E179" i="4" s="1"/>
  <c r="G179" i="4" s="1"/>
  <c r="C180" i="4" s="1"/>
  <c r="F180" i="4" s="1"/>
  <c r="E180" i="4" l="1"/>
  <c r="Q8" i="16"/>
  <c r="Q11" i="16" s="1"/>
  <c r="Q12" i="16" s="1"/>
  <c r="Q14" i="16" s="1"/>
  <c r="S7" i="15" s="1"/>
  <c r="G180" i="4" l="1"/>
  <c r="C181" i="4" s="1"/>
  <c r="F181" i="4" s="1"/>
  <c r="S21" i="15"/>
  <c r="E181" i="4" l="1"/>
  <c r="G181" i="4" l="1"/>
  <c r="C182" i="4" s="1"/>
  <c r="F182" i="4" s="1"/>
  <c r="E182" i="4" l="1"/>
  <c r="G182" i="4" l="1"/>
  <c r="C183" i="4" s="1"/>
  <c r="F183" i="4" s="1"/>
  <c r="E183" i="4" l="1"/>
  <c r="G183" i="4" l="1"/>
  <c r="C184" i="4" s="1"/>
  <c r="F184" i="4" s="1"/>
  <c r="E184" i="4" l="1"/>
  <c r="G184" i="4" l="1"/>
  <c r="C185" i="4" s="1"/>
  <c r="F185" i="4" s="1"/>
  <c r="E185" i="4" l="1"/>
  <c r="G185" i="4" l="1"/>
  <c r="C186" i="4" s="1"/>
  <c r="F186" i="4" s="1"/>
  <c r="E186" i="4" s="1"/>
  <c r="G186" i="4" s="1"/>
  <c r="C187" i="4" s="1"/>
  <c r="F187" i="4" s="1"/>
  <c r="E187" i="4" s="1"/>
  <c r="G187" i="4" s="1"/>
  <c r="C188" i="4" s="1"/>
  <c r="F188" i="4" s="1"/>
  <c r="E188" i="4" s="1"/>
  <c r="G188" i="4" s="1"/>
  <c r="C189" i="4" s="1"/>
  <c r="F189" i="4" s="1"/>
  <c r="E189" i="4" s="1"/>
  <c r="G189" i="4" s="1"/>
  <c r="C190" i="4" s="1"/>
  <c r="F190" i="4" s="1"/>
  <c r="E190" i="4" s="1"/>
  <c r="G190" i="4" s="1"/>
  <c r="C191" i="4" s="1"/>
  <c r="F191" i="4" s="1"/>
  <c r="E191" i="4" s="1"/>
  <c r="G191" i="4" s="1"/>
  <c r="C192" i="4" s="1"/>
  <c r="F192" i="4" s="1"/>
  <c r="E192" i="4" l="1"/>
  <c r="R8" i="16"/>
  <c r="R11" i="16" s="1"/>
  <c r="R12" i="16" s="1"/>
  <c r="R14" i="16" s="1"/>
  <c r="T7" i="15" s="1"/>
  <c r="G192" i="4" l="1"/>
  <c r="T21" i="15"/>
  <c r="D301" i="4" l="1"/>
  <c r="D310" i="4"/>
  <c r="D200" i="4"/>
  <c r="D233" i="4"/>
  <c r="D212" i="4"/>
  <c r="D309" i="4"/>
  <c r="D195" i="4"/>
  <c r="D204" i="4"/>
  <c r="D217" i="4"/>
  <c r="D228" i="4"/>
  <c r="D293" i="4"/>
  <c r="D302" i="4"/>
  <c r="D311" i="4"/>
  <c r="C193" i="4"/>
  <c r="F193" i="4" s="1"/>
  <c r="D244" i="4"/>
  <c r="D255" i="4"/>
  <c r="D241" i="4"/>
  <c r="D229" i="4"/>
  <c r="D290" i="4"/>
  <c r="D300" i="4"/>
  <c r="D288" i="4"/>
  <c r="D312" i="4"/>
  <c r="D305" i="4"/>
  <c r="D196" i="4"/>
  <c r="D198" i="4"/>
  <c r="D207" i="4"/>
  <c r="D216" i="4"/>
  <c r="D249" i="4"/>
  <c r="D292" i="4"/>
  <c r="D202" i="4"/>
  <c r="D211" i="4"/>
  <c r="D220" i="4"/>
  <c r="D265" i="4"/>
  <c r="D276" i="4"/>
  <c r="D193" i="4"/>
  <c r="D199" i="4"/>
  <c r="D208" i="4"/>
  <c r="D201" i="4"/>
  <c r="D260" i="4"/>
  <c r="D246" i="4"/>
  <c r="D259" i="4"/>
  <c r="D238" i="4"/>
  <c r="D291" i="4"/>
  <c r="D279" i="4"/>
  <c r="D303" i="4"/>
  <c r="D298" i="4"/>
  <c r="D286" i="4"/>
  <c r="D205" i="4"/>
  <c r="D214" i="4"/>
  <c r="D223" i="4"/>
  <c r="D232" i="4"/>
  <c r="D281" i="4"/>
  <c r="D209" i="4"/>
  <c r="D218" i="4"/>
  <c r="D227" i="4"/>
  <c r="D236" i="4"/>
  <c r="D297" i="4"/>
  <c r="D197" i="4"/>
  <c r="D206" i="4"/>
  <c r="D215" i="4"/>
  <c r="D224" i="4"/>
  <c r="D194" i="4"/>
  <c r="D308" i="4"/>
  <c r="D264" i="4"/>
  <c r="D258" i="4"/>
  <c r="D250" i="4"/>
  <c r="D274" i="4"/>
  <c r="D247" i="4"/>
  <c r="D270" i="4"/>
  <c r="D294" i="4"/>
  <c r="D289" i="4"/>
  <c r="D277" i="4"/>
  <c r="D221" i="4"/>
  <c r="D230" i="4"/>
  <c r="D239" i="4"/>
  <c r="D248" i="4"/>
  <c r="D210" i="4"/>
  <c r="D225" i="4"/>
  <c r="D234" i="4"/>
  <c r="D243" i="4"/>
  <c r="D252" i="4"/>
  <c r="D226" i="4"/>
  <c r="D213" i="4"/>
  <c r="D222" i="4"/>
  <c r="D231" i="4"/>
  <c r="D240" i="4"/>
  <c r="D242" i="4"/>
  <c r="D237" i="4"/>
  <c r="D268" i="4"/>
  <c r="D256" i="4"/>
  <c r="D261" i="4"/>
  <c r="D285" i="4"/>
  <c r="D307" i="4"/>
  <c r="D295" i="4"/>
  <c r="D253" i="4"/>
  <c r="D262" i="4"/>
  <c r="D271" i="4"/>
  <c r="D280" i="4"/>
  <c r="D306" i="4"/>
  <c r="D257" i="4"/>
  <c r="D266" i="4"/>
  <c r="D275" i="4"/>
  <c r="D284" i="4"/>
  <c r="D203" i="4"/>
  <c r="D245" i="4"/>
  <c r="D254" i="4"/>
  <c r="D263" i="4"/>
  <c r="D272" i="4"/>
  <c r="D219" i="4"/>
  <c r="D269" i="4"/>
  <c r="D278" i="4"/>
  <c r="D287" i="4"/>
  <c r="D296" i="4"/>
  <c r="D251" i="4"/>
  <c r="D273" i="4"/>
  <c r="D282" i="4"/>
  <c r="D235" i="4"/>
  <c r="D267" i="4"/>
  <c r="D299" i="4"/>
  <c r="D283" i="4"/>
  <c r="D304" i="4"/>
  <c r="I32" i="5" l="1"/>
  <c r="J32" i="5" s="1"/>
  <c r="I34" i="5"/>
  <c r="J34" i="5" s="1"/>
  <c r="I29" i="5"/>
  <c r="J29" i="5" s="1"/>
  <c r="I36" i="5"/>
  <c r="J36" i="5" s="1"/>
  <c r="I27" i="5"/>
  <c r="J27" i="5" s="1"/>
  <c r="E193" i="4"/>
  <c r="I30" i="5"/>
  <c r="J30" i="5" s="1"/>
  <c r="I33" i="5"/>
  <c r="J33" i="5" s="1"/>
  <c r="I35" i="5"/>
  <c r="J35" i="5" s="1"/>
  <c r="I28" i="5"/>
  <c r="J28" i="5" s="1"/>
  <c r="I31" i="5"/>
  <c r="J31" i="5" s="1"/>
  <c r="G193" i="4" l="1"/>
  <c r="C194" i="4" s="1"/>
  <c r="F194" i="4" s="1"/>
  <c r="E194" i="4" l="1"/>
  <c r="G194" i="4" l="1"/>
  <c r="C195" i="4" s="1"/>
  <c r="F195" i="4" s="1"/>
  <c r="E195" i="4" l="1"/>
  <c r="G195" i="4" l="1"/>
  <c r="C196" i="4" s="1"/>
  <c r="F196" i="4" s="1"/>
  <c r="E196" i="4" l="1"/>
  <c r="G196" i="4" l="1"/>
  <c r="C197" i="4" s="1"/>
  <c r="F197" i="4" s="1"/>
  <c r="E197" i="4" s="1"/>
  <c r="G197" i="4" s="1"/>
  <c r="C198" i="4" s="1"/>
  <c r="F198" i="4" s="1"/>
  <c r="E198" i="4" s="1"/>
  <c r="G198" i="4" s="1"/>
  <c r="C199" i="4" s="1"/>
  <c r="F199" i="4" s="1"/>
  <c r="E199" i="4" s="1"/>
  <c r="G199" i="4" s="1"/>
  <c r="C200" i="4" s="1"/>
  <c r="F200" i="4" s="1"/>
  <c r="E200" i="4" s="1"/>
  <c r="G200" i="4" s="1"/>
  <c r="C201" i="4" s="1"/>
  <c r="F201" i="4" s="1"/>
  <c r="E201" i="4" s="1"/>
  <c r="G201" i="4" s="1"/>
  <c r="C202" i="4" s="1"/>
  <c r="F202" i="4" s="1"/>
  <c r="E202" i="4" s="1"/>
  <c r="G202" i="4" s="1"/>
  <c r="C203" i="4" s="1"/>
  <c r="F203" i="4" s="1"/>
  <c r="E203" i="4" s="1"/>
  <c r="G203" i="4" s="1"/>
  <c r="C204" i="4" s="1"/>
  <c r="F204" i="4" s="1"/>
  <c r="E204" i="4" l="1"/>
  <c r="G204" i="4" s="1"/>
  <c r="C205" i="4" s="1"/>
  <c r="F205" i="4" s="1"/>
  <c r="S8" i="16"/>
  <c r="S11" i="16" s="1"/>
  <c r="S12" i="16" s="1"/>
  <c r="S14" i="16" s="1"/>
  <c r="U7" i="15" s="1"/>
  <c r="E205" i="4" l="1"/>
  <c r="U21" i="15"/>
  <c r="G205" i="4" l="1"/>
  <c r="C206" i="4" s="1"/>
  <c r="F206" i="4" s="1"/>
  <c r="E206" i="4" l="1"/>
  <c r="G206" i="4" l="1"/>
  <c r="C207" i="4" s="1"/>
  <c r="F207" i="4" s="1"/>
  <c r="E207" i="4" l="1"/>
  <c r="G207" i="4" l="1"/>
  <c r="C208" i="4" s="1"/>
  <c r="F208" i="4" s="1"/>
  <c r="E208" i="4" l="1"/>
  <c r="G208" i="4" l="1"/>
  <c r="C209" i="4" s="1"/>
  <c r="F209" i="4" s="1"/>
  <c r="E209" i="4" l="1"/>
  <c r="G209" i="4" l="1"/>
  <c r="C210" i="4" s="1"/>
  <c r="F210" i="4" s="1"/>
  <c r="E210" i="4" s="1"/>
  <c r="G210" i="4" s="1"/>
  <c r="C211" i="4" s="1"/>
  <c r="F211" i="4" s="1"/>
  <c r="E211" i="4" s="1"/>
  <c r="G211" i="4" s="1"/>
  <c r="C212" i="4" s="1"/>
  <c r="F212" i="4" s="1"/>
  <c r="E212" i="4" s="1"/>
  <c r="G212" i="4" s="1"/>
  <c r="C213" i="4" s="1"/>
  <c r="F213" i="4" s="1"/>
  <c r="E213" i="4" s="1"/>
  <c r="G213" i="4" s="1"/>
  <c r="C214" i="4" s="1"/>
  <c r="F214" i="4" s="1"/>
  <c r="E214" i="4" s="1"/>
  <c r="G214" i="4" s="1"/>
  <c r="C215" i="4" s="1"/>
  <c r="F215" i="4" s="1"/>
  <c r="E215" i="4" s="1"/>
  <c r="G215" i="4" s="1"/>
  <c r="C216" i="4" s="1"/>
  <c r="F216" i="4" s="1"/>
  <c r="E216" i="4" l="1"/>
  <c r="T8" i="16"/>
  <c r="T11" i="16" s="1"/>
  <c r="T12" i="16" s="1"/>
  <c r="T14" i="16" s="1"/>
  <c r="V7" i="15" s="1"/>
  <c r="G216" i="4" l="1"/>
  <c r="C217" i="4" s="1"/>
  <c r="F217" i="4" s="1"/>
  <c r="V21" i="15"/>
  <c r="E217" i="4" l="1"/>
  <c r="G217" i="4" l="1"/>
  <c r="C218" i="4" s="1"/>
  <c r="F218" i="4" s="1"/>
  <c r="E218" i="4" l="1"/>
  <c r="G218" i="4" l="1"/>
  <c r="C219" i="4" s="1"/>
  <c r="F219" i="4" s="1"/>
  <c r="E219" i="4" l="1"/>
  <c r="G219" i="4" l="1"/>
  <c r="C220" i="4" s="1"/>
  <c r="F220" i="4" s="1"/>
  <c r="E220" i="4" l="1"/>
  <c r="G220" i="4" l="1"/>
  <c r="C221" i="4" s="1"/>
  <c r="F221" i="4" s="1"/>
  <c r="E221" i="4" l="1"/>
  <c r="G221" i="4" l="1"/>
  <c r="C222" i="4" s="1"/>
  <c r="F222" i="4" s="1"/>
  <c r="E222" i="4" s="1"/>
  <c r="G222" i="4" s="1"/>
  <c r="C223" i="4" s="1"/>
  <c r="F223" i="4" s="1"/>
  <c r="E223" i="4" s="1"/>
  <c r="G223" i="4" s="1"/>
  <c r="C224" i="4" s="1"/>
  <c r="F224" i="4" s="1"/>
  <c r="E224" i="4" s="1"/>
  <c r="G224" i="4" s="1"/>
  <c r="C225" i="4" s="1"/>
  <c r="F225" i="4" s="1"/>
  <c r="E225" i="4" s="1"/>
  <c r="G225" i="4" s="1"/>
  <c r="C226" i="4" s="1"/>
  <c r="F226" i="4" s="1"/>
  <c r="E226" i="4" s="1"/>
  <c r="G226" i="4" s="1"/>
  <c r="C227" i="4" s="1"/>
  <c r="F227" i="4" s="1"/>
  <c r="E227" i="4" s="1"/>
  <c r="G227" i="4" s="1"/>
  <c r="C228" i="4" s="1"/>
  <c r="F228" i="4" s="1"/>
  <c r="E228" i="4" l="1"/>
  <c r="U8" i="16"/>
  <c r="U11" i="16" s="1"/>
  <c r="U12" i="16" s="1"/>
  <c r="U14" i="16" s="1"/>
  <c r="W7" i="15" s="1"/>
  <c r="G228" i="4" l="1"/>
  <c r="C229" i="4" s="1"/>
  <c r="F229" i="4" s="1"/>
  <c r="W21" i="15"/>
  <c r="E229" i="4" l="1"/>
  <c r="G229" i="4" l="1"/>
  <c r="C230" i="4" s="1"/>
  <c r="F230" i="4" s="1"/>
  <c r="E230" i="4" l="1"/>
  <c r="G230" i="4" l="1"/>
  <c r="C231" i="4" s="1"/>
  <c r="F231" i="4" s="1"/>
  <c r="E231" i="4" l="1"/>
  <c r="G231" i="4" l="1"/>
  <c r="C232" i="4" s="1"/>
  <c r="F232" i="4" s="1"/>
  <c r="E232" i="4" l="1"/>
  <c r="G232" i="4" l="1"/>
  <c r="C233" i="4" s="1"/>
  <c r="F233" i="4" s="1"/>
  <c r="E233" i="4" l="1"/>
  <c r="G233" i="4" l="1"/>
  <c r="C234" i="4" s="1"/>
  <c r="F234" i="4" s="1"/>
  <c r="E234" i="4" s="1"/>
  <c r="G234" i="4" s="1"/>
  <c r="C235" i="4" s="1"/>
  <c r="F235" i="4" s="1"/>
  <c r="E235" i="4" s="1"/>
  <c r="G235" i="4" s="1"/>
  <c r="C236" i="4" s="1"/>
  <c r="F236" i="4" s="1"/>
  <c r="E236" i="4" s="1"/>
  <c r="G236" i="4" s="1"/>
  <c r="C237" i="4" s="1"/>
  <c r="F237" i="4" s="1"/>
  <c r="E237" i="4" s="1"/>
  <c r="G237" i="4" s="1"/>
  <c r="C238" i="4" s="1"/>
  <c r="F238" i="4" s="1"/>
  <c r="E238" i="4" s="1"/>
  <c r="G238" i="4" s="1"/>
  <c r="C239" i="4" s="1"/>
  <c r="F239" i="4" s="1"/>
  <c r="E239" i="4" s="1"/>
  <c r="G239" i="4" s="1"/>
  <c r="C240" i="4" s="1"/>
  <c r="F240" i="4" s="1"/>
  <c r="E240" i="4" l="1"/>
  <c r="V8" i="16"/>
  <c r="V11" i="16" s="1"/>
  <c r="V12" i="16" s="1"/>
  <c r="V14" i="16" s="1"/>
  <c r="X7" i="15" s="1"/>
  <c r="G240" i="4" l="1"/>
  <c r="C241" i="4" s="1"/>
  <c r="F241" i="4" s="1"/>
  <c r="X21" i="15"/>
  <c r="E241" i="4" l="1"/>
  <c r="G241" i="4" l="1"/>
  <c r="C242" i="4" s="1"/>
  <c r="F242" i="4" s="1"/>
  <c r="E242" i="4" l="1"/>
  <c r="G242" i="4" l="1"/>
  <c r="C243" i="4" s="1"/>
  <c r="F243" i="4" s="1"/>
  <c r="E243" i="4" l="1"/>
  <c r="G243" i="4" l="1"/>
  <c r="C244" i="4" s="1"/>
  <c r="F244" i="4" s="1"/>
  <c r="E244" i="4" l="1"/>
  <c r="G244" i="4" l="1"/>
  <c r="C245" i="4" s="1"/>
  <c r="F245" i="4" s="1"/>
  <c r="E245" i="4" l="1"/>
  <c r="G245" i="4" l="1"/>
  <c r="C246" i="4" s="1"/>
  <c r="F246" i="4" s="1"/>
  <c r="E246" i="4" s="1"/>
  <c r="G246" i="4" s="1"/>
  <c r="C247" i="4" s="1"/>
  <c r="F247" i="4" s="1"/>
  <c r="E247" i="4" s="1"/>
  <c r="G247" i="4" s="1"/>
  <c r="C248" i="4" s="1"/>
  <c r="F248" i="4" s="1"/>
  <c r="E248" i="4" s="1"/>
  <c r="G248" i="4" s="1"/>
  <c r="C249" i="4" s="1"/>
  <c r="F249" i="4" s="1"/>
  <c r="E249" i="4" s="1"/>
  <c r="G249" i="4" s="1"/>
  <c r="C250" i="4" s="1"/>
  <c r="F250" i="4" s="1"/>
  <c r="E250" i="4" s="1"/>
  <c r="G250" i="4" s="1"/>
  <c r="C251" i="4" s="1"/>
  <c r="F251" i="4" s="1"/>
  <c r="E251" i="4" s="1"/>
  <c r="G251" i="4" s="1"/>
  <c r="C252" i="4" s="1"/>
  <c r="F252" i="4" s="1"/>
  <c r="E252" i="4" l="1"/>
  <c r="W8" i="16"/>
  <c r="W11" i="16" s="1"/>
  <c r="W12" i="16" s="1"/>
  <c r="W14" i="16" s="1"/>
  <c r="Y7" i="15" s="1"/>
  <c r="G252" i="4" l="1"/>
  <c r="C253" i="4" s="1"/>
  <c r="F253" i="4" s="1"/>
  <c r="Y21" i="15"/>
  <c r="E253" i="4" l="1"/>
  <c r="G253" i="4" l="1"/>
  <c r="C254" i="4" s="1"/>
  <c r="F254" i="4" s="1"/>
  <c r="E254" i="4" l="1"/>
  <c r="G254" i="4" l="1"/>
  <c r="C255" i="4" s="1"/>
  <c r="F255" i="4" s="1"/>
  <c r="E255" i="4" l="1"/>
  <c r="G255" i="4" l="1"/>
  <c r="C256" i="4" s="1"/>
  <c r="F256" i="4" s="1"/>
  <c r="E256" i="4" l="1"/>
  <c r="G256" i="4" l="1"/>
  <c r="C257" i="4" s="1"/>
  <c r="F257" i="4" s="1"/>
  <c r="E257" i="4" l="1"/>
  <c r="G257" i="4" l="1"/>
  <c r="C258" i="4" s="1"/>
  <c r="F258" i="4" s="1"/>
  <c r="E258" i="4" s="1"/>
  <c r="G258" i="4" s="1"/>
  <c r="C259" i="4" s="1"/>
  <c r="F259" i="4" s="1"/>
  <c r="E259" i="4" s="1"/>
  <c r="G259" i="4" s="1"/>
  <c r="C260" i="4" s="1"/>
  <c r="F260" i="4" s="1"/>
  <c r="E260" i="4" s="1"/>
  <c r="G260" i="4" s="1"/>
  <c r="C261" i="4" s="1"/>
  <c r="F261" i="4" s="1"/>
  <c r="E261" i="4" s="1"/>
  <c r="G261" i="4" s="1"/>
  <c r="C262" i="4" s="1"/>
  <c r="F262" i="4" s="1"/>
  <c r="E262" i="4" s="1"/>
  <c r="G262" i="4" s="1"/>
  <c r="C263" i="4" s="1"/>
  <c r="F263" i="4" s="1"/>
  <c r="E263" i="4" s="1"/>
  <c r="G263" i="4" s="1"/>
  <c r="C264" i="4" s="1"/>
  <c r="F264" i="4" s="1"/>
  <c r="E264" i="4" l="1"/>
  <c r="X8" i="16"/>
  <c r="X11" i="16" s="1"/>
  <c r="X12" i="16" s="1"/>
  <c r="X14" i="16" s="1"/>
  <c r="Z7" i="15" s="1"/>
  <c r="G264" i="4" l="1"/>
  <c r="C265" i="4" s="1"/>
  <c r="F265" i="4" s="1"/>
  <c r="Z21" i="15"/>
  <c r="E265" i="4" l="1"/>
  <c r="G265" i="4" l="1"/>
  <c r="C266" i="4" s="1"/>
  <c r="F266" i="4" s="1"/>
  <c r="E266" i="4" l="1"/>
  <c r="G266" i="4" l="1"/>
  <c r="C267" i="4" s="1"/>
  <c r="F267" i="4" s="1"/>
  <c r="E267" i="4" l="1"/>
  <c r="G267" i="4" l="1"/>
  <c r="C268" i="4" s="1"/>
  <c r="F268" i="4" s="1"/>
  <c r="E268" i="4" l="1"/>
  <c r="G268" i="4" l="1"/>
  <c r="C269" i="4" s="1"/>
  <c r="F269" i="4" s="1"/>
  <c r="E269" i="4" l="1"/>
  <c r="G269" i="4" l="1"/>
  <c r="C270" i="4" s="1"/>
  <c r="F270" i="4" s="1"/>
  <c r="E270" i="4" s="1"/>
  <c r="G270" i="4" s="1"/>
  <c r="C271" i="4" s="1"/>
  <c r="F271" i="4" s="1"/>
  <c r="E271" i="4" s="1"/>
  <c r="G271" i="4" s="1"/>
  <c r="C272" i="4" s="1"/>
  <c r="F272" i="4" s="1"/>
  <c r="E272" i="4" s="1"/>
  <c r="G272" i="4" s="1"/>
  <c r="C273" i="4" s="1"/>
  <c r="F273" i="4" s="1"/>
  <c r="E273" i="4" s="1"/>
  <c r="G273" i="4" s="1"/>
  <c r="C274" i="4" s="1"/>
  <c r="F274" i="4" s="1"/>
  <c r="E274" i="4" s="1"/>
  <c r="G274" i="4" s="1"/>
  <c r="C275" i="4" s="1"/>
  <c r="F275" i="4" s="1"/>
  <c r="E275" i="4" s="1"/>
  <c r="G275" i="4" s="1"/>
  <c r="C276" i="4" s="1"/>
  <c r="F276" i="4" s="1"/>
  <c r="E276" i="4" l="1"/>
  <c r="Y8" i="16"/>
  <c r="Y11" i="16" s="1"/>
  <c r="Y12" i="16" s="1"/>
  <c r="Y14" i="16" s="1"/>
  <c r="AA7" i="15" s="1"/>
  <c r="G276" i="4" l="1"/>
  <c r="C277" i="4" s="1"/>
  <c r="F277" i="4" s="1"/>
  <c r="AA21" i="15"/>
  <c r="E277" i="4" l="1"/>
  <c r="G277" i="4" l="1"/>
  <c r="C278" i="4" s="1"/>
  <c r="F278" i="4" s="1"/>
  <c r="E278" i="4" l="1"/>
  <c r="G278" i="4" l="1"/>
  <c r="C279" i="4" s="1"/>
  <c r="F279" i="4" s="1"/>
  <c r="E279" i="4" l="1"/>
  <c r="G279" i="4" l="1"/>
  <c r="C280" i="4" s="1"/>
  <c r="F280" i="4" s="1"/>
  <c r="E280" i="4" l="1"/>
  <c r="G280" i="4" l="1"/>
  <c r="C281" i="4" s="1"/>
  <c r="F281" i="4" s="1"/>
  <c r="E281" i="4" l="1"/>
  <c r="G281" i="4" l="1"/>
  <c r="C282" i="4" s="1"/>
  <c r="F282" i="4" s="1"/>
  <c r="E282" i="4" s="1"/>
  <c r="G282" i="4" s="1"/>
  <c r="C283" i="4" s="1"/>
  <c r="F283" i="4" s="1"/>
  <c r="E283" i="4" s="1"/>
  <c r="G283" i="4" s="1"/>
  <c r="C284" i="4" s="1"/>
  <c r="F284" i="4" s="1"/>
  <c r="E284" i="4" s="1"/>
  <c r="G284" i="4" s="1"/>
  <c r="C285" i="4" s="1"/>
  <c r="F285" i="4" s="1"/>
  <c r="E285" i="4" s="1"/>
  <c r="G285" i="4" s="1"/>
  <c r="C286" i="4" s="1"/>
  <c r="F286" i="4" s="1"/>
  <c r="E286" i="4" s="1"/>
  <c r="G286" i="4" s="1"/>
  <c r="C287" i="4" s="1"/>
  <c r="F287" i="4" s="1"/>
  <c r="E287" i="4" s="1"/>
  <c r="G287" i="4" s="1"/>
  <c r="C288" i="4" s="1"/>
  <c r="F288" i="4" s="1"/>
  <c r="E288" i="4" l="1"/>
  <c r="Z8" i="16"/>
  <c r="Z11" i="16" s="1"/>
  <c r="Z12" i="16" s="1"/>
  <c r="Z14" i="16" s="1"/>
  <c r="AB7" i="15" s="1"/>
  <c r="G288" i="4" l="1"/>
  <c r="C289" i="4" s="1"/>
  <c r="F289" i="4" s="1"/>
  <c r="AB21" i="15"/>
  <c r="E289" i="4" l="1"/>
  <c r="G289" i="4" l="1"/>
  <c r="C290" i="4" s="1"/>
  <c r="F290" i="4" s="1"/>
  <c r="E290" i="4" l="1"/>
  <c r="G290" i="4" l="1"/>
  <c r="C291" i="4" s="1"/>
  <c r="F291" i="4" s="1"/>
  <c r="E291" i="4" l="1"/>
  <c r="G291" i="4" l="1"/>
  <c r="C292" i="4" s="1"/>
  <c r="F292" i="4" s="1"/>
  <c r="E292" i="4" l="1"/>
  <c r="G292" i="4" l="1"/>
  <c r="C293" i="4" s="1"/>
  <c r="F293" i="4" s="1"/>
  <c r="E293" i="4" l="1"/>
  <c r="G293" i="4" l="1"/>
  <c r="C294" i="4" s="1"/>
  <c r="F294" i="4" s="1"/>
  <c r="E294" i="4" s="1"/>
  <c r="G294" i="4" s="1"/>
  <c r="C295" i="4" s="1"/>
  <c r="F295" i="4" s="1"/>
  <c r="E295" i="4" s="1"/>
  <c r="G295" i="4" s="1"/>
  <c r="C296" i="4" s="1"/>
  <c r="F296" i="4" s="1"/>
  <c r="E296" i="4" s="1"/>
  <c r="G296" i="4" s="1"/>
  <c r="C297" i="4" s="1"/>
  <c r="F297" i="4" s="1"/>
  <c r="E297" i="4" s="1"/>
  <c r="G297" i="4" s="1"/>
  <c r="C298" i="4" s="1"/>
  <c r="F298" i="4" s="1"/>
  <c r="E298" i="4" s="1"/>
  <c r="G298" i="4" s="1"/>
  <c r="C299" i="4" s="1"/>
  <c r="F299" i="4" s="1"/>
  <c r="E299" i="4" s="1"/>
  <c r="G299" i="4" s="1"/>
  <c r="C300" i="4" s="1"/>
  <c r="F300" i="4" s="1"/>
  <c r="E300" i="4" l="1"/>
  <c r="AA8" i="16"/>
  <c r="AA11" i="16" s="1"/>
  <c r="AA12" i="16" s="1"/>
  <c r="AA14" i="16" s="1"/>
  <c r="AC7" i="15" s="1"/>
  <c r="G300" i="4" l="1"/>
  <c r="C301" i="4" s="1"/>
  <c r="F301" i="4" s="1"/>
  <c r="AC21" i="15"/>
  <c r="E301" i="4" l="1"/>
  <c r="G301" i="4" l="1"/>
  <c r="C302" i="4" s="1"/>
  <c r="F302" i="4" s="1"/>
  <c r="E302" i="4" l="1"/>
  <c r="G302" i="4" l="1"/>
  <c r="C303" i="4" s="1"/>
  <c r="F303" i="4" s="1"/>
  <c r="E303" i="4" l="1"/>
  <c r="G303" i="4" l="1"/>
  <c r="C304" i="4" s="1"/>
  <c r="F304" i="4" s="1"/>
  <c r="E304" i="4" l="1"/>
  <c r="G304" i="4" l="1"/>
  <c r="C305" i="4" s="1"/>
  <c r="F305" i="4" s="1"/>
  <c r="E305" i="4" l="1"/>
  <c r="G305" i="4" l="1"/>
  <c r="C306" i="4" s="1"/>
  <c r="F306" i="4" s="1"/>
  <c r="E306" i="4" s="1"/>
  <c r="G306" i="4" s="1"/>
  <c r="C307" i="4" s="1"/>
  <c r="F307" i="4" s="1"/>
  <c r="E307" i="4" s="1"/>
  <c r="G307" i="4" s="1"/>
  <c r="C308" i="4" s="1"/>
  <c r="F308" i="4" s="1"/>
  <c r="E308" i="4" s="1"/>
  <c r="G308" i="4" s="1"/>
  <c r="C309" i="4" s="1"/>
  <c r="F309" i="4" s="1"/>
  <c r="E309" i="4" s="1"/>
  <c r="G309" i="4" s="1"/>
  <c r="C310" i="4" s="1"/>
  <c r="F310" i="4" s="1"/>
  <c r="E310" i="4" s="1"/>
  <c r="G310" i="4" s="1"/>
  <c r="C311" i="4" s="1"/>
  <c r="F311" i="4" s="1"/>
  <c r="E311" i="4" s="1"/>
  <c r="G311" i="4" s="1"/>
  <c r="C312" i="4" s="1"/>
  <c r="F312" i="4" s="1"/>
  <c r="E312" i="4" l="1"/>
  <c r="AB8" i="16"/>
  <c r="AB11" i="16" s="1"/>
  <c r="AB12" i="16" s="1"/>
  <c r="AB14" i="16" s="1"/>
  <c r="AD7" i="15" s="1"/>
  <c r="G312" i="4" l="1"/>
  <c r="AD21" i="15"/>
  <c r="C4" i="17" s="1" a="1"/>
  <c r="C4" i="17" s="1"/>
  <c r="J3" i="17" s="1"/>
  <c r="D4" i="17" l="1"/>
  <c r="D5" i="17" s="1"/>
  <c r="J4" i="17"/>
  <c r="J2" i="17"/>
  <c r="D6" i="17" l="1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<sst xmlns="http://schemas.openxmlformats.org/spreadsheetml/2006/main" count="210" uniqueCount="145">
  <si>
    <t>Number of MW produced by the entire farm</t>
  </si>
  <si>
    <t>Number of MW produced by a single turbine</t>
  </si>
  <si>
    <t>Number of Turbines Needed for the Project</t>
  </si>
  <si>
    <t xml:space="preserve">Average Price for a single turbine </t>
  </si>
  <si>
    <t>Price for all Turbines</t>
  </si>
  <si>
    <t>Wind Capacity factor in Marjayoun (Where project will take place)</t>
  </si>
  <si>
    <t>Households covered by our project</t>
  </si>
  <si>
    <t>Number of Households in lebanon</t>
  </si>
  <si>
    <t>Per capita KWh consumed</t>
  </si>
  <si>
    <t>Per household KWh consumed</t>
  </si>
  <si>
    <t>Area Needed per turbine (acres)</t>
  </si>
  <si>
    <t>Area Needed per turbine (m^2)</t>
  </si>
  <si>
    <t>Price of 1 m^2 land in Marjayoun</t>
  </si>
  <si>
    <t>Price of all the land needed</t>
  </si>
  <si>
    <t>Price of Transportation of Material</t>
  </si>
  <si>
    <t>Price of Turbines with the installation</t>
  </si>
  <si>
    <t xml:space="preserve">Construction Costs </t>
  </si>
  <si>
    <t>Cost of Labor</t>
  </si>
  <si>
    <t>Land Cost Estimation</t>
  </si>
  <si>
    <t>Annual Costs</t>
  </si>
  <si>
    <t>Cost Basis</t>
  </si>
  <si>
    <t>Average O&amp;M costs per turbine</t>
  </si>
  <si>
    <t>Labor costs per employee</t>
  </si>
  <si>
    <t>Labor costs for 200 employees</t>
  </si>
  <si>
    <t>Facility Building and Miscellaneous costs</t>
  </si>
  <si>
    <t>APR</t>
  </si>
  <si>
    <t>Years 1-5</t>
  </si>
  <si>
    <t>Years</t>
  </si>
  <si>
    <t>Year 6-10</t>
  </si>
  <si>
    <t>Year 11-15</t>
  </si>
  <si>
    <t>Monthly Interest</t>
  </si>
  <si>
    <t>Year 16-25</t>
  </si>
  <si>
    <t>Total Principal Amount</t>
  </si>
  <si>
    <t>N (months)</t>
  </si>
  <si>
    <t>N (years)</t>
  </si>
  <si>
    <t>K</t>
  </si>
  <si>
    <t>M</t>
  </si>
  <si>
    <t>C</t>
  </si>
  <si>
    <t>N</t>
  </si>
  <si>
    <t>Principal Left (Start of Year)</t>
  </si>
  <si>
    <t>Total Monthly Payment</t>
  </si>
  <si>
    <t>Monthly Principal Payment</t>
  </si>
  <si>
    <t>Monthly Interest Payment</t>
  </si>
  <si>
    <t>Principal Left (End of Year)</t>
  </si>
  <si>
    <t>Planning and Permits</t>
  </si>
  <si>
    <t>Total areas including facilities</t>
  </si>
  <si>
    <t>Total Area needed for turbines(m^2)</t>
  </si>
  <si>
    <t>Total Area neededfor turbines(km^2)</t>
  </si>
  <si>
    <t>Total area for facilities needed</t>
  </si>
  <si>
    <t>Powerplant Infrastructure</t>
  </si>
  <si>
    <t>Average O&amp;M costs for all turbines</t>
  </si>
  <si>
    <t>Facility running and services</t>
  </si>
  <si>
    <t>Total O &amp; M Annual Costs</t>
  </si>
  <si>
    <t>Annual Insurance and Property Taxes(5%)</t>
  </si>
  <si>
    <t>Annual Costs Total Equivalent</t>
  </si>
  <si>
    <t>Bank Loan Payments</t>
  </si>
  <si>
    <t>Annual O &amp; M Payments</t>
  </si>
  <si>
    <t>Cost Basis Annual Equivalent(based on MARR)</t>
  </si>
  <si>
    <t>Cost Basis Total=</t>
  </si>
  <si>
    <t>CR(MARR=10%)=</t>
  </si>
  <si>
    <t>Salvage Value for Land(20% increase)=</t>
  </si>
  <si>
    <t>Salvage Value for single turbine=</t>
  </si>
  <si>
    <t>Salvage Value for all turbines=</t>
  </si>
  <si>
    <t>Facility Salvage Value=</t>
  </si>
  <si>
    <t>Total Salvage Value=</t>
  </si>
  <si>
    <t>Cost per KWH</t>
  </si>
  <si>
    <t>Charge per KWH=</t>
  </si>
  <si>
    <t>Revenues Charged per KWH=</t>
  </si>
  <si>
    <t>Annual Revenues</t>
  </si>
  <si>
    <t>Depreciation</t>
  </si>
  <si>
    <t>Depreciation (Standard Line Method)</t>
  </si>
  <si>
    <t>Salvage Value</t>
  </si>
  <si>
    <t>Depreciable Life in years</t>
  </si>
  <si>
    <t>Year</t>
  </si>
  <si>
    <t xml:space="preserve">Cost Basis </t>
  </si>
  <si>
    <t>Book Value</t>
  </si>
  <si>
    <t>Revenues</t>
  </si>
  <si>
    <t>Year 1</t>
  </si>
  <si>
    <t xml:space="preserve">Cash Flow Statement </t>
  </si>
  <si>
    <t>Year 0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</si>
  <si>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</si>
  <si>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</si>
  <si>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</si>
  <si>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</si>
  <si>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</si>
  <si>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</si>
  <si>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</si>
  <si>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</si>
  <si>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</si>
  <si>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</si>
  <si>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</si>
  <si>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</si>
  <si>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</si>
  <si>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</si>
  <si>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</si>
  <si>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</si>
  <si>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</si>
  <si>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</si>
  <si>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</si>
  <si>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</si>
  <si>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</si>
  <si>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</si>
  <si>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</si>
  <si>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</si>
  <si>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E-O-Y</t>
  </si>
  <si>
    <t>Expenses</t>
  </si>
  <si>
    <t>Annual O&amp;M</t>
  </si>
  <si>
    <t>Interest Payment</t>
  </si>
  <si>
    <t>Taxable Income</t>
  </si>
  <si>
    <t>Total Annual Depreciation</t>
  </si>
  <si>
    <t>Total Salvage Value</t>
  </si>
  <si>
    <t>Tax Rate:</t>
  </si>
  <si>
    <t>Income Tax (17%)</t>
  </si>
  <si>
    <t>Net Income</t>
  </si>
  <si>
    <t>Operating Activities:</t>
  </si>
  <si>
    <t>Investment Activities:</t>
  </si>
  <si>
    <t>Working Capital</t>
  </si>
  <si>
    <t>Initial Investment</t>
  </si>
  <si>
    <t>Principal Repayment</t>
  </si>
  <si>
    <t>Borrowed Funds</t>
  </si>
  <si>
    <t>Net Cash Flow</t>
  </si>
  <si>
    <t>Cumulative Cash Flow</t>
  </si>
  <si>
    <t>Financing Activities:</t>
  </si>
  <si>
    <t>MARR</t>
  </si>
  <si>
    <t>ROR</t>
  </si>
  <si>
    <t>NPV</t>
  </si>
  <si>
    <t>NPV&gt;0</t>
  </si>
  <si>
    <t>Case</t>
  </si>
  <si>
    <t>Criterion</t>
  </si>
  <si>
    <t>Value</t>
  </si>
  <si>
    <t>Decision</t>
  </si>
  <si>
    <t>ROR&gt;MARR</t>
  </si>
  <si>
    <t>Accept</t>
  </si>
  <si>
    <t>AEW</t>
  </si>
  <si>
    <t>AEW&gt;0</t>
  </si>
  <si>
    <t xml:space="preserve">MARR= </t>
  </si>
  <si>
    <t>Break Even Point</t>
  </si>
  <si>
    <t>BEP&lt;25 Years</t>
  </si>
  <si>
    <t>Coverage of local electric demand by single wind farm</t>
  </si>
  <si>
    <t>Total Expenses</t>
  </si>
  <si>
    <t>Cost Basis Total</t>
  </si>
  <si>
    <t>Yearly KWh Produced</t>
  </si>
  <si>
    <t>2.48 Years</t>
  </si>
  <si>
    <t>Sum(for confirmation)</t>
  </si>
  <si>
    <t>Bank Loan Interest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</si>
</sst>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&quot;$&quot;#,##0.00"/>
    <numFmt numFmtId="166" formatCode="&quot;$&quot;#,##0.00000"/>
    <numFmt numFmtId="167" formatCode="&quot;$&quot;#,##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777B7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8" fontId="0" fillId="0" borderId="0" xfId="0" applyNumberFormat="1"/>
    <xf numFmtId="0" fontId="0" fillId="0" borderId="0" xfId="0"/>
    <xf numFmtId="9" fontId="0" fillId="0" borderId="0" xfId="0" applyNumberFormat="1"/>
    <xf numFmtId="0" fontId="4" fillId="2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44" fontId="0" fillId="8" borderId="1" xfId="0" applyNumberFormat="1" applyFill="1" applyBorder="1"/>
    <xf numFmtId="165" fontId="0" fillId="8" borderId="1" xfId="0" applyNumberFormat="1" applyFill="1" applyBorder="1"/>
    <xf numFmtId="44" fontId="0" fillId="7" borderId="1" xfId="0" applyNumberFormat="1" applyFill="1" applyBorder="1"/>
    <xf numFmtId="0" fontId="0" fillId="7" borderId="1" xfId="0" applyFill="1" applyBorder="1"/>
    <xf numFmtId="165" fontId="0" fillId="7" borderId="1" xfId="0" applyNumberFormat="1" applyFill="1" applyBorder="1"/>
    <xf numFmtId="44" fontId="0" fillId="0" borderId="1" xfId="0" applyNumberFormat="1" applyBorder="1"/>
    <xf numFmtId="44" fontId="0" fillId="6" borderId="1" xfId="0" applyNumberFormat="1" applyFill="1" applyBorder="1"/>
    <xf numFmtId="0" fontId="0" fillId="6" borderId="1" xfId="0" applyFill="1" applyBorder="1"/>
    <xf numFmtId="8" fontId="0" fillId="6" borderId="1" xfId="0" applyNumberFormat="1" applyFill="1" applyBorder="1"/>
    <xf numFmtId="44" fontId="0" fillId="4" borderId="1" xfId="0" applyNumberFormat="1" applyFill="1" applyBorder="1"/>
    <xf numFmtId="8" fontId="0" fillId="4" borderId="1" xfId="0" applyNumberFormat="1" applyFill="1" applyBorder="1"/>
    <xf numFmtId="9" fontId="4" fillId="2" borderId="1" xfId="0" applyNumberFormat="1" applyFont="1" applyFill="1" applyBorder="1"/>
    <xf numFmtId="44" fontId="0" fillId="9" borderId="1" xfId="0" applyNumberFormat="1" applyFill="1" applyBorder="1"/>
    <xf numFmtId="44" fontId="0" fillId="10" borderId="1" xfId="0" applyNumberFormat="1" applyFill="1" applyBorder="1"/>
    <xf numFmtId="8" fontId="0" fillId="10" borderId="1" xfId="0" applyNumberFormat="1" applyFill="1" applyBorder="1"/>
    <xf numFmtId="44" fontId="0" fillId="11" borderId="1" xfId="0" applyNumberFormat="1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1" fontId="0" fillId="15" borderId="1" xfId="0" applyNumberFormat="1" applyFill="1" applyBorder="1"/>
    <xf numFmtId="164" fontId="0" fillId="13" borderId="1" xfId="0" applyNumberFormat="1" applyFill="1" applyBorder="1"/>
    <xf numFmtId="0" fontId="0" fillId="16" borderId="1" xfId="0" applyFill="1" applyBorder="1"/>
    <xf numFmtId="9" fontId="0" fillId="16" borderId="1" xfId="0" applyNumberFormat="1" applyFill="1" applyBorder="1"/>
    <xf numFmtId="10" fontId="0" fillId="16" borderId="1" xfId="0" applyNumberFormat="1" applyFill="1" applyBorder="1"/>
    <xf numFmtId="164" fontId="0" fillId="16" borderId="1" xfId="0" applyNumberFormat="1" applyFill="1" applyBorder="1"/>
    <xf numFmtId="0" fontId="0" fillId="17" borderId="1" xfId="0" applyFill="1" applyBorder="1"/>
    <xf numFmtId="8" fontId="0" fillId="17" borderId="1" xfId="0" applyNumberFormat="1" applyFill="1" applyBorder="1"/>
    <xf numFmtId="0" fontId="0" fillId="18" borderId="1" xfId="0" applyFill="1" applyBorder="1"/>
    <xf numFmtId="8" fontId="0" fillId="18" borderId="1" xfId="2" applyNumberFormat="1" applyFont="1" applyFill="1" applyBorder="1"/>
    <xf numFmtId="9" fontId="0" fillId="15" borderId="1" xfId="0" applyNumberFormat="1" applyFill="1" applyBorder="1"/>
    <xf numFmtId="44" fontId="0" fillId="15" borderId="1" xfId="2" applyFont="1" applyFill="1" applyBorder="1"/>
    <xf numFmtId="0" fontId="0" fillId="19" borderId="1" xfId="0" applyFill="1" applyBorder="1"/>
    <xf numFmtId="165" fontId="0" fillId="19" borderId="1" xfId="0" applyNumberFormat="1" applyFill="1" applyBorder="1"/>
    <xf numFmtId="0" fontId="0" fillId="20" borderId="1" xfId="0" applyFill="1" applyBorder="1"/>
    <xf numFmtId="165" fontId="0" fillId="20" borderId="1" xfId="0" applyNumberFormat="1" applyFill="1" applyBorder="1"/>
    <xf numFmtId="166" fontId="0" fillId="17" borderId="1" xfId="0" applyNumberFormat="1" applyFill="1" applyBorder="1"/>
    <xf numFmtId="165" fontId="0" fillId="15" borderId="1" xfId="0" applyNumberFormat="1" applyFill="1" applyBorder="1"/>
    <xf numFmtId="0" fontId="0" fillId="15" borderId="1" xfId="0" applyNumberFormat="1" applyFill="1" applyBorder="1"/>
    <xf numFmtId="0" fontId="0" fillId="21" borderId="1" xfId="0" applyFill="1" applyBorder="1"/>
    <xf numFmtId="165" fontId="0" fillId="21" borderId="1" xfId="0" applyNumberFormat="1" applyFill="1" applyBorder="1"/>
    <xf numFmtId="0" fontId="0" fillId="22" borderId="1" xfId="0" applyFill="1" applyBorder="1"/>
    <xf numFmtId="165" fontId="0" fillId="22" borderId="1" xfId="0" applyNumberFormat="1" applyFill="1" applyBorder="1"/>
    <xf numFmtId="165" fontId="0" fillId="13" borderId="1" xfId="0" applyNumberFormat="1" applyFill="1" applyBorder="1"/>
    <xf numFmtId="8" fontId="0" fillId="21" borderId="1" xfId="0" applyNumberFormat="1" applyFill="1" applyBorder="1"/>
    <xf numFmtId="8" fontId="0" fillId="19" borderId="1" xfId="0" applyNumberFormat="1" applyFill="1" applyBorder="1"/>
    <xf numFmtId="0" fontId="4" fillId="14" borderId="1" xfId="0" applyFont="1" applyFill="1" applyBorder="1"/>
    <xf numFmtId="9" fontId="4" fillId="14" borderId="1" xfId="0" applyNumberFormat="1" applyFont="1" applyFill="1" applyBorder="1"/>
    <xf numFmtId="10" fontId="0" fillId="15" borderId="1" xfId="0" applyNumberFormat="1" applyFill="1" applyBorder="1"/>
    <xf numFmtId="8" fontId="0" fillId="15" borderId="1" xfId="0" applyNumberFormat="1" applyFill="1" applyBorder="1"/>
    <xf numFmtId="0" fontId="0" fillId="5" borderId="1" xfId="0" applyFill="1" applyBorder="1"/>
    <xf numFmtId="164" fontId="0" fillId="19" borderId="1" xfId="0" applyNumberFormat="1" applyFill="1" applyBorder="1"/>
    <xf numFmtId="167" fontId="0" fillId="15" borderId="1" xfId="0" applyNumberFormat="1" applyFill="1" applyBorder="1"/>
    <xf numFmtId="167" fontId="0" fillId="13" borderId="1" xfId="0" applyNumberFormat="1" applyFill="1" applyBorder="1"/>
    <xf numFmtId="167" fontId="0" fillId="23" borderId="1" xfId="0" applyNumberFormat="1" applyFill="1" applyBorder="1"/>
    <xf numFmtId="167" fontId="0" fillId="17" borderId="1" xfId="0" applyNumberFormat="1" applyFill="1" applyBorder="1"/>
    <xf numFmtId="167" fontId="0" fillId="24" borderId="1" xfId="0" applyNumberFormat="1" applyFill="1" applyBorder="1"/>
    <xf numFmtId="165" fontId="0" fillId="0" borderId="1" xfId="0" applyNumberFormat="1" applyBorder="1"/>
    <xf numFmtId="0" fontId="0" fillId="2" borderId="1" xfId="0" applyFont="1" applyFill="1" applyBorder="1"/>
    <xf numFmtId="0" fontId="0" fillId="2" borderId="2" xfId="0" applyFill="1" applyBorder="1"/>
    <xf numFmtId="44" fontId="0" fillId="0" borderId="0" xfId="0" applyNumberFormat="1"/>
    <xf numFmtId="40" fontId="0" fillId="0" borderId="0" xfId="0" applyNumberFormat="1"/>
    <xf numFmtId="165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777B7"/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'Bank Loan &amp; Payment Plan'!$G$11</c:f>
              <c:strCache>
                <c:ptCount val="1"/>
                <c:pt idx="0">
                  <c:v>Principal Left (End of Year)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'Bank Loan &amp; Payment Plan'!$G$12:$G$312</c:f>
              <c:numCache>
                <c:formatCode>"$"#,##0.000</c:formatCode>
                <c:ptCount val="301"/>
                <c:pt idx="0">
                  <c:v>459462471.31849098</c:v>
                </c:pt>
                <c:pt idx="1">
                  <c:v>458432304.47486484</c:v>
                </c:pt>
                <c:pt idx="2">
                  <c:v>457399562.21412963</c:v>
                </c:pt>
                <c:pt idx="3">
                  <c:v>456364238.09774262</c:v>
                </c:pt>
                <c:pt idx="4">
                  <c:v>455326325.67106462</c:v>
                </c:pt>
                <c:pt idx="5">
                  <c:v>454285818.4633199</c:v>
                </c:pt>
                <c:pt idx="6">
                  <c:v>453242709.98755586</c:v>
                </c:pt>
                <c:pt idx="7">
                  <c:v>452196993.74060237</c:v>
                </c:pt>
                <c:pt idx="8">
                  <c:v>451148663.20303154</c:v>
                </c:pt>
                <c:pt idx="9">
                  <c:v>450097711.83911675</c:v>
                </c:pt>
                <c:pt idx="10">
                  <c:v>449044133.09679222</c:v>
                </c:pt>
                <c:pt idx="11">
                  <c:v>447987920.40761185</c:v>
                </c:pt>
                <c:pt idx="12">
                  <c:v>446929067.18670851</c:v>
                </c:pt>
                <c:pt idx="13">
                  <c:v>445867566.83275294</c:v>
                </c:pt>
                <c:pt idx="14">
                  <c:v>444803412.72791249</c:v>
                </c:pt>
                <c:pt idx="15">
                  <c:v>443736598.2378099</c:v>
                </c:pt>
                <c:pt idx="16">
                  <c:v>442667116.71148205</c:v>
                </c:pt>
                <c:pt idx="17">
                  <c:v>441594961.48133838</c:v>
                </c:pt>
                <c:pt idx="18">
                  <c:v>440520125.86311936</c:v>
                </c:pt>
                <c:pt idx="19">
                  <c:v>439442603.15585482</c:v>
                </c:pt>
                <c:pt idx="20">
                  <c:v>438362386.6418221</c:v>
                </c:pt>
                <c:pt idx="21">
                  <c:v>437279469.58650428</c:v>
                </c:pt>
                <c:pt idx="22">
                  <c:v>436193845.23854822</c:v>
                </c:pt>
                <c:pt idx="23">
                  <c:v>435105506.82972223</c:v>
                </c:pt>
                <c:pt idx="24">
                  <c:v>434014447.57487416</c:v>
                </c:pt>
                <c:pt idx="25">
                  <c:v>432920660.67188901</c:v>
                </c:pt>
                <c:pt idx="26">
                  <c:v>431824139.30164635</c:v>
                </c:pt>
                <c:pt idx="27">
                  <c:v>430724876.62797815</c:v>
                </c:pt>
                <c:pt idx="28">
                  <c:v>429622865.79762572</c:v>
                </c:pt>
                <c:pt idx="29">
                  <c:v>428518099.94019741</c:v>
                </c:pt>
                <c:pt idx="30">
                  <c:v>427410572.16812557</c:v>
                </c:pt>
                <c:pt idx="31">
                  <c:v>426300275.57662356</c:v>
                </c:pt>
                <c:pt idx="32">
                  <c:v>425187203.24364275</c:v>
                </c:pt>
                <c:pt idx="33">
                  <c:v>424071348.22982949</c:v>
                </c:pt>
                <c:pt idx="34">
                  <c:v>422952703.57848173</c:v>
                </c:pt>
                <c:pt idx="35">
                  <c:v>421831262.31550556</c:v>
                </c:pt>
                <c:pt idx="36">
                  <c:v>420707017.44937199</c:v>
                </c:pt>
                <c:pt idx="37">
                  <c:v>419579961.97107309</c:v>
                </c:pt>
                <c:pt idx="38">
                  <c:v>418450088.85407841</c:v>
                </c:pt>
                <c:pt idx="39">
                  <c:v>417317391.05429125</c:v>
                </c:pt>
                <c:pt idx="40">
                  <c:v>416181861.51000464</c:v>
                </c:pt>
                <c:pt idx="41">
                  <c:v>415043493.14185733</c:v>
                </c:pt>
                <c:pt idx="42">
                  <c:v>413902278.85278964</c:v>
                </c:pt>
                <c:pt idx="43">
                  <c:v>412758211.52799928</c:v>
                </c:pt>
                <c:pt idx="44">
                  <c:v>411611284.03489691</c:v>
                </c:pt>
                <c:pt idx="45">
                  <c:v>410461489.2230618</c:v>
                </c:pt>
                <c:pt idx="46">
                  <c:v>409308819.92419708</c:v>
                </c:pt>
                <c:pt idx="47">
                  <c:v>408153268.9520852</c:v>
                </c:pt>
                <c:pt idx="48">
                  <c:v>406994829.10254306</c:v>
                </c:pt>
                <c:pt idx="49">
                  <c:v>405833493.15337706</c:v>
                </c:pt>
                <c:pt idx="50">
                  <c:v>404669253.86433816</c:v>
                </c:pt>
                <c:pt idx="51">
                  <c:v>403502103.97707665</c:v>
                </c:pt>
                <c:pt idx="52">
                  <c:v>402332036.21509701</c:v>
                </c:pt>
                <c:pt idx="53">
                  <c:v>401159043.28371239</c:v>
                </c:pt>
                <c:pt idx="54">
                  <c:v>399983117.86999929</c:v>
                </c:pt>
                <c:pt idx="55">
                  <c:v>398804252.64275193</c:v>
                </c:pt>
                <c:pt idx="56">
                  <c:v>397622440.25243646</c:v>
                </c:pt>
                <c:pt idx="57">
                  <c:v>396437673.33114523</c:v>
                </c:pt>
                <c:pt idx="58">
                  <c:v>395249944.49255073</c:v>
                </c:pt>
                <c:pt idx="59">
                  <c:v>394059246.33185977</c:v>
                </c:pt>
                <c:pt idx="60">
                  <c:v>392865571.42576706</c:v>
                </c:pt>
                <c:pt idx="61">
                  <c:v>391732967.282332</c:v>
                </c:pt>
                <c:pt idx="62">
                  <c:v>390597059.71014524</c:v>
                </c:pt>
                <c:pt idx="63">
                  <c:v>389457839.07420629</c:v>
                </c:pt>
                <c:pt idx="64">
                  <c:v>388315295.71141249</c:v>
                </c:pt>
                <c:pt idx="65">
                  <c:v>387169419.9304772</c:v>
                </c:pt>
                <c:pt idx="66">
                  <c:v>386020202.01184756</c:v>
                </c:pt>
                <c:pt idx="67">
                  <c:v>384867632.20762187</c:v>
                </c:pt>
                <c:pt idx="68">
                  <c:v>383711700.74146724</c:v>
                </c:pt>
                <c:pt idx="69">
                  <c:v>382552397.80853629</c:v>
                </c:pt>
                <c:pt idx="70">
                  <c:v>381389713.57538432</c:v>
                </c:pt>
                <c:pt idx="71">
                  <c:v>380223638.17988563</c:v>
                </c:pt>
                <c:pt idx="72">
                  <c:v>379054161.73115009</c:v>
                </c:pt>
                <c:pt idx="73">
                  <c:v>377881274.30943906</c:v>
                </c:pt>
                <c:pt idx="74">
                  <c:v>376704965.96608138</c:v>
                </c:pt>
                <c:pt idx="75">
                  <c:v>375525226.72338891</c:v>
                </c:pt>
                <c:pt idx="76">
                  <c:v>374342046.57457191</c:v>
                </c:pt>
                <c:pt idx="77">
                  <c:v>373155415.4836542</c:v>
                </c:pt>
                <c:pt idx="78">
                  <c:v>371965323.38538796</c:v>
                </c:pt>
                <c:pt idx="79">
                  <c:v>370771760.18516845</c:v>
                </c:pt>
                <c:pt idx="80">
                  <c:v>369574715.75894833</c:v>
                </c:pt>
                <c:pt idx="81">
                  <c:v>368374179.9531517</c:v>
                </c:pt>
                <c:pt idx="82">
                  <c:v>367170142.58458817</c:v>
                </c:pt>
                <c:pt idx="83">
                  <c:v>365962593.44036633</c:v>
                </c:pt>
                <c:pt idx="84">
                  <c:v>364751522.27780718</c:v>
                </c:pt>
                <c:pt idx="85">
                  <c:v>363536918.82435721</c:v>
                </c:pt>
                <c:pt idx="86">
                  <c:v>362318772.77750134</c:v>
                </c:pt>
                <c:pt idx="87">
                  <c:v>361097073.80467552</c:v>
                </c:pt>
                <c:pt idx="88">
                  <c:v>359871811.54317892</c:v>
                </c:pt>
                <c:pt idx="89">
                  <c:v>358642975.60008633</c:v>
                </c:pt>
                <c:pt idx="90">
                  <c:v>357410555.55215973</c:v>
                </c:pt>
                <c:pt idx="91">
                  <c:v>356174540.94575995</c:v>
                </c:pt>
                <c:pt idx="92">
                  <c:v>354934921.29675823</c:v>
                </c:pt>
                <c:pt idx="93">
                  <c:v>353691686.09044689</c:v>
                </c:pt>
                <c:pt idx="94">
                  <c:v>352444824.78145045</c:v>
                </c:pt>
                <c:pt idx="95">
                  <c:v>351194326.79363614</c:v>
                </c:pt>
                <c:pt idx="96">
                  <c:v>349940181.52002406</c:v>
                </c:pt>
                <c:pt idx="97">
                  <c:v>348682378.32269722</c:v>
                </c:pt>
                <c:pt idx="98">
                  <c:v>347420906.53271157</c:v>
                </c:pt>
                <c:pt idx="99">
                  <c:v>346155755.45000511</c:v>
                </c:pt>
                <c:pt idx="100">
                  <c:v>344886914.34330744</c:v>
                </c:pt>
                <c:pt idx="101">
                  <c:v>343614372.45004851</c:v>
                </c:pt>
                <c:pt idx="102">
                  <c:v>342338118.97626758</c:v>
                </c:pt>
                <c:pt idx="103">
                  <c:v>341058143.0965215</c:v>
                </c:pt>
                <c:pt idx="104">
                  <c:v>339774433.95379281</c:v>
                </c:pt>
                <c:pt idx="105">
                  <c:v>338486980.65939784</c:v>
                </c:pt>
                <c:pt idx="106">
                  <c:v>337195772.29289418</c:v>
                </c:pt>
                <c:pt idx="107">
                  <c:v>335900797.90198827</c:v>
                </c:pt>
                <c:pt idx="108">
                  <c:v>334602046.50244218</c:v>
                </c:pt>
                <c:pt idx="109">
                  <c:v>333299507.07798076</c:v>
                </c:pt>
                <c:pt idx="110">
                  <c:v>331993168.58019799</c:v>
                </c:pt>
                <c:pt idx="111">
                  <c:v>330683019.92846334</c:v>
                </c:pt>
                <c:pt idx="112">
                  <c:v>329369050.00982779</c:v>
                </c:pt>
                <c:pt idx="113">
                  <c:v>328051247.67892957</c:v>
                </c:pt>
                <c:pt idx="114">
                  <c:v>326729601.75789958</c:v>
                </c:pt>
                <c:pt idx="115">
                  <c:v>325404101.03626657</c:v>
                </c:pt>
                <c:pt idx="116">
                  <c:v>324074734.2708621</c:v>
                </c:pt>
                <c:pt idx="117">
                  <c:v>322741490.18572521</c:v>
                </c:pt>
                <c:pt idx="118">
                  <c:v>321404357.47200668</c:v>
                </c:pt>
                <c:pt idx="119">
                  <c:v>320063324.78787315</c:v>
                </c:pt>
                <c:pt idx="120">
                  <c:v>318718380.75841087</c:v>
                </c:pt>
                <c:pt idx="121">
                  <c:v>317391202.15615439</c:v>
                </c:pt>
                <c:pt idx="122">
                  <c:v>316059931.41987431</c:v>
                </c:pt>
                <c:pt idx="123">
                  <c:v>314724555.9321574</c:v>
                </c:pt>
                <c:pt idx="124">
                  <c:v>313385063.03668666</c:v>
                </c:pt>
                <c:pt idx="125">
                  <c:v>312041440.03812158</c:v>
                </c:pt>
                <c:pt idx="126">
                  <c:v>310693674.20197755</c:v>
                </c:pt>
                <c:pt idx="127">
                  <c:v>309341752.75450546</c:v>
                </c:pt>
                <c:pt idx="128">
                  <c:v>307985662.88257027</c:v>
                </c:pt>
                <c:pt idx="129">
                  <c:v>306625391.73352998</c:v>
                </c:pt>
                <c:pt idx="130">
                  <c:v>305260926.41511351</c:v>
                </c:pt>
                <c:pt idx="131">
                  <c:v>303892253.99529856</c:v>
                </c:pt>
                <c:pt idx="132">
                  <c:v>302519361.50218916</c:v>
                </c:pt>
                <c:pt idx="133">
                  <c:v>301142235.92389268</c:v>
                </c:pt>
                <c:pt idx="134">
                  <c:v>299760864.20839643</c:v>
                </c:pt>
                <c:pt idx="135">
                  <c:v>298375233.26344413</c:v>
                </c:pt>
                <c:pt idx="136">
                  <c:v>296985329.95641154</c:v>
                </c:pt>
                <c:pt idx="137">
                  <c:v>295591141.11418223</c:v>
                </c:pt>
                <c:pt idx="138">
                  <c:v>294192653.52302277</c:v>
                </c:pt>
                <c:pt idx="139">
                  <c:v>292789853.9284572</c:v>
                </c:pt>
                <c:pt idx="140">
                  <c:v>291382729.03514171</c:v>
                </c:pt>
                <c:pt idx="141">
                  <c:v>289971265.50673848</c:v>
                </c:pt>
                <c:pt idx="142">
                  <c:v>288555449.96578938</c:v>
                </c:pt>
                <c:pt idx="143">
                  <c:v>287135268.99358898</c:v>
                </c:pt>
                <c:pt idx="144">
                  <c:v>285710709.13005769</c:v>
                </c:pt>
                <c:pt idx="145">
                  <c:v>284281756.87361383</c:v>
                </c:pt>
                <c:pt idx="146">
                  <c:v>282848398.68104595</c:v>
                </c:pt>
                <c:pt idx="147">
                  <c:v>281410620.96738428</c:v>
                </c:pt>
                <c:pt idx="148">
                  <c:v>279968410.10577214</c:v>
                </c:pt>
                <c:pt idx="149">
                  <c:v>278521752.42733669</c:v>
                </c:pt>
                <c:pt idx="150">
                  <c:v>277070634.22105944</c:v>
                </c:pt>
                <c:pt idx="151">
                  <c:v>275615041.73364615</c:v>
                </c:pt>
                <c:pt idx="152">
                  <c:v>274154961.1693967</c:v>
                </c:pt>
                <c:pt idx="153">
                  <c:v>272690378.69007415</c:v>
                </c:pt>
                <c:pt idx="154">
                  <c:v>271221280.41477364</c:v>
                </c:pt>
                <c:pt idx="155">
                  <c:v>269747652.41979098</c:v>
                </c:pt>
                <c:pt idx="156">
                  <c:v>268269480.73849046</c:v>
                </c:pt>
                <c:pt idx="157">
                  <c:v>266786751.36117259</c:v>
                </c:pt>
                <c:pt idx="158">
                  <c:v>265299450.2349413</c:v>
                </c:pt>
                <c:pt idx="159">
                  <c:v>263807563.26357082</c:v>
                </c:pt>
                <c:pt idx="160">
                  <c:v>262311076.30737194</c:v>
                </c:pt>
                <c:pt idx="161">
                  <c:v>260809975.18305811</c:v>
                </c:pt>
                <c:pt idx="162">
                  <c:v>259304245.66361099</c:v>
                </c:pt>
                <c:pt idx="163">
                  <c:v>257793873.47814557</c:v>
                </c:pt>
                <c:pt idx="164">
                  <c:v>256278844.31177497</c:v>
                </c:pt>
                <c:pt idx="165">
                  <c:v>254759143.80547473</c:v>
                </c:pt>
                <c:pt idx="166">
                  <c:v>253234757.55594674</c:v>
                </c:pt>
                <c:pt idx="167">
                  <c:v>251705671.11548269</c:v>
                </c:pt>
                <c:pt idx="168">
                  <c:v>250171869.99182722</c:v>
                </c:pt>
                <c:pt idx="169">
                  <c:v>248633339.64804047</c:v>
                </c:pt>
                <c:pt idx="170">
                  <c:v>247090065.50236037</c:v>
                </c:pt>
                <c:pt idx="171">
                  <c:v>245542032.92806444</c:v>
                </c:pt>
                <c:pt idx="172">
                  <c:v>243989227.25333109</c:v>
                </c:pt>
                <c:pt idx="173">
                  <c:v>242431633.76110065</c:v>
                </c:pt>
                <c:pt idx="174">
                  <c:v>240869237.68893582</c:v>
                </c:pt>
                <c:pt idx="175">
                  <c:v>239302024.22888181</c:v>
                </c:pt>
                <c:pt idx="176">
                  <c:v>237729978.52732599</c:v>
                </c:pt>
                <c:pt idx="177">
                  <c:v>236153085.68485701</c:v>
                </c:pt>
                <c:pt idx="178">
                  <c:v>234571330.75612378</c:v>
                </c:pt>
                <c:pt idx="179">
                  <c:v>232984698.7496936</c:v>
                </c:pt>
                <c:pt idx="180">
                  <c:v>231393174.62791029</c:v>
                </c:pt>
                <c:pt idx="181">
                  <c:v>229818425.06329182</c:v>
                </c:pt>
                <c:pt idx="182">
                  <c:v>228238478.82511011</c:v>
                </c:pt>
                <c:pt idx="183">
                  <c:v>226653318.7643424</c:v>
                </c:pt>
                <c:pt idx="184">
                  <c:v>225062927.67537415</c:v>
                </c:pt>
                <c:pt idx="185">
                  <c:v>223467288.29581231</c:v>
                </c:pt>
                <c:pt idx="186">
                  <c:v>221866383.3062979</c:v>
                </c:pt>
                <c:pt idx="187">
                  <c:v>220260195.33031809</c:v>
                </c:pt>
                <c:pt idx="188">
                  <c:v>218648706.93401757</c:v>
                </c:pt>
                <c:pt idx="189">
                  <c:v>217031900.62600926</c:v>
                </c:pt>
                <c:pt idx="190">
                  <c:v>215409758.8571845</c:v>
                </c:pt>
                <c:pt idx="191">
                  <c:v>213782264.02052262</c:v>
                </c:pt>
                <c:pt idx="192">
                  <c:v>212149398.45089978</c:v>
                </c:pt>
                <c:pt idx="193">
                  <c:v>210511144.42489716</c:v>
                </c:pt>
                <c:pt idx="194">
                  <c:v>208867484.16060874</c:v>
                </c:pt>
                <c:pt idx="195">
                  <c:v>207218399.81744817</c:v>
                </c:pt>
                <c:pt idx="196">
                  <c:v>205563873.49595517</c:v>
                </c:pt>
                <c:pt idx="197">
                  <c:v>203903887.23760125</c:v>
                </c:pt>
                <c:pt idx="198">
                  <c:v>202238423.02459475</c:v>
                </c:pt>
                <c:pt idx="199">
                  <c:v>200567462.77968532</c:v>
                </c:pt>
                <c:pt idx="200">
                  <c:v>198890988.36596769</c:v>
                </c:pt>
                <c:pt idx="201">
                  <c:v>197208981.58668479</c:v>
                </c:pt>
                <c:pt idx="202">
                  <c:v>195521424.18503028</c:v>
                </c:pt>
                <c:pt idx="203">
                  <c:v>193828297.8439503</c:v>
                </c:pt>
                <c:pt idx="204">
                  <c:v>192129584.18594477</c:v>
                </c:pt>
                <c:pt idx="205">
                  <c:v>190425264.7728678</c:v>
                </c:pt>
                <c:pt idx="206">
                  <c:v>188715321.10572767</c:v>
                </c:pt>
                <c:pt idx="207">
                  <c:v>186999734.624486</c:v>
                </c:pt>
                <c:pt idx="208">
                  <c:v>185278486.70785621</c:v>
                </c:pt>
                <c:pt idx="209">
                  <c:v>183551558.67310154</c:v>
                </c:pt>
                <c:pt idx="210">
                  <c:v>181818931.77583221</c:v>
                </c:pt>
                <c:pt idx="211">
                  <c:v>180080587.20980188</c:v>
                </c:pt>
                <c:pt idx="212">
                  <c:v>178336506.10670364</c:v>
                </c:pt>
                <c:pt idx="213">
                  <c:v>176586669.53596517</c:v>
                </c:pt>
                <c:pt idx="214">
                  <c:v>174831058.50454327</c:v>
                </c:pt>
                <c:pt idx="215">
                  <c:v>173069653.95671767</c:v>
                </c:pt>
                <c:pt idx="216">
                  <c:v>171302436.77388427</c:v>
                </c:pt>
                <c:pt idx="217">
                  <c:v>169529387.77434751</c:v>
                </c:pt>
                <c:pt idx="218">
                  <c:v>167750487.71311226</c:v>
                </c:pt>
                <c:pt idx="219">
                  <c:v>165965717.28167495</c:v>
                </c:pt>
                <c:pt idx="220">
                  <c:v>164175057.10781389</c:v>
                </c:pt>
                <c:pt idx="221">
                  <c:v>162378487.75537911</c:v>
                </c:pt>
                <c:pt idx="222">
                  <c:v>160575989.72408128</c:v>
                </c:pt>
                <c:pt idx="223">
                  <c:v>158767543.44928017</c:v>
                </c:pt>
                <c:pt idx="224">
                  <c:v>156953129.30177221</c:v>
                </c:pt>
                <c:pt idx="225">
                  <c:v>155132727.58757746</c:v>
                </c:pt>
                <c:pt idx="226">
                  <c:v>153306318.54772589</c:v>
                </c:pt>
                <c:pt idx="227">
                  <c:v>151473882.35804281</c:v>
                </c:pt>
                <c:pt idx="228">
                  <c:v>149635399.12893376</c:v>
                </c:pt>
                <c:pt idx="229">
                  <c:v>147790848.90516865</c:v>
                </c:pt>
                <c:pt idx="230">
                  <c:v>145940211.66566512</c:v>
                </c:pt>
                <c:pt idx="231">
                  <c:v>144083467.32327124</c:v>
                </c:pt>
                <c:pt idx="232">
                  <c:v>142220595.72454745</c:v>
                </c:pt>
                <c:pt idx="233">
                  <c:v>140351576.64954787</c:v>
                </c:pt>
                <c:pt idx="234">
                  <c:v>138476389.8116008</c:v>
                </c:pt>
                <c:pt idx="235">
                  <c:v>136595014.85708851</c:v>
                </c:pt>
                <c:pt idx="236">
                  <c:v>134707431.36522633</c:v>
                </c:pt>
                <c:pt idx="237">
                  <c:v>132813618.84784099</c:v>
                </c:pt>
                <c:pt idx="238">
                  <c:v>130913556.74914828</c:v>
                </c:pt>
                <c:pt idx="239">
                  <c:v>129007224.44552988</c:v>
                </c:pt>
                <c:pt idx="240">
                  <c:v>127094601.24530955</c:v>
                </c:pt>
                <c:pt idx="241">
                  <c:v>125175666.38852848</c:v>
                </c:pt>
                <c:pt idx="242">
                  <c:v>123250399.04672004</c:v>
                </c:pt>
                <c:pt idx="243">
                  <c:v>121318778.32268363</c:v>
                </c:pt>
                <c:pt idx="244">
                  <c:v>119380783.25025791</c:v>
                </c:pt>
                <c:pt idx="245">
                  <c:v>117436392.79409318</c:v>
                </c:pt>
                <c:pt idx="246">
                  <c:v>115485585.8494231</c:v>
                </c:pt>
                <c:pt idx="247">
                  <c:v>113528341.24183561</c:v>
                </c:pt>
                <c:pt idx="248">
                  <c:v>111564637.72704308</c:v>
                </c:pt>
                <c:pt idx="249">
                  <c:v>109594453.99065174</c:v>
                </c:pt>
                <c:pt idx="250">
                  <c:v>107617768.64793031</c:v>
                </c:pt>
                <c:pt idx="251">
                  <c:v>105634560.2435779</c:v>
                </c:pt>
                <c:pt idx="252">
                  <c:v>103644807.25149111</c:v>
                </c:pt>
                <c:pt idx="253">
                  <c:v>101648488.07453045</c:v>
                </c:pt>
                <c:pt idx="254">
                  <c:v>99645581.044285819</c:v>
                </c:pt>
                <c:pt idx="255">
                  <c:v>97636064.420841381</c:v>
                </c:pt>
                <c:pt idx="256">
                  <c:v>95619916.392539576</c:v>
                </c:pt>
                <c:pt idx="257">
                  <c:v>93597115.075744376</c:v>
                </c:pt>
                <c:pt idx="258">
                  <c:v>91567638.514603749</c:v>
                </c:pt>
                <c:pt idx="259">
                  <c:v>89531464.68081136</c:v>
                </c:pt>
                <c:pt idx="260">
                  <c:v>87488571.473367453</c:v>
                </c:pt>
                <c:pt idx="261">
                  <c:v>85438936.718338981</c:v>
                </c:pt>
                <c:pt idx="262">
                  <c:v>83382538.168618917</c:v>
                </c:pt>
                <c:pt idx="263">
                  <c:v>81319353.503684774</c:v>
                </c:pt>
                <c:pt idx="264">
                  <c:v>79249360.329356357</c:v>
                </c:pt>
                <c:pt idx="265">
                  <c:v>77172536.177552655</c:v>
                </c:pt>
                <c:pt idx="266">
                  <c:v>75088858.506047994</c:v>
                </c:pt>
                <c:pt idx="267">
                  <c:v>72998304.698227376</c:v>
                </c:pt>
                <c:pt idx="268">
                  <c:v>70900852.062840939</c:v>
                </c:pt>
                <c:pt idx="269">
                  <c:v>68796477.833757728</c:v>
                </c:pt>
                <c:pt idx="270">
                  <c:v>66685159.169718549</c:v>
                </c:pt>
                <c:pt idx="271">
                  <c:v>64566873.154088035</c:v>
                </c:pt>
                <c:pt idx="272">
                  <c:v>62441596.794605941</c:v>
                </c:pt>
                <c:pt idx="273">
                  <c:v>60309307.023137555</c:v>
                </c:pt>
                <c:pt idx="274">
                  <c:v>58169980.695423327</c:v>
                </c:pt>
                <c:pt idx="275">
                  <c:v>56023594.590827644</c:v>
                </c:pt>
                <c:pt idx="276">
                  <c:v>53870125.412086792</c:v>
                </c:pt>
                <c:pt idx="277">
                  <c:v>51709549.785056099</c:v>
                </c:pt>
                <c:pt idx="278">
                  <c:v>49541844.2584562</c:v>
                </c:pt>
                <c:pt idx="279">
                  <c:v>47366985.30361852</c:v>
                </c:pt>
                <c:pt idx="280">
                  <c:v>45184949.314229876</c:v>
                </c:pt>
                <c:pt idx="281">
                  <c:v>42995712.606076248</c:v>
                </c:pt>
                <c:pt idx="282">
                  <c:v>40799251.416785717</c:v>
                </c:pt>
                <c:pt idx="283">
                  <c:v>38595541.905570529</c:v>
                </c:pt>
                <c:pt idx="284">
                  <c:v>36384560.152968332</c:v>
                </c:pt>
                <c:pt idx="285">
                  <c:v>34166282.160582542</c:v>
                </c:pt>
                <c:pt idx="286">
                  <c:v>31940683.850821882</c:v>
                </c:pt>
                <c:pt idx="287">
                  <c:v>29707741.06663901</c:v>
                </c:pt>
                <c:pt idx="288">
                  <c:v>27467429.571268335</c:v>
                </c:pt>
                <c:pt idx="289">
                  <c:v>25219725.047962938</c:v>
                </c:pt>
                <c:pt idx="290">
                  <c:v>22964603.099730633</c:v>
                </c:pt>
                <c:pt idx="291">
                  <c:v>20702039.249069162</c:v>
                </c:pt>
                <c:pt idx="292">
                  <c:v>18432008.937700506</c:v>
                </c:pt>
                <c:pt idx="293">
                  <c:v>16154487.526304334</c:v>
                </c:pt>
                <c:pt idx="294">
                  <c:v>13869450.294250555</c:v>
                </c:pt>
                <c:pt idx="295">
                  <c:v>11576872.439330999</c:v>
                </c:pt>
                <c:pt idx="296">
                  <c:v>9276729.0774902068</c:v>
                </c:pt>
                <c:pt idx="297">
                  <c:v>6968995.2425553408</c:v>
                </c:pt>
                <c:pt idx="298">
                  <c:v>4653645.8859651899</c:v>
                </c:pt>
                <c:pt idx="299">
                  <c:v>2330655.8764982917</c:v>
                </c:pt>
                <c:pt idx="300">
                  <c:v>1.5273690223693848E-7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5-432C-9EEA-4C0179AA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446175"/>
        <c:axId val="795432447"/>
      </c:lineChart>
      <c:catAx>
        <c:axId val="79544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32447"/>
        <c:crosses val="autoZero"/>
        <c:auto val="1"/>
        <c:lblAlgn val="ctr"/>
        <c:lblOffset val="100"/>
        <c:noMultiLvlLbl val="0"/>
      </c:catAx>
      <c:valAx>
        <c:axId val="79543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4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Depreciation!$F$11</c:f>
              <c:strCache>
                <c:ptCount val="1"/>
                <c:pt idx="0">
                  <c:v>Book Value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Depreciation!$C$12:$C$36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Depreciation!$F$12:$F$36</c:f>
              <c:numCache>
                <c:formatCode>"$"#,##0.00</c:formatCode>
                <c:ptCount val="25"/>
                <c:pt idx="0">
                  <c:v>637074171.08903897</c:v>
                </c:pt>
                <c:pt idx="1">
                  <c:v>614685870.85958695</c:v>
                </c:pt>
                <c:pt idx="2">
                  <c:v>592297570.63013494</c:v>
                </c:pt>
                <c:pt idx="3">
                  <c:v>569909270.40068293</c:v>
                </c:pt>
                <c:pt idx="4">
                  <c:v>547520970.17123091</c:v>
                </c:pt>
                <c:pt idx="5">
                  <c:v>525132669.94177884</c:v>
                </c:pt>
                <c:pt idx="6">
                  <c:v>502744369.71232677</c:v>
                </c:pt>
                <c:pt idx="7">
                  <c:v>480356069.48287469</c:v>
                </c:pt>
                <c:pt idx="8">
                  <c:v>457967769.25342262</c:v>
                </c:pt>
                <c:pt idx="9">
                  <c:v>435579469.02397054</c:v>
                </c:pt>
                <c:pt idx="10">
                  <c:v>413191168.79451847</c:v>
                </c:pt>
                <c:pt idx="11">
                  <c:v>390802868.5650664</c:v>
                </c:pt>
                <c:pt idx="12">
                  <c:v>368414568.33561432</c:v>
                </c:pt>
                <c:pt idx="13">
                  <c:v>346026268.10616225</c:v>
                </c:pt>
                <c:pt idx="14">
                  <c:v>323637967.87671018</c:v>
                </c:pt>
                <c:pt idx="15">
                  <c:v>301249667.6472581</c:v>
                </c:pt>
                <c:pt idx="16">
                  <c:v>278861367.41780603</c:v>
                </c:pt>
                <c:pt idx="17">
                  <c:v>256473067.18835396</c:v>
                </c:pt>
                <c:pt idx="18">
                  <c:v>234084766.95890188</c:v>
                </c:pt>
                <c:pt idx="19">
                  <c:v>211696466.72944981</c:v>
                </c:pt>
                <c:pt idx="20">
                  <c:v>189308166.49999774</c:v>
                </c:pt>
                <c:pt idx="21">
                  <c:v>166919866.27054566</c:v>
                </c:pt>
                <c:pt idx="22">
                  <c:v>144531566.04109359</c:v>
                </c:pt>
                <c:pt idx="23">
                  <c:v>122143265.81164151</c:v>
                </c:pt>
                <c:pt idx="24">
                  <c:v>99754965.582189441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2C-4C41-8642-74E04ABF5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487359"/>
        <c:axId val="795490687"/>
      </c:scatterChart>
      <c:valAx>
        <c:axId val="79548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90687"/>
        <c:crosses val="autoZero"/>
        <c:crossBetween val="midCat"/>
      </c:valAx>
      <c:valAx>
        <c:axId val="79549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8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'Decision Table'!$D$3</c:f>
              <c:strCache>
                <c:ptCount val="1"/>
                <c:pt idx="0">
                  <c:v>Cumulative Cash Flow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'Decision Table'!$B$4:$B$29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'Decision Table'!$D$4:$D$29</c:f>
              <c:numCache>
                <c:formatCode>"$"#,##0.00_);[Red]\("$"#,##0.00\)</c:formatCode>
                <c:ptCount val="26"/>
                <c:pt idx="0">
                  <c:v>-200100000</c:v>
                </c:pt>
                <c:pt idx="1">
                  <c:v>-163729007.52146015</c:v>
                </c:pt>
                <c:pt idx="2">
                  <c:v>-127422821.67452911</c:v>
                </c:pt>
                <c:pt idx="3">
                  <c:v>-91183413.614921615</c:v>
                </c:pt>
                <c:pt idx="4">
                  <c:v>-55012814.452939674</c:v>
                </c:pt>
                <c:pt idx="5">
                  <c:v>-18913117.077048726</c:v>
                </c:pt>
                <c:pt idx="6">
                  <c:v>16248209.635624148</c:v>
                </c:pt>
                <c:pt idx="7">
                  <c:v>51326027.289313607</c:v>
                </c:pt>
                <c:pt idx="8">
                  <c:v>86317365.721248224</c:v>
                </c:pt>
                <c:pt idx="9">
                  <c:v>121219149.12901706</c:v>
                </c:pt>
                <c:pt idx="10">
                  <c:v>156028192.31328952</c:v>
                </c:pt>
                <c:pt idx="11">
                  <c:v>190470567.16745624</c:v>
                </c:pt>
                <c:pt idx="12">
                  <c:v>224809304.3919183</c:v>
                </c:pt>
                <c:pt idx="13">
                  <c:v>259040503.69307628</c:v>
                </c:pt>
                <c:pt idx="14">
                  <c:v>293160117.99386793</c:v>
                </c:pt>
                <c:pt idx="15">
                  <c:v>327163947.9097265</c:v>
                </c:pt>
                <c:pt idx="16">
                  <c:v>360805317.911654</c:v>
                </c:pt>
                <c:pt idx="17">
                  <c:v>394314761.43863094</c:v>
                </c:pt>
                <c:pt idx="18">
                  <c:v>427686958.3305999</c:v>
                </c:pt>
                <c:pt idx="19">
                  <c:v>460916373.8829776</c:v>
                </c:pt>
                <c:pt idx="20">
                  <c:v>493997250.19478077</c:v>
                </c:pt>
                <c:pt idx="21">
                  <c:v>526923597.16785091</c:v>
                </c:pt>
                <c:pt idx="22">
                  <c:v>559689183.1431073</c:v>
                </c:pt>
                <c:pt idx="23">
                  <c:v>592287525.15919077</c:v>
                </c:pt>
                <c:pt idx="24">
                  <c:v>624711878.81827092</c:v>
                </c:pt>
                <c:pt idx="25">
                  <c:v>756710193.32536387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E4-4318-9344-772F79CED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319711"/>
        <c:axId val="1679123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'Decision Table'!$B$3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'Decision Table'!$B$4:$B$29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'Decision Table'!$B$4:$B$29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8E4-4318-9344-772F79CED595}"/>
                  </c:ext>
                </c:extLst>
              </c15:ser>
            </c15:filteredLineSeries>
          </c:ext>
        </c:extLst>
      </c:lineChart>
      <c:catAx>
        <c:axId val="556319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12383"/>
        <c:crosses val="autoZero"/>
        <c:auto val="1"/>
        <c:lblAlgn val="ctr"/>
        <c:lblOffset val="100"/>
        <c:noMultiLvlLbl val="0"/>
      </c:catAx>
      <c:valAx>
        <c:axId val="16791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1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Cashflow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'Cashflow diagram'!#REF!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'Cashflow diagram'!$D$15:$AC$15</c:f>
              <c:strCache>
                <c:ptCount val="26"/>
                <c:pt idx="0">
                  <c:v>Year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  <c:pt idx="6">
                  <c:v>Year 6</c:v>
                </c:pt>
                <c:pt idx="7">
                  <c:v>Year 7</c:v>
                </c:pt>
                <c:pt idx="8">
                  <c:v>Year 8</c:v>
                </c:pt>
                <c:pt idx="9">
                  <c:v>Year 9</c:v>
                </c:pt>
                <c:pt idx="10">
                  <c:v>Year 10</c:v>
                </c:pt>
                <c:pt idx="11">
                  <c:v>Year 11</c:v>
                </c:pt>
                <c:pt idx="12">
                  <c:v>Year 12</c:v>
                </c:pt>
                <c:pt idx="13">
                  <c:v>Year 13</c:v>
                </c:pt>
                <c:pt idx="14">
                  <c:v>Year 14</c:v>
                </c:pt>
                <c:pt idx="15">
                  <c:v>Year 15</c:v>
                </c:pt>
                <c:pt idx="16">
                  <c:v>Year 16</c:v>
                </c:pt>
                <c:pt idx="17">
                  <c:v>Year 17</c:v>
                </c:pt>
                <c:pt idx="18">
                  <c:v>Year 18</c:v>
                </c:pt>
                <c:pt idx="19">
                  <c:v>Year 19</c:v>
                </c:pt>
                <c:pt idx="20">
                  <c:v>Year 20</c:v>
                </c:pt>
                <c:pt idx="21">
                  <c:v>Year 21</c:v>
                </c:pt>
                <c:pt idx="22">
                  <c:v>Year 22</c:v>
                </c:pt>
                <c:pt idx="23">
                  <c:v>Year 23</c:v>
                </c:pt>
                <c:pt idx="24">
                  <c:v>Year 24</c:v>
                </c:pt>
                <c:pt idx="25">
                  <c:v>Year 25</c:v>
                </c:pt>
              </c:strCache>
            </c:strRef>
          </c:cat>
          <c:val>
            <c:numRef>
              <c:f>'Cashflow diagram'!#REF!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hape val="box"/>
          <c:extLst>
            <c:ext xmlns:c16="http://schemas.microsoft.com/office/drawing/2014/chart" uri="{C3380CC4-5D6E-409C-BE32-E72D297353CC}">
              <c16:uniqueId val="{00000000-6B7D-4839-8CC1-5D7A649AB264}"/>
            </c:ext>
          </c:extLst>
        </c:ser>
        <c:ser>
          <c:idx val="1"/>
          <c:order val="1"/>
          <c:tx>
            <c:strRef>
              <c:f>'Cashflow diagram'!$C$16</c:f>
              <c:strCache>
                <c:ptCount val="1"/>
                <c:pt idx="0">
                  <c:v>Revenues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'Cashflow diagram'!$D$15:$AC$15</c:f>
              <c:strCache>
                <c:ptCount val="26"/>
                <c:pt idx="0">
                  <c:v>Year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  <c:pt idx="6">
                  <c:v>Year 6</c:v>
                </c:pt>
                <c:pt idx="7">
                  <c:v>Year 7</c:v>
                </c:pt>
                <c:pt idx="8">
                  <c:v>Year 8</c:v>
                </c:pt>
                <c:pt idx="9">
                  <c:v>Year 9</c:v>
                </c:pt>
                <c:pt idx="10">
                  <c:v>Year 10</c:v>
                </c:pt>
                <c:pt idx="11">
                  <c:v>Year 11</c:v>
                </c:pt>
                <c:pt idx="12">
                  <c:v>Year 12</c:v>
                </c:pt>
                <c:pt idx="13">
                  <c:v>Year 13</c:v>
                </c:pt>
                <c:pt idx="14">
                  <c:v>Year 14</c:v>
                </c:pt>
                <c:pt idx="15">
                  <c:v>Year 15</c:v>
                </c:pt>
                <c:pt idx="16">
                  <c:v>Year 16</c:v>
                </c:pt>
                <c:pt idx="17">
                  <c:v>Year 17</c:v>
                </c:pt>
                <c:pt idx="18">
                  <c:v>Year 18</c:v>
                </c:pt>
                <c:pt idx="19">
                  <c:v>Year 19</c:v>
                </c:pt>
                <c:pt idx="20">
                  <c:v>Year 20</c:v>
                </c:pt>
                <c:pt idx="21">
                  <c:v>Year 21</c:v>
                </c:pt>
                <c:pt idx="22">
                  <c:v>Year 22</c:v>
                </c:pt>
                <c:pt idx="23">
                  <c:v>Year 23</c:v>
                </c:pt>
                <c:pt idx="24">
                  <c:v>Year 24</c:v>
                </c:pt>
                <c:pt idx="25">
                  <c:v>Year 25</c:v>
                </c:pt>
              </c:strCache>
            </c:strRef>
          </c:cat>
          <c:val>
            <c:numRef>
              <c:f>'Cashflow diagram'!$D$16:$AC$16</c:f>
              <c:numCache>
                <c:formatCode>_("$"* #,##0.00_);_("$"* \(#,##0.00\);_("$"* "-"??_);_(@_)</c:formatCode>
                <c:ptCount val="26"/>
                <c:pt idx="0" formatCode="&quot;$&quot;#,##0.00">
                  <c:v>459462471.31999999</c:v>
                </c:pt>
                <c:pt idx="1">
                  <c:v>84096000</c:v>
                </c:pt>
                <c:pt idx="2">
                  <c:v>84096000</c:v>
                </c:pt>
                <c:pt idx="3">
                  <c:v>84096000</c:v>
                </c:pt>
                <c:pt idx="4">
                  <c:v>84096000</c:v>
                </c:pt>
                <c:pt idx="5">
                  <c:v>84096000</c:v>
                </c:pt>
                <c:pt idx="6">
                  <c:v>84096000</c:v>
                </c:pt>
                <c:pt idx="7">
                  <c:v>84096000</c:v>
                </c:pt>
                <c:pt idx="8">
                  <c:v>84096000</c:v>
                </c:pt>
                <c:pt idx="9">
                  <c:v>84096000</c:v>
                </c:pt>
                <c:pt idx="10">
                  <c:v>84096000</c:v>
                </c:pt>
                <c:pt idx="11">
                  <c:v>84096000</c:v>
                </c:pt>
                <c:pt idx="12">
                  <c:v>84096000</c:v>
                </c:pt>
                <c:pt idx="13">
                  <c:v>84096000</c:v>
                </c:pt>
                <c:pt idx="14">
                  <c:v>84096000</c:v>
                </c:pt>
                <c:pt idx="15">
                  <c:v>84096000</c:v>
                </c:pt>
                <c:pt idx="16">
                  <c:v>84096000</c:v>
                </c:pt>
                <c:pt idx="17">
                  <c:v>84096000</c:v>
                </c:pt>
                <c:pt idx="18">
                  <c:v>84096000</c:v>
                </c:pt>
                <c:pt idx="19">
                  <c:v>84096000</c:v>
                </c:pt>
                <c:pt idx="20">
                  <c:v>84096000</c:v>
                </c:pt>
                <c:pt idx="21">
                  <c:v>84096000</c:v>
                </c:pt>
                <c:pt idx="22">
                  <c:v>84096000</c:v>
                </c:pt>
                <c:pt idx="23">
                  <c:v>84096000</c:v>
                </c:pt>
                <c:pt idx="24">
                  <c:v>84096000</c:v>
                </c:pt>
                <c:pt idx="25">
                  <c:v>183950965.58218923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D-4839-8CC1-5D7A649AB264}"/>
            </c:ext>
          </c:extLst>
        </c:ser>
        <c:ser>
          <c:idx val="2"/>
          <c:order val="2"/>
          <c:tx>
            <c:strRef>
              <c:f>'Cashflow diagram'!#REF!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'Cashflow diagram'!$D$15:$AC$15</c:f>
              <c:strCache>
                <c:ptCount val="26"/>
                <c:pt idx="0">
                  <c:v>Year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  <c:pt idx="6">
                  <c:v>Year 6</c:v>
                </c:pt>
                <c:pt idx="7">
                  <c:v>Year 7</c:v>
                </c:pt>
                <c:pt idx="8">
                  <c:v>Year 8</c:v>
                </c:pt>
                <c:pt idx="9">
                  <c:v>Year 9</c:v>
                </c:pt>
                <c:pt idx="10">
                  <c:v>Year 10</c:v>
                </c:pt>
                <c:pt idx="11">
                  <c:v>Year 11</c:v>
                </c:pt>
                <c:pt idx="12">
                  <c:v>Year 12</c:v>
                </c:pt>
                <c:pt idx="13">
                  <c:v>Year 13</c:v>
                </c:pt>
                <c:pt idx="14">
                  <c:v>Year 14</c:v>
                </c:pt>
                <c:pt idx="15">
                  <c:v>Year 15</c:v>
                </c:pt>
                <c:pt idx="16">
                  <c:v>Year 16</c:v>
                </c:pt>
                <c:pt idx="17">
                  <c:v>Year 17</c:v>
                </c:pt>
                <c:pt idx="18">
                  <c:v>Year 18</c:v>
                </c:pt>
                <c:pt idx="19">
                  <c:v>Year 19</c:v>
                </c:pt>
                <c:pt idx="20">
                  <c:v>Year 20</c:v>
                </c:pt>
                <c:pt idx="21">
                  <c:v>Year 21</c:v>
                </c:pt>
                <c:pt idx="22">
                  <c:v>Year 22</c:v>
                </c:pt>
                <c:pt idx="23">
                  <c:v>Year 23</c:v>
                </c:pt>
                <c:pt idx="24">
                  <c:v>Year 24</c:v>
                </c:pt>
                <c:pt idx="25">
                  <c:v>Year 25</c:v>
                </c:pt>
              </c:strCache>
            </c:strRef>
          </c:cat>
          <c:val>
            <c:numRef>
              <c:f>'Cashflow diagram'!#REF!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hape val="box"/>
          <c:extLst>
            <c:ext xmlns:c16="http://schemas.microsoft.com/office/drawing/2014/chart" uri="{C3380CC4-5D6E-409C-BE32-E72D297353CC}">
              <c16:uniqueId val="{00000002-6B7D-4839-8CC1-5D7A649AB264}"/>
            </c:ext>
          </c:extLst>
        </c:ser>
        <c:ser>
          <c:idx val="3"/>
          <c:order val="3"/>
          <c:tx>
            <c:strRef>
              <c:f>'Cashflow diagram'!$C$17</c:f>
              <c:strCache>
                <c:ptCount val="1"/>
                <c:pt idx="0">
                  <c:v>Bank Loan Payments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'Cashflow diagram'!$D$15:$AC$15</c:f>
              <c:strCache>
                <c:ptCount val="26"/>
                <c:pt idx="0">
                  <c:v>Year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  <c:pt idx="6">
                  <c:v>Year 6</c:v>
                </c:pt>
                <c:pt idx="7">
                  <c:v>Year 7</c:v>
                </c:pt>
                <c:pt idx="8">
                  <c:v>Year 8</c:v>
                </c:pt>
                <c:pt idx="9">
                  <c:v>Year 9</c:v>
                </c:pt>
                <c:pt idx="10">
                  <c:v>Year 10</c:v>
                </c:pt>
                <c:pt idx="11">
                  <c:v>Year 11</c:v>
                </c:pt>
                <c:pt idx="12">
                  <c:v>Year 12</c:v>
                </c:pt>
                <c:pt idx="13">
                  <c:v>Year 13</c:v>
                </c:pt>
                <c:pt idx="14">
                  <c:v>Year 14</c:v>
                </c:pt>
                <c:pt idx="15">
                  <c:v>Year 15</c:v>
                </c:pt>
                <c:pt idx="16">
                  <c:v>Year 16</c:v>
                </c:pt>
                <c:pt idx="17">
                  <c:v>Year 17</c:v>
                </c:pt>
                <c:pt idx="18">
                  <c:v>Year 18</c:v>
                </c:pt>
                <c:pt idx="19">
                  <c:v>Year 19</c:v>
                </c:pt>
                <c:pt idx="20">
                  <c:v>Year 20</c:v>
                </c:pt>
                <c:pt idx="21">
                  <c:v>Year 21</c:v>
                </c:pt>
                <c:pt idx="22">
                  <c:v>Year 22</c:v>
                </c:pt>
                <c:pt idx="23">
                  <c:v>Year 23</c:v>
                </c:pt>
                <c:pt idx="24">
                  <c:v>Year 24</c:v>
                </c:pt>
                <c:pt idx="25">
                  <c:v>Year 25</c:v>
                </c:pt>
              </c:strCache>
            </c:strRef>
          </c:cat>
          <c:val>
            <c:numRef>
              <c:f>'Cashflow diagram'!$D$17:$AC$17</c:f>
            </c:numRef>
          </c:val>
          <c:shape val="box"/>
          <c:extLst>
            <c:ext xmlns:c16="http://schemas.microsoft.com/office/drawing/2014/chart" uri="{C3380CC4-5D6E-409C-BE32-E72D297353CC}">
              <c16:uniqueId val="{00000003-6B7D-4839-8CC1-5D7A649AB264}"/>
            </c:ext>
          </c:extLst>
        </c:ser>
        <c:ser>
          <c:idx val="4"/>
          <c:order val="4"/>
          <c:tx>
            <c:strRef>
              <c:f>'Cashflow diagram'!$C$18</c:f>
              <c:strCache>
                <c:ptCount val="1"/>
                <c:pt idx="0">
                  <c:v>Income Tax (17%)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'Cashflow diagram'!$D$15:$AC$15</c:f>
              <c:strCache>
                <c:ptCount val="26"/>
                <c:pt idx="0">
                  <c:v>Year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  <c:pt idx="6">
                  <c:v>Year 6</c:v>
                </c:pt>
                <c:pt idx="7">
                  <c:v>Year 7</c:v>
                </c:pt>
                <c:pt idx="8">
                  <c:v>Year 8</c:v>
                </c:pt>
                <c:pt idx="9">
                  <c:v>Year 9</c:v>
                </c:pt>
                <c:pt idx="10">
                  <c:v>Year 10</c:v>
                </c:pt>
                <c:pt idx="11">
                  <c:v>Year 11</c:v>
                </c:pt>
                <c:pt idx="12">
                  <c:v>Year 12</c:v>
                </c:pt>
                <c:pt idx="13">
                  <c:v>Year 13</c:v>
                </c:pt>
                <c:pt idx="14">
                  <c:v>Year 14</c:v>
                </c:pt>
                <c:pt idx="15">
                  <c:v>Year 15</c:v>
                </c:pt>
                <c:pt idx="16">
                  <c:v>Year 16</c:v>
                </c:pt>
                <c:pt idx="17">
                  <c:v>Year 17</c:v>
                </c:pt>
                <c:pt idx="18">
                  <c:v>Year 18</c:v>
                </c:pt>
                <c:pt idx="19">
                  <c:v>Year 19</c:v>
                </c:pt>
                <c:pt idx="20">
                  <c:v>Year 20</c:v>
                </c:pt>
                <c:pt idx="21">
                  <c:v>Year 21</c:v>
                </c:pt>
                <c:pt idx="22">
                  <c:v>Year 22</c:v>
                </c:pt>
                <c:pt idx="23">
                  <c:v>Year 23</c:v>
                </c:pt>
                <c:pt idx="24">
                  <c:v>Year 24</c:v>
                </c:pt>
                <c:pt idx="25">
                  <c:v>Year 25</c:v>
                </c:pt>
              </c:strCache>
            </c:strRef>
          </c:cat>
          <c:val>
            <c:numRef>
              <c:f>'Cashflow diagram'!$D$18:$AC$18</c:f>
            </c:numRef>
          </c:val>
          <c:shape val="box"/>
          <c:extLst>
            <c:ext xmlns:c16="http://schemas.microsoft.com/office/drawing/2014/chart" uri="{C3380CC4-5D6E-409C-BE32-E72D297353CC}">
              <c16:uniqueId val="{00000004-6B7D-4839-8CC1-5D7A649AB264}"/>
            </c:ext>
          </c:extLst>
        </c:ser>
        <c:ser>
          <c:idx val="5"/>
          <c:order val="5"/>
          <c:tx>
            <c:strRef>
              <c:f>'Cashflow diagram'!$C$19</c:f>
              <c:strCache>
                <c:ptCount val="1"/>
                <c:pt idx="0">
                  <c:v>Annual O&amp;M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'Cashflow diagram'!$D$15:$AC$15</c:f>
              <c:strCache>
                <c:ptCount val="26"/>
                <c:pt idx="0">
                  <c:v>Year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  <c:pt idx="6">
                  <c:v>Year 6</c:v>
                </c:pt>
                <c:pt idx="7">
                  <c:v>Year 7</c:v>
                </c:pt>
                <c:pt idx="8">
                  <c:v>Year 8</c:v>
                </c:pt>
                <c:pt idx="9">
                  <c:v>Year 9</c:v>
                </c:pt>
                <c:pt idx="10">
                  <c:v>Year 10</c:v>
                </c:pt>
                <c:pt idx="11">
                  <c:v>Year 11</c:v>
                </c:pt>
                <c:pt idx="12">
                  <c:v>Year 12</c:v>
                </c:pt>
                <c:pt idx="13">
                  <c:v>Year 13</c:v>
                </c:pt>
                <c:pt idx="14">
                  <c:v>Year 14</c:v>
                </c:pt>
                <c:pt idx="15">
                  <c:v>Year 15</c:v>
                </c:pt>
                <c:pt idx="16">
                  <c:v>Year 16</c:v>
                </c:pt>
                <c:pt idx="17">
                  <c:v>Year 17</c:v>
                </c:pt>
                <c:pt idx="18">
                  <c:v>Year 18</c:v>
                </c:pt>
                <c:pt idx="19">
                  <c:v>Year 19</c:v>
                </c:pt>
                <c:pt idx="20">
                  <c:v>Year 20</c:v>
                </c:pt>
                <c:pt idx="21">
                  <c:v>Year 21</c:v>
                </c:pt>
                <c:pt idx="22">
                  <c:v>Year 22</c:v>
                </c:pt>
                <c:pt idx="23">
                  <c:v>Year 23</c:v>
                </c:pt>
                <c:pt idx="24">
                  <c:v>Year 24</c:v>
                </c:pt>
                <c:pt idx="25">
                  <c:v>Year 25</c:v>
                </c:pt>
              </c:strCache>
            </c:strRef>
          </c:cat>
          <c:val>
            <c:numRef>
              <c:f>'Cashflow diagram'!$D$19:$AC$19</c:f>
            </c:numRef>
          </c:val>
          <c:shape val="box"/>
          <c:extLst>
            <c:ext xmlns:c16="http://schemas.microsoft.com/office/drawing/2014/chart" uri="{C3380CC4-5D6E-409C-BE32-E72D297353CC}">
              <c16:uniqueId val="{00000005-6B7D-4839-8CC1-5D7A649AB264}"/>
            </c:ext>
          </c:extLst>
        </c:ser>
        <c:ser>
          <c:idx val="6"/>
          <c:order val="6"/>
          <c:tx>
            <c:strRef>
              <c:f>'Cashflow diagram'!$C$20</c:f>
              <c:strCache>
                <c:ptCount val="1"/>
                <c:pt idx="0">
                  <c:v>Total Expenses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'Cashflow diagram'!$D$15:$AC$15</c:f>
              <c:strCache>
                <c:ptCount val="26"/>
                <c:pt idx="0">
                  <c:v>Year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  <c:pt idx="6">
                  <c:v>Year 6</c:v>
                </c:pt>
                <c:pt idx="7">
                  <c:v>Year 7</c:v>
                </c:pt>
                <c:pt idx="8">
                  <c:v>Year 8</c:v>
                </c:pt>
                <c:pt idx="9">
                  <c:v>Year 9</c:v>
                </c:pt>
                <c:pt idx="10">
                  <c:v>Year 10</c:v>
                </c:pt>
                <c:pt idx="11">
                  <c:v>Year 11</c:v>
                </c:pt>
                <c:pt idx="12">
                  <c:v>Year 12</c:v>
                </c:pt>
                <c:pt idx="13">
                  <c:v>Year 13</c:v>
                </c:pt>
                <c:pt idx="14">
                  <c:v>Year 14</c:v>
                </c:pt>
                <c:pt idx="15">
                  <c:v>Year 15</c:v>
                </c:pt>
                <c:pt idx="16">
                  <c:v>Year 16</c:v>
                </c:pt>
                <c:pt idx="17">
                  <c:v>Year 17</c:v>
                </c:pt>
                <c:pt idx="18">
                  <c:v>Year 18</c:v>
                </c:pt>
                <c:pt idx="19">
                  <c:v>Year 19</c:v>
                </c:pt>
                <c:pt idx="20">
                  <c:v>Year 20</c:v>
                </c:pt>
                <c:pt idx="21">
                  <c:v>Year 21</c:v>
                </c:pt>
                <c:pt idx="22">
                  <c:v>Year 22</c:v>
                </c:pt>
                <c:pt idx="23">
                  <c:v>Year 23</c:v>
                </c:pt>
                <c:pt idx="24">
                  <c:v>Year 24</c:v>
                </c:pt>
                <c:pt idx="25">
                  <c:v>Year 25</c:v>
                </c:pt>
              </c:strCache>
            </c:strRef>
          </c:cat>
          <c:val>
            <c:numRef>
              <c:f>'Cashflow diagram'!$D$20:$AC$20</c:f>
              <c:numCache>
                <c:formatCode>_("$"* #,##0.00_);_("$"* \(#,##0.00\);_("$"* "-"??_);_(@_)</c:formatCode>
                <c:ptCount val="26"/>
                <c:pt idx="0" formatCode="&quot;$&quot;#,##0.00">
                  <c:v>-659562471.31849098</c:v>
                </c:pt>
                <c:pt idx="1">
                  <c:v>-56779343.521460146</c:v>
                </c:pt>
                <c:pt idx="2">
                  <c:v>-56844150.15306896</c:v>
                </c:pt>
                <c:pt idx="3">
                  <c:v>-56910927.940392494</c:v>
                </c:pt>
                <c:pt idx="4">
                  <c:v>-56979736.83801806</c:v>
                </c:pt>
                <c:pt idx="5">
                  <c:v>-57050638.62410906</c:v>
                </c:pt>
                <c:pt idx="6">
                  <c:v>-57989009.287327126</c:v>
                </c:pt>
                <c:pt idx="7">
                  <c:v>-58072518.346310541</c:v>
                </c:pt>
                <c:pt idx="8">
                  <c:v>-58158997.568065375</c:v>
                </c:pt>
                <c:pt idx="9">
                  <c:v>-58248552.592231169</c:v>
                </c:pt>
                <c:pt idx="10">
                  <c:v>-58341292.815727547</c:v>
                </c:pt>
                <c:pt idx="11">
                  <c:v>-58707961.145833269</c:v>
                </c:pt>
                <c:pt idx="12">
                  <c:v>-58811598.775537923</c:v>
                </c:pt>
                <c:pt idx="13">
                  <c:v>-58919136.698842019</c:v>
                </c:pt>
                <c:pt idx="14">
                  <c:v>-59030721.699208334</c:v>
                </c:pt>
                <c:pt idx="15">
                  <c:v>-59146506.084141463</c:v>
                </c:pt>
                <c:pt idx="16">
                  <c:v>-59508965.998072535</c:v>
                </c:pt>
                <c:pt idx="17">
                  <c:v>-59640892.473023087</c:v>
                </c:pt>
                <c:pt idx="18">
                  <c:v>-59778139.10803102</c:v>
                </c:pt>
                <c:pt idx="19">
                  <c:v>-59920920.447622314</c:v>
                </c:pt>
                <c:pt idx="20">
                  <c:v>-60069459.688196853</c:v>
                </c:pt>
                <c:pt idx="21">
                  <c:v>-60223989.026929855</c:v>
                </c:pt>
                <c:pt idx="22">
                  <c:v>-60384750.024743646</c:v>
                </c:pt>
                <c:pt idx="23">
                  <c:v>-60551993.983916551</c:v>
                </c:pt>
                <c:pt idx="24">
                  <c:v>-60725982.340919867</c:v>
                </c:pt>
                <c:pt idx="25">
                  <c:v>-60906987.075096324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7D-4839-8CC1-5D7A649AB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one"/>
        <c:axId val="816414191"/>
        <c:axId val="816412943"/>
        <c:axId val="0"/>
      </c:bar3DChart>
      <c:catAx>
        <c:axId val="81641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412943"/>
        <c:crosses val="autoZero"/>
        <c:auto val="1"/>
        <c:lblAlgn val="ctr"/>
        <c:lblOffset val="100"/>
        <c:noMultiLvlLbl val="0"/>
      </c:catAx>
      <c:valAx>
        <c:axId val="81641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414191"/>
        <c:crosses val="autoZero"/>
        <c:crossBetween val="between"/>
        <c:majorUnit val="10000000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'Cash Flow Statement'!$D$21</c:f>
              <c:strCache>
                <c:ptCount val="1"/>
                <c:pt idx="0">
                  <c:v>Net Cash 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'Cash Flow Statement'!$E$3:$AD$3</c:f>
              <c:strCache>
                <c:ptCount val="26"/>
                <c:pt idx="0">
                  <c:v>Year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  <c:pt idx="6">
                  <c:v>Year 6</c:v>
                </c:pt>
                <c:pt idx="7">
                  <c:v>Year 7</c:v>
                </c:pt>
                <c:pt idx="8">
                  <c:v>Year 8</c:v>
                </c:pt>
                <c:pt idx="9">
                  <c:v>Year 9</c:v>
                </c:pt>
                <c:pt idx="10">
                  <c:v>Year 10</c:v>
                </c:pt>
                <c:pt idx="11">
                  <c:v>Year 11</c:v>
                </c:pt>
                <c:pt idx="12">
                  <c:v>Year 12</c:v>
                </c:pt>
                <c:pt idx="13">
                  <c:v>Year 13</c:v>
                </c:pt>
                <c:pt idx="14">
                  <c:v>Year 14</c:v>
                </c:pt>
                <c:pt idx="15">
                  <c:v>Year 15</c:v>
                </c:pt>
                <c:pt idx="16">
                  <c:v>Year 16</c:v>
                </c:pt>
                <c:pt idx="17">
                  <c:v>Year 17</c:v>
                </c:pt>
                <c:pt idx="18">
                  <c:v>Year 18</c:v>
                </c:pt>
                <c:pt idx="19">
                  <c:v>Year 19</c:v>
                </c:pt>
                <c:pt idx="20">
                  <c:v>Year 20</c:v>
                </c:pt>
                <c:pt idx="21">
                  <c:v>Year 21</c:v>
                </c:pt>
                <c:pt idx="22">
                  <c:v>Year 22</c:v>
                </c:pt>
                <c:pt idx="23">
                  <c:v>Year 23</c:v>
                </c:pt>
                <c:pt idx="24">
                  <c:v>Year 24</c:v>
                </c:pt>
                <c:pt idx="25">
                  <c:v>Year 25</c:v>
                </c:pt>
              </c:strCache>
            </c:strRef>
          </c:cat>
          <c:val>
            <c:numRef>
              <c:f>'Cash Flow Statement'!$E$21:$AD$21</c:f>
              <c:numCache>
                <c:formatCode>_("$"* #,##0.00_);_("$"* \(#,##0.00\);_("$"* "-"??_);_(@_)</c:formatCode>
                <c:ptCount val="26"/>
                <c:pt idx="0">
                  <c:v>-200100000</c:v>
                </c:pt>
                <c:pt idx="1">
                  <c:v>36370992.478539854</c:v>
                </c:pt>
                <c:pt idx="2" formatCode="&quot;$&quot;#,##0.00_);[Red]\(&quot;$&quot;#,##0.00\)">
                  <c:v>36306185.846931048</c:v>
                </c:pt>
                <c:pt idx="3" formatCode="&quot;$&quot;#,##0.00_);[Red]\(&quot;$&quot;#,##0.00\)">
                  <c:v>36239408.059607491</c:v>
                </c:pt>
                <c:pt idx="4" formatCode="&quot;$&quot;#,##0.00_);[Red]\(&quot;$&quot;#,##0.00\)">
                  <c:v>36170599.16198194</c:v>
                </c:pt>
                <c:pt idx="5" formatCode="&quot;$&quot;#,##0.00_);[Red]\(&quot;$&quot;#,##0.00\)">
                  <c:v>36099697.375890948</c:v>
                </c:pt>
                <c:pt idx="6" formatCode="&quot;$&quot;#,##0.00_);[Red]\(&quot;$&quot;#,##0.00\)">
                  <c:v>35161326.712672874</c:v>
                </c:pt>
                <c:pt idx="7" formatCode="&quot;$&quot;#,##0.00_);[Red]\(&quot;$&quot;#,##0.00\)">
                  <c:v>35077817.653689459</c:v>
                </c:pt>
                <c:pt idx="8" formatCode="&quot;$&quot;#,##0.00_);[Red]\(&quot;$&quot;#,##0.00\)">
                  <c:v>34991338.431934617</c:v>
                </c:pt>
                <c:pt idx="9" formatCode="&quot;$&quot;#,##0.00_);[Red]\(&quot;$&quot;#,##0.00\)">
                  <c:v>34901783.407768831</c:v>
                </c:pt>
                <c:pt idx="10" formatCode="&quot;$&quot;#,##0.00_);[Red]\(&quot;$&quot;#,##0.00\)">
                  <c:v>34809043.184272453</c:v>
                </c:pt>
                <c:pt idx="11" formatCode="&quot;$&quot;#,##0.00_);[Red]\(&quot;$&quot;#,##0.00\)">
                  <c:v>34442374.854166724</c:v>
                </c:pt>
                <c:pt idx="12" formatCode="&quot;$&quot;#,##0.00_);[Red]\(&quot;$&quot;#,##0.00\)">
                  <c:v>34338737.224462077</c:v>
                </c:pt>
                <c:pt idx="13" formatCode="&quot;$&quot;#,##0.00_);[Red]\(&quot;$&quot;#,##0.00\)">
                  <c:v>34231199.301157981</c:v>
                </c:pt>
                <c:pt idx="14" formatCode="&quot;$&quot;#,##0.00_);[Red]\(&quot;$&quot;#,##0.00\)">
                  <c:v>34119614.300791666</c:v>
                </c:pt>
                <c:pt idx="15" formatCode="&quot;$&quot;#,##0.00_);[Red]\(&quot;$&quot;#,##0.00\)">
                  <c:v>34003829.915858537</c:v>
                </c:pt>
                <c:pt idx="16" formatCode="&quot;$&quot;#,##0.00_);[Red]\(&quot;$&quot;#,##0.00\)">
                  <c:v>33641370.001927465</c:v>
                </c:pt>
                <c:pt idx="17" formatCode="&quot;$&quot;#,##0.00_);[Red]\(&quot;$&quot;#,##0.00\)">
                  <c:v>33509443.526976913</c:v>
                </c:pt>
                <c:pt idx="18" formatCode="&quot;$&quot;#,##0.00_);[Red]\(&quot;$&quot;#,##0.00\)">
                  <c:v>33372196.891968992</c:v>
                </c:pt>
                <c:pt idx="19" formatCode="&quot;$&quot;#,##0.00_);[Red]\(&quot;$&quot;#,##0.00\)">
                  <c:v>33229415.552377682</c:v>
                </c:pt>
                <c:pt idx="20" formatCode="&quot;$&quot;#,##0.00_);[Red]\(&quot;$&quot;#,##0.00\)">
                  <c:v>33080876.311803143</c:v>
                </c:pt>
                <c:pt idx="21" formatCode="&quot;$&quot;#,##0.00_);[Red]\(&quot;$&quot;#,##0.00\)">
                  <c:v>32926346.97307013</c:v>
                </c:pt>
                <c:pt idx="22" formatCode="&quot;$&quot;#,##0.00_);[Red]\(&quot;$&quot;#,##0.00\)">
                  <c:v>32765585.975256361</c:v>
                </c:pt>
                <c:pt idx="23" formatCode="&quot;$&quot;#,##0.00_);[Red]\(&quot;$&quot;#,##0.00\)">
                  <c:v>32598342.016083434</c:v>
                </c:pt>
                <c:pt idx="24" formatCode="&quot;$&quot;#,##0.00_);[Red]\(&quot;$&quot;#,##0.00\)">
                  <c:v>32424353.659080125</c:v>
                </c:pt>
                <c:pt idx="25" formatCode="&quot;$&quot;#,##0.00_);[Red]\(&quot;$&quot;#,##0.00\)">
                  <c:v>131998314.50709291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0-D2FE-4108-B12D-AB3315675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9770415"/>
        <c:axId val="339770831"/>
        <c:axId val="0"/>
      </c:bar3DChart>
      <c:catAx>
        <c:axId val="33977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70831"/>
        <c:crosses val="autoZero"/>
        <c:auto val="1"/>
        <c:lblAlgn val="ctr"/>
        <c:lblOffset val="100"/>
        <c:noMultiLvlLbl val="0"/>
      </c:catAx>
      <c:valAx>
        <c:axId val="33977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70415"/>
        <c:crosses val="autoZero"/>
        <c:crossBetween val="between"/>
        <c:majorUnit val="100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ecision Table'!A1"/><Relationship Id="rId3" Type="http://schemas.openxmlformats.org/officeDocument/2006/relationships/hyperlink" Target="#'Annual O&amp;M Payments'!A1"/><Relationship Id="rId7" Type="http://schemas.openxmlformats.org/officeDocument/2006/relationships/hyperlink" Target="#'Cashflow diagram'!A1"/><Relationship Id="rId2" Type="http://schemas.openxmlformats.org/officeDocument/2006/relationships/hyperlink" Target="#Depreciation!A1"/><Relationship Id="rId1" Type="http://schemas.openxmlformats.org/officeDocument/2006/relationships/hyperlink" Target="#'Investment Needed for Wind Turb'!A1"/><Relationship Id="rId6" Type="http://schemas.openxmlformats.org/officeDocument/2006/relationships/hyperlink" Target="#'Annual Revenues'!A1"/><Relationship Id="rId11" Type="http://schemas.openxmlformats.org/officeDocument/2006/relationships/hyperlink" Target="#'Cash Flow Statement'!A1"/><Relationship Id="rId5" Type="http://schemas.openxmlformats.org/officeDocument/2006/relationships/hyperlink" Target="#' Cost Basis of The Wind Farm'!A1"/><Relationship Id="rId10" Type="http://schemas.openxmlformats.org/officeDocument/2006/relationships/hyperlink" Target="#'Net Income Statement'!A1"/><Relationship Id="rId4" Type="http://schemas.openxmlformats.org/officeDocument/2006/relationships/hyperlink" Target="#'Bank Loan &amp; Payment Plan'!A1"/><Relationship Id="rId9" Type="http://schemas.openxmlformats.org/officeDocument/2006/relationships/hyperlink" Target="#'Equivalent&amp;PerU Costs 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Pag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Pag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Pag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HomePage!A1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HomePage!A1"/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HomePage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HomePage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HomePage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HomePage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HomePage!A1"/><Relationship Id="rId1" Type="http://schemas.openxmlformats.org/officeDocument/2006/relationships/chart" Target="../charts/chart3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hyperlink" Target="#HomePage!A1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361950</xdr:colOff>
      <xdr:row>41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B3153BB-F525-43B3-88F3-1201038D5489}"/>
            </a:ext>
          </a:extLst>
        </xdr:cNvPr>
        <xdr:cNvSpPr/>
      </xdr:nvSpPr>
      <xdr:spPr>
        <a:xfrm>
          <a:off x="0" y="0"/>
          <a:ext cx="18040350" cy="794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390525</xdr:colOff>
      <xdr:row>3</xdr:row>
      <xdr:rowOff>57150</xdr:rowOff>
    </xdr:from>
    <xdr:to>
      <xdr:col>15</xdr:col>
      <xdr:colOff>114300</xdr:colOff>
      <xdr:row>5</xdr:row>
      <xdr:rowOff>9525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133AD-E93F-4BC1-AEEF-544EB0005F29}"/>
            </a:ext>
          </a:extLst>
        </xdr:cNvPr>
        <xdr:cNvSpPr/>
      </xdr:nvSpPr>
      <xdr:spPr>
        <a:xfrm>
          <a:off x="7096125" y="628650"/>
          <a:ext cx="2162175" cy="333375"/>
        </a:xfrm>
        <a:prstGeom prst="rect">
          <a:avLst/>
        </a:prstGeom>
        <a:solidFill>
          <a:schemeClr val="accent6">
            <a:lumMod val="50000"/>
          </a:schemeClr>
        </a:solidFill>
        <a:scene3d>
          <a:camera prst="orthographicFront"/>
          <a:lightRig rig="threePt" dir="t"/>
        </a:scene3d>
        <a:sp3d prstMaterial="dkEdge"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Investment Needed for Wind Turb</a:t>
          </a:r>
        </a:p>
      </xdr:txBody>
    </xdr:sp>
    <xdr:clientData/>
  </xdr:twoCellAnchor>
  <xdr:twoCellAnchor>
    <xdr:from>
      <xdr:col>6</xdr:col>
      <xdr:colOff>314326</xdr:colOff>
      <xdr:row>11</xdr:row>
      <xdr:rowOff>0</xdr:rowOff>
    </xdr:from>
    <xdr:to>
      <xdr:col>8</xdr:col>
      <xdr:colOff>28576</xdr:colOff>
      <xdr:row>12</xdr:row>
      <xdr:rowOff>66675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38A06B-54E7-4C8C-8182-853E58E2B8EA}"/>
            </a:ext>
          </a:extLst>
        </xdr:cNvPr>
        <xdr:cNvSpPr/>
      </xdr:nvSpPr>
      <xdr:spPr>
        <a:xfrm>
          <a:off x="3971926" y="2095500"/>
          <a:ext cx="933450" cy="257175"/>
        </a:xfrm>
        <a:prstGeom prst="rect">
          <a:avLst/>
        </a:prstGeom>
        <a:solidFill>
          <a:schemeClr val="accent6"/>
        </a:soli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Depreciation</a:t>
          </a:r>
        </a:p>
      </xdr:txBody>
    </xdr:sp>
    <xdr:clientData/>
  </xdr:twoCellAnchor>
  <xdr:twoCellAnchor>
    <xdr:from>
      <xdr:col>8</xdr:col>
      <xdr:colOff>295275</xdr:colOff>
      <xdr:row>11</xdr:row>
      <xdr:rowOff>1</xdr:rowOff>
    </xdr:from>
    <xdr:to>
      <xdr:col>11</xdr:col>
      <xdr:colOff>38100</xdr:colOff>
      <xdr:row>12</xdr:row>
      <xdr:rowOff>95251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C29952-128F-4CBB-87B3-21B8DFF43309}"/>
            </a:ext>
          </a:extLst>
        </xdr:cNvPr>
        <xdr:cNvSpPr/>
      </xdr:nvSpPr>
      <xdr:spPr>
        <a:xfrm>
          <a:off x="5172075" y="2095501"/>
          <a:ext cx="1571625" cy="285750"/>
        </a:xfrm>
        <a:prstGeom prst="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Annual O&amp;M Payments</a:t>
          </a:r>
        </a:p>
      </xdr:txBody>
    </xdr:sp>
    <xdr:clientData/>
  </xdr:twoCellAnchor>
  <xdr:twoCellAnchor>
    <xdr:from>
      <xdr:col>3</xdr:col>
      <xdr:colOff>180976</xdr:colOff>
      <xdr:row>11</xdr:row>
      <xdr:rowOff>19050</xdr:rowOff>
    </xdr:from>
    <xdr:to>
      <xdr:col>6</xdr:col>
      <xdr:colOff>104776</xdr:colOff>
      <xdr:row>12</xdr:row>
      <xdr:rowOff>95250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C4A398-5E63-4D49-9A0D-1036226C16DB}"/>
            </a:ext>
          </a:extLst>
        </xdr:cNvPr>
        <xdr:cNvSpPr/>
      </xdr:nvSpPr>
      <xdr:spPr>
        <a:xfrm>
          <a:off x="2009776" y="2114550"/>
          <a:ext cx="1752600" cy="266700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Bank Loan &amp; Payment Plan</a:t>
          </a:r>
        </a:p>
      </xdr:txBody>
    </xdr:sp>
    <xdr:clientData/>
  </xdr:twoCellAnchor>
  <xdr:twoCellAnchor>
    <xdr:from>
      <xdr:col>11</xdr:col>
      <xdr:colOff>523875</xdr:colOff>
      <xdr:row>6</xdr:row>
      <xdr:rowOff>142875</xdr:rowOff>
    </xdr:from>
    <xdr:to>
      <xdr:col>14</xdr:col>
      <xdr:colOff>581025</xdr:colOff>
      <xdr:row>8</xdr:row>
      <xdr:rowOff>28575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20FFB1B-A600-4B42-8AB3-20663D4BE21A}"/>
            </a:ext>
          </a:extLst>
        </xdr:cNvPr>
        <xdr:cNvSpPr/>
      </xdr:nvSpPr>
      <xdr:spPr>
        <a:xfrm>
          <a:off x="7229475" y="1285875"/>
          <a:ext cx="1885950" cy="266700"/>
        </a:xfrm>
        <a:prstGeom prst="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Cost Basis of The Wind Farm</a:t>
          </a:r>
        </a:p>
      </xdr:txBody>
    </xdr:sp>
    <xdr:clientData/>
  </xdr:twoCellAnchor>
  <xdr:twoCellAnchor>
    <xdr:from>
      <xdr:col>11</xdr:col>
      <xdr:colOff>200025</xdr:colOff>
      <xdr:row>10</xdr:row>
      <xdr:rowOff>180976</xdr:rowOff>
    </xdr:from>
    <xdr:to>
      <xdr:col>13</xdr:col>
      <xdr:colOff>152400</xdr:colOff>
      <xdr:row>12</xdr:row>
      <xdr:rowOff>85726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C086A5-DE81-4CC7-927E-DD5F14785043}"/>
            </a:ext>
          </a:extLst>
        </xdr:cNvPr>
        <xdr:cNvSpPr/>
      </xdr:nvSpPr>
      <xdr:spPr>
        <a:xfrm>
          <a:off x="6905625" y="2085976"/>
          <a:ext cx="1171575" cy="285750"/>
        </a:xfrm>
        <a:prstGeom prst="rect">
          <a:avLst/>
        </a:prstGeom>
        <a:solidFill>
          <a:srgbClr val="002060"/>
        </a:soli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Annual Revenues</a:t>
          </a:r>
        </a:p>
      </xdr:txBody>
    </xdr:sp>
    <xdr:clientData/>
  </xdr:twoCellAnchor>
  <xdr:twoCellAnchor>
    <xdr:from>
      <xdr:col>12</xdr:col>
      <xdr:colOff>219076</xdr:colOff>
      <xdr:row>30</xdr:row>
      <xdr:rowOff>38100</xdr:rowOff>
    </xdr:from>
    <xdr:to>
      <xdr:col>14</xdr:col>
      <xdr:colOff>257176</xdr:colOff>
      <xdr:row>31</xdr:row>
      <xdr:rowOff>123825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AF078BA-BDF9-4693-85D6-056E2DFC0587}"/>
            </a:ext>
          </a:extLst>
        </xdr:cNvPr>
        <xdr:cNvSpPr/>
      </xdr:nvSpPr>
      <xdr:spPr>
        <a:xfrm>
          <a:off x="7534276" y="5753100"/>
          <a:ext cx="1257300" cy="276225"/>
        </a:xfrm>
        <a:prstGeom prst="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Cashflow diagram</a:t>
          </a:r>
        </a:p>
      </xdr:txBody>
    </xdr:sp>
    <xdr:clientData/>
  </xdr:twoCellAnchor>
  <xdr:twoCellAnchor>
    <xdr:from>
      <xdr:col>12</xdr:col>
      <xdr:colOff>285750</xdr:colOff>
      <xdr:row>18</xdr:row>
      <xdr:rowOff>114301</xdr:rowOff>
    </xdr:from>
    <xdr:to>
      <xdr:col>14</xdr:col>
      <xdr:colOff>123825</xdr:colOff>
      <xdr:row>20</xdr:row>
      <xdr:rowOff>19051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19D1082-3457-4638-837D-5113644735F7}"/>
            </a:ext>
          </a:extLst>
        </xdr:cNvPr>
        <xdr:cNvSpPr/>
      </xdr:nvSpPr>
      <xdr:spPr>
        <a:xfrm>
          <a:off x="7600950" y="3543301"/>
          <a:ext cx="1057275" cy="2857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Decision Table</a:t>
          </a:r>
        </a:p>
      </xdr:txBody>
    </xdr:sp>
    <xdr:clientData/>
  </xdr:twoCellAnchor>
  <xdr:twoCellAnchor>
    <xdr:from>
      <xdr:col>7</xdr:col>
      <xdr:colOff>9525</xdr:colOff>
      <xdr:row>15</xdr:row>
      <xdr:rowOff>0</xdr:rowOff>
    </xdr:from>
    <xdr:to>
      <xdr:col>9</xdr:col>
      <xdr:colOff>285750</xdr:colOff>
      <xdr:row>16</xdr:row>
      <xdr:rowOff>66675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70A2CA-C618-4150-A743-D307353F5E04}"/>
            </a:ext>
          </a:extLst>
        </xdr:cNvPr>
        <xdr:cNvSpPr/>
      </xdr:nvSpPr>
      <xdr:spPr>
        <a:xfrm>
          <a:off x="4276725" y="2857500"/>
          <a:ext cx="1495425" cy="257175"/>
        </a:xfrm>
        <a:prstGeom prst="rect">
          <a:avLst/>
        </a:prstGeom>
        <a:solidFill>
          <a:schemeClr val="accent4"/>
        </a:soli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Equivalent&amp;PerU Costs </a:t>
          </a:r>
        </a:p>
      </xdr:txBody>
    </xdr:sp>
    <xdr:clientData/>
  </xdr:twoCellAnchor>
  <xdr:twoCellAnchor>
    <xdr:from>
      <xdr:col>14</xdr:col>
      <xdr:colOff>161925</xdr:colOff>
      <xdr:row>24</xdr:row>
      <xdr:rowOff>114300</xdr:rowOff>
    </xdr:from>
    <xdr:to>
      <xdr:col>16</xdr:col>
      <xdr:colOff>428625</xdr:colOff>
      <xdr:row>26</xdr:row>
      <xdr:rowOff>19050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D0A65A9-7EC2-481E-8C27-F162C6A92A87}"/>
            </a:ext>
          </a:extLst>
        </xdr:cNvPr>
        <xdr:cNvSpPr/>
      </xdr:nvSpPr>
      <xdr:spPr>
        <a:xfrm>
          <a:off x="8696325" y="4686300"/>
          <a:ext cx="1485900" cy="285750"/>
        </a:xfrm>
        <a:prstGeom prst="rect">
          <a:avLst/>
        </a:prstGeom>
        <a:solidFill>
          <a:srgbClr val="00B0F0"/>
        </a:soli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 Income Statement</a:t>
          </a:r>
        </a:p>
      </xdr:txBody>
    </xdr:sp>
    <xdr:clientData/>
  </xdr:twoCellAnchor>
  <xdr:twoCellAnchor>
    <xdr:from>
      <xdr:col>10</xdr:col>
      <xdr:colOff>285750</xdr:colOff>
      <xdr:row>24</xdr:row>
      <xdr:rowOff>114301</xdr:rowOff>
    </xdr:from>
    <xdr:to>
      <xdr:col>12</xdr:col>
      <xdr:colOff>495300</xdr:colOff>
      <xdr:row>26</xdr:row>
      <xdr:rowOff>19051</xdr:rowOff>
    </xdr:to>
    <xdr:sp macro="" textlink="">
      <xdr:nvSpPr>
        <xdr:cNvPr id="12" name="Rectangl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E4C1A40-CA1C-4D01-9C43-1407EE869C7C}"/>
            </a:ext>
          </a:extLst>
        </xdr:cNvPr>
        <xdr:cNvSpPr/>
      </xdr:nvSpPr>
      <xdr:spPr>
        <a:xfrm>
          <a:off x="6381750" y="4686301"/>
          <a:ext cx="1428750" cy="285750"/>
        </a:xfrm>
        <a:prstGeom prst="rect">
          <a:avLst/>
        </a:prstGeom>
        <a:solidFill>
          <a:srgbClr val="E777B7"/>
        </a:soli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Cash Flow Statement</a:t>
          </a:r>
        </a:p>
      </xdr:txBody>
    </xdr:sp>
    <xdr:clientData/>
  </xdr:twoCellAnchor>
  <xdr:twoCellAnchor>
    <xdr:from>
      <xdr:col>13</xdr:col>
      <xdr:colOff>171450</xdr:colOff>
      <xdr:row>5</xdr:row>
      <xdr:rowOff>85725</xdr:rowOff>
    </xdr:from>
    <xdr:to>
      <xdr:col>13</xdr:col>
      <xdr:colOff>180975</xdr:colOff>
      <xdr:row>6</xdr:row>
      <xdr:rowOff>123825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7AC2B72-B83C-4D62-8B45-47E43E5AB0CD}"/>
            </a:ext>
          </a:extLst>
        </xdr:cNvPr>
        <xdr:cNvCxnSpPr/>
      </xdr:nvCxnSpPr>
      <xdr:spPr>
        <a:xfrm>
          <a:off x="8096250" y="10382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7</xdr:row>
      <xdr:rowOff>133350</xdr:rowOff>
    </xdr:from>
    <xdr:to>
      <xdr:col>11</xdr:col>
      <xdr:colOff>419100</xdr:colOff>
      <xdr:row>8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2FA26CD-8B2A-4BEB-8D49-B73C0D1E6B9E}"/>
            </a:ext>
          </a:extLst>
        </xdr:cNvPr>
        <xdr:cNvCxnSpPr/>
      </xdr:nvCxnSpPr>
      <xdr:spPr>
        <a:xfrm flipH="1">
          <a:off x="6410325" y="1466850"/>
          <a:ext cx="7143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8</xdr:row>
      <xdr:rowOff>85725</xdr:rowOff>
    </xdr:from>
    <xdr:to>
      <xdr:col>11</xdr:col>
      <xdr:colOff>266700</xdr:colOff>
      <xdr:row>10</xdr:row>
      <xdr:rowOff>161925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2204694-DB97-422A-91C0-7A578BD3CAAA}"/>
            </a:ext>
          </a:extLst>
        </xdr:cNvPr>
        <xdr:cNvCxnSpPr/>
      </xdr:nvCxnSpPr>
      <xdr:spPr>
        <a:xfrm>
          <a:off x="6457950" y="1609725"/>
          <a:ext cx="5143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8</xdr:row>
      <xdr:rowOff>47625</xdr:rowOff>
    </xdr:from>
    <xdr:to>
      <xdr:col>10</xdr:col>
      <xdr:colOff>361950</xdr:colOff>
      <xdr:row>10</xdr:row>
      <xdr:rowOff>180975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1C16145-C3E1-4D59-BF33-EF62E9F7F64A}"/>
            </a:ext>
          </a:extLst>
        </xdr:cNvPr>
        <xdr:cNvCxnSpPr/>
      </xdr:nvCxnSpPr>
      <xdr:spPr>
        <a:xfrm flipH="1">
          <a:off x="6010275" y="1571625"/>
          <a:ext cx="4476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8</xdr:row>
      <xdr:rowOff>85725</xdr:rowOff>
    </xdr:from>
    <xdr:to>
      <xdr:col>10</xdr:col>
      <xdr:colOff>361950</xdr:colOff>
      <xdr:row>10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B953B58-AF5E-4600-AB90-A92D97B8D8BE}"/>
            </a:ext>
          </a:extLst>
        </xdr:cNvPr>
        <xdr:cNvCxnSpPr/>
      </xdr:nvCxnSpPr>
      <xdr:spPr>
        <a:xfrm flipH="1">
          <a:off x="4486275" y="1609725"/>
          <a:ext cx="19716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8</xdr:row>
      <xdr:rowOff>85725</xdr:rowOff>
    </xdr:from>
    <xdr:to>
      <xdr:col>10</xdr:col>
      <xdr:colOff>381000</xdr:colOff>
      <xdr:row>10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2E6A406-75A1-4C07-B63D-C78C4B36B995}"/>
            </a:ext>
          </a:extLst>
        </xdr:cNvPr>
        <xdr:cNvCxnSpPr/>
      </xdr:nvCxnSpPr>
      <xdr:spPr>
        <a:xfrm flipH="1">
          <a:off x="2857500" y="1609725"/>
          <a:ext cx="36195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147638</xdr:colOff>
      <xdr:row>12</xdr:row>
      <xdr:rowOff>104775</xdr:rowOff>
    </xdr:from>
    <xdr:to>
      <xdr:col>12</xdr:col>
      <xdr:colOff>47625</xdr:colOff>
      <xdr:row>15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307A53D-C9DF-4A62-A4CB-D61E0F797016}"/>
            </a:ext>
          </a:extLst>
        </xdr:cNvPr>
        <xdr:cNvCxnSpPr>
          <a:endCxn id="10" idx="0"/>
        </xdr:cNvCxnSpPr>
      </xdr:nvCxnSpPr>
      <xdr:spPr>
        <a:xfrm flipH="1">
          <a:off x="5024438" y="2390775"/>
          <a:ext cx="2338387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147638</xdr:colOff>
      <xdr:row>12</xdr:row>
      <xdr:rowOff>114300</xdr:rowOff>
    </xdr:from>
    <xdr:to>
      <xdr:col>9</xdr:col>
      <xdr:colOff>438150</xdr:colOff>
      <xdr:row>15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E3F9E66-6225-4786-98A3-7F2753B31F2F}"/>
            </a:ext>
          </a:extLst>
        </xdr:cNvPr>
        <xdr:cNvCxnSpPr>
          <a:endCxn id="10" idx="0"/>
        </xdr:cNvCxnSpPr>
      </xdr:nvCxnSpPr>
      <xdr:spPr>
        <a:xfrm flipH="1">
          <a:off x="5024438" y="2400300"/>
          <a:ext cx="900112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12</xdr:row>
      <xdr:rowOff>47625</xdr:rowOff>
    </xdr:from>
    <xdr:to>
      <xdr:col>8</xdr:col>
      <xdr:colOff>147638</xdr:colOff>
      <xdr:row>15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E7D7D6A-29DF-49DA-A64E-4017A466F009}"/>
            </a:ext>
          </a:extLst>
        </xdr:cNvPr>
        <xdr:cNvCxnSpPr>
          <a:endCxn id="10" idx="0"/>
        </xdr:cNvCxnSpPr>
      </xdr:nvCxnSpPr>
      <xdr:spPr>
        <a:xfrm>
          <a:off x="4429125" y="2333625"/>
          <a:ext cx="595313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12</xdr:row>
      <xdr:rowOff>95250</xdr:rowOff>
    </xdr:from>
    <xdr:to>
      <xdr:col>8</xdr:col>
      <xdr:colOff>147638</xdr:colOff>
      <xdr:row>15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DC3B86B-EF6C-4E0B-94DE-7007575FE936}"/>
            </a:ext>
          </a:extLst>
        </xdr:cNvPr>
        <xdr:cNvCxnSpPr>
          <a:endCxn id="10" idx="0"/>
        </xdr:cNvCxnSpPr>
      </xdr:nvCxnSpPr>
      <xdr:spPr>
        <a:xfrm>
          <a:off x="2847975" y="2381250"/>
          <a:ext cx="21764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</xdr:row>
      <xdr:rowOff>85725</xdr:rowOff>
    </xdr:from>
    <xdr:to>
      <xdr:col>13</xdr:col>
      <xdr:colOff>66675</xdr:colOff>
      <xdr:row>18</xdr:row>
      <xdr:rowOff>114300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2808928-8B54-4ADE-AEC5-AE58EF59412F}"/>
            </a:ext>
          </a:extLst>
        </xdr:cNvPr>
        <xdr:cNvCxnSpPr/>
      </xdr:nvCxnSpPr>
      <xdr:spPr>
        <a:xfrm>
          <a:off x="5019675" y="3133725"/>
          <a:ext cx="29718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26</xdr:row>
      <xdr:rowOff>28575</xdr:rowOff>
    </xdr:from>
    <xdr:to>
      <xdr:col>13</xdr:col>
      <xdr:colOff>238126</xdr:colOff>
      <xdr:row>30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596FB7D-A910-4F79-B4BF-EF84A1391E86}"/>
            </a:ext>
          </a:extLst>
        </xdr:cNvPr>
        <xdr:cNvCxnSpPr>
          <a:endCxn id="8" idx="0"/>
        </xdr:cNvCxnSpPr>
      </xdr:nvCxnSpPr>
      <xdr:spPr>
        <a:xfrm>
          <a:off x="7105650" y="4981575"/>
          <a:ext cx="1057276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20</xdr:row>
      <xdr:rowOff>38100</xdr:rowOff>
    </xdr:from>
    <xdr:to>
      <xdr:col>15</xdr:col>
      <xdr:colOff>295275</xdr:colOff>
      <xdr:row>24</xdr:row>
      <xdr:rowOff>114300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0317492-1C11-4124-A113-ED4AD4C539DB}"/>
            </a:ext>
          </a:extLst>
        </xdr:cNvPr>
        <xdr:cNvCxnSpPr>
          <a:endCxn id="11" idx="0"/>
        </xdr:cNvCxnSpPr>
      </xdr:nvCxnSpPr>
      <xdr:spPr>
        <a:xfrm>
          <a:off x="8086725" y="3848100"/>
          <a:ext cx="13525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20</xdr:row>
      <xdr:rowOff>47625</xdr:rowOff>
    </xdr:from>
    <xdr:to>
      <xdr:col>13</xdr:col>
      <xdr:colOff>161925</xdr:colOff>
      <xdr:row>24</xdr:row>
      <xdr:rowOff>114301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4992BFE-6195-40EF-A86B-7B26E64E801C}"/>
            </a:ext>
          </a:extLst>
        </xdr:cNvPr>
        <xdr:cNvCxnSpPr>
          <a:endCxn id="12" idx="0"/>
        </xdr:cNvCxnSpPr>
      </xdr:nvCxnSpPr>
      <xdr:spPr>
        <a:xfrm flipH="1">
          <a:off x="7096125" y="3857625"/>
          <a:ext cx="990600" cy="8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26</xdr:row>
      <xdr:rowOff>38100</xdr:rowOff>
    </xdr:from>
    <xdr:to>
      <xdr:col>15</xdr:col>
      <xdr:colOff>276225</xdr:colOff>
      <xdr:row>30</xdr:row>
      <xdr:rowOff>28575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D363B60-CEEF-4A2E-A0F6-7AD97C4EDBF9}"/>
            </a:ext>
          </a:extLst>
        </xdr:cNvPr>
        <xdr:cNvCxnSpPr/>
      </xdr:nvCxnSpPr>
      <xdr:spPr>
        <a:xfrm flipH="1">
          <a:off x="8143875" y="4991100"/>
          <a:ext cx="12763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8</xdr:row>
      <xdr:rowOff>57150</xdr:rowOff>
    </xdr:from>
    <xdr:to>
      <xdr:col>13</xdr:col>
      <xdr:colOff>228600</xdr:colOff>
      <xdr:row>18</xdr:row>
      <xdr:rowOff>133350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B39E782-5A19-4CA9-9E98-B5175942AC97}"/>
            </a:ext>
          </a:extLst>
        </xdr:cNvPr>
        <xdr:cNvCxnSpPr/>
      </xdr:nvCxnSpPr>
      <xdr:spPr>
        <a:xfrm flipH="1">
          <a:off x="7972425" y="1581150"/>
          <a:ext cx="18097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8</xdr:row>
      <xdr:rowOff>9525</xdr:rowOff>
    </xdr:from>
    <xdr:to>
      <xdr:col>6</xdr:col>
      <xdr:colOff>1762125</xdr:colOff>
      <xdr:row>14</xdr:row>
      <xdr:rowOff>123825</xdr:rowOff>
    </xdr:to>
    <xdr:sp macro="" textlink="">
      <xdr:nvSpPr>
        <xdr:cNvPr id="2" name="Rectangle: Top Corners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0CE9A-D6D2-498B-BFE4-BAB4271C1865}"/>
            </a:ext>
          </a:extLst>
        </xdr:cNvPr>
        <xdr:cNvSpPr/>
      </xdr:nvSpPr>
      <xdr:spPr>
        <a:xfrm>
          <a:off x="8258175" y="1533525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0</xdr:rowOff>
    </xdr:from>
    <xdr:to>
      <xdr:col>11</xdr:col>
      <xdr:colOff>314325</xdr:colOff>
      <xdr:row>20</xdr:row>
      <xdr:rowOff>114300</xdr:rowOff>
    </xdr:to>
    <xdr:sp macro="" textlink="">
      <xdr:nvSpPr>
        <xdr:cNvPr id="2" name="Rectangle: Top Corners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17588-CEBD-4EE2-8AFF-4571F94688DA}"/>
            </a:ext>
          </a:extLst>
        </xdr:cNvPr>
        <xdr:cNvSpPr/>
      </xdr:nvSpPr>
      <xdr:spPr>
        <a:xfrm>
          <a:off x="7391400" y="26670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13</xdr:row>
      <xdr:rowOff>0</xdr:rowOff>
    </xdr:from>
    <xdr:to>
      <xdr:col>9</xdr:col>
      <xdr:colOff>76200</xdr:colOff>
      <xdr:row>19</xdr:row>
      <xdr:rowOff>114300</xdr:rowOff>
    </xdr:to>
    <xdr:sp macro="" textlink="">
      <xdr:nvSpPr>
        <xdr:cNvPr id="2" name="Rectangle: Top Corners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03355-2D73-4003-96C8-F269E2C61856}"/>
            </a:ext>
          </a:extLst>
        </xdr:cNvPr>
        <xdr:cNvSpPr/>
      </xdr:nvSpPr>
      <xdr:spPr>
        <a:xfrm>
          <a:off x="7496175" y="24765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13</xdr:row>
      <xdr:rowOff>128587</xdr:rowOff>
    </xdr:from>
    <xdr:to>
      <xdr:col>14</xdr:col>
      <xdr:colOff>457200</xdr:colOff>
      <xdr:row>28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F5AE98-FD95-460E-9505-8C4C4D14F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</xdr:row>
      <xdr:rowOff>0</xdr:rowOff>
    </xdr:from>
    <xdr:to>
      <xdr:col>13</xdr:col>
      <xdr:colOff>76200</xdr:colOff>
      <xdr:row>11</xdr:row>
      <xdr:rowOff>114300</xdr:rowOff>
    </xdr:to>
    <xdr:sp macro="" textlink="">
      <xdr:nvSpPr>
        <xdr:cNvPr id="4" name="Rectangle: Top Corners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207084-804D-4613-ADCB-F837C220A4F9}"/>
            </a:ext>
          </a:extLst>
        </xdr:cNvPr>
        <xdr:cNvSpPr/>
      </xdr:nvSpPr>
      <xdr:spPr>
        <a:xfrm>
          <a:off x="13582650" y="9525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16</xdr:row>
      <xdr:rowOff>4762</xdr:rowOff>
    </xdr:from>
    <xdr:to>
      <xdr:col>14</xdr:col>
      <xdr:colOff>447675</xdr:colOff>
      <xdr:row>30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152E5F-90C6-4864-B29B-DA1E40809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76200</xdr:colOff>
      <xdr:row>13</xdr:row>
      <xdr:rowOff>114300</xdr:rowOff>
    </xdr:to>
    <xdr:sp macro="" textlink="">
      <xdr:nvSpPr>
        <xdr:cNvPr id="3" name="Rectangle: Top Corners Snipped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0EDE3C-497C-4ABB-B3B1-95B45178381B}"/>
            </a:ext>
          </a:extLst>
        </xdr:cNvPr>
        <xdr:cNvSpPr/>
      </xdr:nvSpPr>
      <xdr:spPr>
        <a:xfrm>
          <a:off x="9763125" y="13335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15</xdr:col>
      <xdr:colOff>85164</xdr:colOff>
      <xdr:row>18</xdr:row>
      <xdr:rowOff>114300</xdr:rowOff>
    </xdr:to>
    <xdr:sp macro="" textlink="">
      <xdr:nvSpPr>
        <xdr:cNvPr id="2" name="Rectangle: Top Corners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B7EC1-EC1C-4470-947F-6980CF6A083A}"/>
            </a:ext>
          </a:extLst>
        </xdr:cNvPr>
        <xdr:cNvSpPr/>
      </xdr:nvSpPr>
      <xdr:spPr>
        <a:xfrm>
          <a:off x="16360588" y="22860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17</xdr:row>
      <xdr:rowOff>0</xdr:rowOff>
    </xdr:from>
    <xdr:to>
      <xdr:col>45</xdr:col>
      <xdr:colOff>76200</xdr:colOff>
      <xdr:row>23</xdr:row>
      <xdr:rowOff>114300</xdr:rowOff>
    </xdr:to>
    <xdr:sp macro="" textlink="">
      <xdr:nvSpPr>
        <xdr:cNvPr id="2" name="Rectangle: Top Corners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FD650-1687-47F7-AA8E-0642F63219DC}"/>
            </a:ext>
          </a:extLst>
        </xdr:cNvPr>
        <xdr:cNvSpPr/>
      </xdr:nvSpPr>
      <xdr:spPr>
        <a:xfrm>
          <a:off x="10020300" y="32385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0</xdr:rowOff>
    </xdr:from>
    <xdr:to>
      <xdr:col>6</xdr:col>
      <xdr:colOff>1295400</xdr:colOff>
      <xdr:row>25</xdr:row>
      <xdr:rowOff>114300</xdr:rowOff>
    </xdr:to>
    <xdr:sp macro="" textlink="">
      <xdr:nvSpPr>
        <xdr:cNvPr id="2" name="Rectangle: Top Corners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C7B74-8AFD-4A5E-AF62-3D4249B1F533}"/>
            </a:ext>
          </a:extLst>
        </xdr:cNvPr>
        <xdr:cNvSpPr/>
      </xdr:nvSpPr>
      <xdr:spPr>
        <a:xfrm>
          <a:off x="5829300" y="3609975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26</xdr:row>
      <xdr:rowOff>0</xdr:rowOff>
    </xdr:from>
    <xdr:to>
      <xdr:col>9</xdr:col>
      <xdr:colOff>266700</xdr:colOff>
      <xdr:row>32</xdr:row>
      <xdr:rowOff>114300</xdr:rowOff>
    </xdr:to>
    <xdr:sp macro="" textlink="">
      <xdr:nvSpPr>
        <xdr:cNvPr id="2" name="Rectangle: Top Corners Snipp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BEA60-4849-460D-9362-56FD24EC5038}"/>
            </a:ext>
          </a:extLst>
        </xdr:cNvPr>
        <xdr:cNvSpPr/>
      </xdr:nvSpPr>
      <xdr:spPr>
        <a:xfrm>
          <a:off x="7943850" y="49530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6</xdr:row>
      <xdr:rowOff>80962</xdr:rowOff>
    </xdr:from>
    <xdr:to>
      <xdr:col>12</xdr:col>
      <xdr:colOff>38100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D136C-DAC0-48F4-BB80-2E2E31536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127553</xdr:colOff>
      <xdr:row>29</xdr:row>
      <xdr:rowOff>114300</xdr:rowOff>
    </xdr:to>
    <xdr:sp macro="" textlink="">
      <xdr:nvSpPr>
        <xdr:cNvPr id="4" name="Rectangle: Top Corners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EE3609-AEDB-4DCF-875E-1CC8FAA5B5A1}"/>
            </a:ext>
          </a:extLst>
        </xdr:cNvPr>
        <xdr:cNvSpPr/>
      </xdr:nvSpPr>
      <xdr:spPr>
        <a:xfrm>
          <a:off x="8688457" y="43815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  <xdr:twoCellAnchor editAs="oneCell">
    <xdr:from>
      <xdr:col>5</xdr:col>
      <xdr:colOff>381000</xdr:colOff>
      <xdr:row>18</xdr:row>
      <xdr:rowOff>157369</xdr:rowOff>
    </xdr:from>
    <xdr:to>
      <xdr:col>10</xdr:col>
      <xdr:colOff>370868</xdr:colOff>
      <xdr:row>21</xdr:row>
      <xdr:rowOff>128870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68AB80-BF77-4B8B-937A-A64F1411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73587" y="3586369"/>
          <a:ext cx="4553585" cy="54300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26</xdr:row>
      <xdr:rowOff>147637</xdr:rowOff>
    </xdr:from>
    <xdr:to>
      <xdr:col>17</xdr:col>
      <xdr:colOff>223837</xdr:colOff>
      <xdr:row>41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3D1225-395D-4F0C-8F0F-98538C56B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685800</xdr:colOff>
      <xdr:row>37</xdr:row>
      <xdr:rowOff>114300</xdr:rowOff>
    </xdr:to>
    <xdr:sp macro="" textlink="">
      <xdr:nvSpPr>
        <xdr:cNvPr id="5" name="Rectangle: Top Corners Snipped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98505E-5720-446B-A39B-D4B76A98DE91}"/>
            </a:ext>
          </a:extLst>
        </xdr:cNvPr>
        <xdr:cNvSpPr/>
      </xdr:nvSpPr>
      <xdr:spPr>
        <a:xfrm>
          <a:off x="609600" y="5334000"/>
          <a:ext cx="1295400" cy="1257300"/>
        </a:xfrm>
        <a:prstGeom prst="snip2SameRect">
          <a:avLst/>
        </a:prstGeom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/>
            <a:t>Back to HomePage</a:t>
          </a:r>
        </a:p>
      </xdr:txBody>
    </xdr:sp>
    <xdr:clientData/>
  </xdr:twoCellAnchor>
  <xdr:twoCellAnchor>
    <xdr:from>
      <xdr:col>7</xdr:col>
      <xdr:colOff>666750</xdr:colOff>
      <xdr:row>26</xdr:row>
      <xdr:rowOff>142875</xdr:rowOff>
    </xdr:from>
    <xdr:to>
      <xdr:col>11</xdr:col>
      <xdr:colOff>895350</xdr:colOff>
      <xdr:row>41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4B96CE-7148-423C-847A-0F9815D91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3854-4F3C-455A-A49E-26AFA5E77CFD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068C-BAE6-4EA3-804E-9A0F70062977}">
  <dimension ref="D3:F14"/>
  <sheetViews>
    <sheetView workbookViewId="0">
      <selection activeCell="E9" sqref="E9"/>
    </sheetView>
  </sheetViews>
  <sheetFormatPr defaultRowHeight="15" x14ac:dyDescent="0.25"/>
  <cols>
    <col min="4" max="4" width="58.7109375" customWidth="1"/>
    <col min="5" max="5" width="11" bestFit="1" customWidth="1"/>
    <col min="6" max="6" width="19.7109375" customWidth="1"/>
    <col min="7" max="7" width="57" customWidth="1"/>
  </cols>
  <sheetData>
    <row r="3" spans="4:6" x14ac:dyDescent="0.25">
      <c r="D3" s="18" t="s">
        <v>0</v>
      </c>
      <c r="E3" s="18">
        <v>400</v>
      </c>
    </row>
    <row r="4" spans="4:6" x14ac:dyDescent="0.25">
      <c r="D4" s="18" t="s">
        <v>1</v>
      </c>
      <c r="E4" s="18">
        <v>2</v>
      </c>
    </row>
    <row r="5" spans="4:6" x14ac:dyDescent="0.25">
      <c r="D5" s="18" t="s">
        <v>2</v>
      </c>
      <c r="E5" s="18">
        <f>_xlfn.CEILING.MATH(E3/E4)</f>
        <v>200</v>
      </c>
    </row>
    <row r="6" spans="4:6" x14ac:dyDescent="0.25">
      <c r="D6" s="18" t="s">
        <v>3</v>
      </c>
      <c r="E6" s="18">
        <v>3000000</v>
      </c>
    </row>
    <row r="7" spans="4:6" x14ac:dyDescent="0.25">
      <c r="D7" s="27" t="s">
        <v>4</v>
      </c>
      <c r="E7" s="27">
        <f>E6*E5</f>
        <v>600000000</v>
      </c>
    </row>
    <row r="8" spans="4:6" x14ac:dyDescent="0.25">
      <c r="D8" s="29" t="s">
        <v>5</v>
      </c>
      <c r="E8" s="29">
        <v>0.3</v>
      </c>
    </row>
    <row r="9" spans="4:6" x14ac:dyDescent="0.25">
      <c r="D9" s="29" t="s">
        <v>141</v>
      </c>
      <c r="E9" s="29">
        <f>E8*8760*E3*1000</f>
        <v>1051200000</v>
      </c>
      <c r="F9" s="1"/>
    </row>
    <row r="10" spans="4:6" x14ac:dyDescent="0.25">
      <c r="D10" s="28" t="s">
        <v>8</v>
      </c>
      <c r="E10" s="28">
        <v>2292</v>
      </c>
    </row>
    <row r="11" spans="4:6" x14ac:dyDescent="0.25">
      <c r="D11" s="28" t="s">
        <v>9</v>
      </c>
      <c r="E11" s="28">
        <f>E10*3.8</f>
        <v>8709.6</v>
      </c>
    </row>
    <row r="12" spans="4:6" x14ac:dyDescent="0.25">
      <c r="D12" s="28" t="s">
        <v>6</v>
      </c>
      <c r="E12" s="28">
        <f>E9/E11</f>
        <v>120694.40617249931</v>
      </c>
    </row>
    <row r="13" spans="4:6" x14ac:dyDescent="0.25">
      <c r="D13" s="43" t="s">
        <v>7</v>
      </c>
      <c r="E13" s="43">
        <v>1266000</v>
      </c>
    </row>
    <row r="14" spans="4:6" x14ac:dyDescent="0.25">
      <c r="D14" s="43" t="s">
        <v>138</v>
      </c>
      <c r="E14" s="62">
        <f>E12/E13</f>
        <v>9.5335233943522363E-2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7AFF-9DE7-4DAC-8813-A9C5EA15A3B4}">
  <dimension ref="D2:J25"/>
  <sheetViews>
    <sheetView workbookViewId="0"/>
  </sheetViews>
  <sheetFormatPr defaultRowHeight="15" x14ac:dyDescent="0.25"/>
  <cols>
    <col min="4" max="4" width="37.42578125" customWidth="1"/>
    <col min="5" max="5" width="10" bestFit="1" customWidth="1"/>
    <col min="8" max="8" width="9.140625" customWidth="1"/>
    <col min="9" max="9" width="8.5703125" customWidth="1"/>
    <col min="10" max="10" width="9.140625" hidden="1" customWidth="1"/>
    <col min="11" max="11" width="14.7109375" customWidth="1"/>
    <col min="12" max="12" width="29.85546875" customWidth="1"/>
    <col min="13" max="13" width="12.140625" customWidth="1"/>
  </cols>
  <sheetData>
    <row r="2" spans="4:5" x14ac:dyDescent="0.25">
      <c r="D2" s="18" t="s">
        <v>18</v>
      </c>
      <c r="E2" s="18"/>
    </row>
    <row r="3" spans="4:5" x14ac:dyDescent="0.25">
      <c r="D3" s="18" t="s">
        <v>10</v>
      </c>
      <c r="E3" s="18">
        <v>1.5</v>
      </c>
    </row>
    <row r="4" spans="4:5" x14ac:dyDescent="0.25">
      <c r="D4" s="18" t="s">
        <v>11</v>
      </c>
      <c r="E4" s="18">
        <f>CONVERT(E3,"us_acre","m^2")</f>
        <v>6070.3089148113777</v>
      </c>
    </row>
    <row r="5" spans="4:5" x14ac:dyDescent="0.25">
      <c r="D5" s="18" t="s">
        <v>46</v>
      </c>
      <c r="E5" s="18">
        <f>E4*'Investment Needed for Wind Turb'!E5</f>
        <v>1214061.7829622754</v>
      </c>
    </row>
    <row r="6" spans="4:5" x14ac:dyDescent="0.25">
      <c r="D6" s="18" t="s">
        <v>47</v>
      </c>
      <c r="E6" s="18">
        <f>CONVERT(E5,"m^2","km^2")</f>
        <v>1.2140617829622753</v>
      </c>
    </row>
    <row r="7" spans="4:5" x14ac:dyDescent="0.25">
      <c r="D7" s="18" t="s">
        <v>48</v>
      </c>
      <c r="E7" s="18">
        <v>10000</v>
      </c>
    </row>
    <row r="8" spans="4:5" x14ac:dyDescent="0.25">
      <c r="D8" s="18" t="s">
        <v>12</v>
      </c>
      <c r="E8" s="18">
        <v>40</v>
      </c>
    </row>
    <row r="9" spans="4:5" x14ac:dyDescent="0.25">
      <c r="D9" s="18" t="s">
        <v>45</v>
      </c>
      <c r="E9" s="18">
        <f>E5+10000</f>
        <v>1224061.7829622754</v>
      </c>
    </row>
    <row r="10" spans="4:5" x14ac:dyDescent="0.25">
      <c r="D10" s="61"/>
      <c r="E10" s="61"/>
    </row>
    <row r="11" spans="4:5" x14ac:dyDescent="0.25">
      <c r="D11" s="27" t="s">
        <v>13</v>
      </c>
      <c r="E11" s="27">
        <f>E9*E8</f>
        <v>48962471.318491019</v>
      </c>
    </row>
    <row r="17" spans="4:5" x14ac:dyDescent="0.25">
      <c r="D17" s="28" t="s">
        <v>16</v>
      </c>
      <c r="E17" s="28"/>
    </row>
    <row r="18" spans="4:5" x14ac:dyDescent="0.25">
      <c r="D18" s="28" t="s">
        <v>15</v>
      </c>
      <c r="E18" s="28">
        <f>'Investment Needed for Wind Turb'!E7</f>
        <v>600000000</v>
      </c>
    </row>
    <row r="19" spans="4:5" x14ac:dyDescent="0.25">
      <c r="D19" s="28" t="s">
        <v>14</v>
      </c>
      <c r="E19" s="28">
        <v>3000000</v>
      </c>
    </row>
    <row r="20" spans="4:5" x14ac:dyDescent="0.25">
      <c r="D20" s="28" t="s">
        <v>24</v>
      </c>
      <c r="E20" s="28">
        <v>2000000</v>
      </c>
    </row>
    <row r="21" spans="4:5" x14ac:dyDescent="0.25">
      <c r="D21" s="28" t="s">
        <v>49</v>
      </c>
      <c r="E21" s="28">
        <v>2000000</v>
      </c>
    </row>
    <row r="22" spans="4:5" x14ac:dyDescent="0.25">
      <c r="D22" s="28" t="s">
        <v>17</v>
      </c>
      <c r="E22" s="28">
        <v>1500000</v>
      </c>
    </row>
    <row r="23" spans="4:5" x14ac:dyDescent="0.25">
      <c r="D23" s="28" t="s">
        <v>44</v>
      </c>
      <c r="E23" s="28">
        <v>2000000</v>
      </c>
    </row>
    <row r="24" spans="4:5" x14ac:dyDescent="0.25">
      <c r="D24" s="2"/>
      <c r="E24" s="2"/>
    </row>
    <row r="25" spans="4:5" x14ac:dyDescent="0.25">
      <c r="D25" s="29" t="s">
        <v>140</v>
      </c>
      <c r="E25" s="29">
        <f>SUM(E18:E23)+E11</f>
        <v>659462471.31849098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4E62-BD29-4D20-8B5B-BDC69283AD1E}">
  <dimension ref="C3:D11"/>
  <sheetViews>
    <sheetView workbookViewId="0">
      <selection activeCell="D11" sqref="D11"/>
    </sheetView>
  </sheetViews>
  <sheetFormatPr defaultRowHeight="15" x14ac:dyDescent="0.25"/>
  <cols>
    <col min="3" max="3" width="39" customWidth="1"/>
    <col min="4" max="4" width="27.7109375" customWidth="1"/>
  </cols>
  <sheetData>
    <row r="3" spans="3:4" x14ac:dyDescent="0.25">
      <c r="C3" s="28" t="s">
        <v>19</v>
      </c>
      <c r="D3" s="28"/>
    </row>
    <row r="4" spans="3:4" x14ac:dyDescent="0.25">
      <c r="C4" s="28" t="s">
        <v>21</v>
      </c>
      <c r="D4" s="28">
        <v>48000</v>
      </c>
    </row>
    <row r="5" spans="3:4" x14ac:dyDescent="0.25">
      <c r="C5" s="28" t="s">
        <v>50</v>
      </c>
      <c r="D5" s="28">
        <f>D4*'Investment Needed for Wind Turb'!E5</f>
        <v>9600000</v>
      </c>
    </row>
    <row r="6" spans="3:4" x14ac:dyDescent="0.25">
      <c r="C6" s="28" t="s">
        <v>22</v>
      </c>
      <c r="D6" s="28">
        <v>20000</v>
      </c>
    </row>
    <row r="7" spans="3:4" x14ac:dyDescent="0.25">
      <c r="C7" s="28" t="s">
        <v>51</v>
      </c>
      <c r="D7" s="28">
        <v>100000</v>
      </c>
    </row>
    <row r="8" spans="3:4" x14ac:dyDescent="0.25">
      <c r="C8" s="28" t="s">
        <v>23</v>
      </c>
      <c r="D8" s="28">
        <f>D6*200</f>
        <v>4000000</v>
      </c>
    </row>
    <row r="9" spans="3:4" x14ac:dyDescent="0.25">
      <c r="C9" s="28" t="s">
        <v>53</v>
      </c>
      <c r="D9" s="28">
        <f>0.05*' Cost Basis of The Wind Farm'!E11</f>
        <v>2448123.5659245509</v>
      </c>
    </row>
    <row r="10" spans="3:4" x14ac:dyDescent="0.25">
      <c r="C10" s="61"/>
      <c r="D10" s="61"/>
    </row>
    <row r="11" spans="3:4" x14ac:dyDescent="0.25">
      <c r="C11" s="27" t="s">
        <v>52</v>
      </c>
      <c r="D11" s="27">
        <f>D8+D5+D7+D9</f>
        <v>16148123.565924551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7BD-9F94-40E3-BF98-0D0F5C993897}">
  <dimension ref="B2:G312"/>
  <sheetViews>
    <sheetView zoomScaleNormal="100" workbookViewId="0">
      <selection activeCell="C2" sqref="C2"/>
    </sheetView>
  </sheetViews>
  <sheetFormatPr defaultRowHeight="15" x14ac:dyDescent="0.25"/>
  <cols>
    <col min="2" max="2" width="23" customWidth="1"/>
    <col min="3" max="3" width="30.42578125" customWidth="1"/>
    <col min="4" max="4" width="28.140625" customWidth="1"/>
    <col min="5" max="5" width="27.140625" customWidth="1"/>
    <col min="6" max="6" width="24.140625" customWidth="1"/>
    <col min="7" max="7" width="25.140625" customWidth="1"/>
  </cols>
  <sheetData>
    <row r="2" spans="2:7" x14ac:dyDescent="0.25">
      <c r="B2" s="30" t="s">
        <v>32</v>
      </c>
      <c r="C2" s="30">
        <f>' Cost Basis of The Wind Farm'!E25 - 200000000</f>
        <v>459462471.31849098</v>
      </c>
      <c r="E2" s="28" t="s">
        <v>27</v>
      </c>
      <c r="F2" s="29" t="s">
        <v>30</v>
      </c>
      <c r="G2" s="33" t="s">
        <v>25</v>
      </c>
    </row>
    <row r="3" spans="2:7" x14ac:dyDescent="0.25">
      <c r="B3" s="30" t="s">
        <v>35</v>
      </c>
      <c r="C3" s="31">
        <v>12</v>
      </c>
      <c r="E3" s="28" t="s">
        <v>26</v>
      </c>
      <c r="F3" s="32">
        <f>G3/12</f>
        <v>2.5000000000000001E-3</v>
      </c>
      <c r="G3" s="34">
        <v>0.03</v>
      </c>
    </row>
    <row r="4" spans="2:7" x14ac:dyDescent="0.25">
      <c r="B4" s="30" t="s">
        <v>36</v>
      </c>
      <c r="C4" s="30">
        <v>12</v>
      </c>
      <c r="E4" s="28" t="s">
        <v>28</v>
      </c>
      <c r="F4" s="32">
        <f t="shared" ref="F4:F5" si="0">G4/12</f>
        <v>2.9166666666666668E-3</v>
      </c>
      <c r="G4" s="35">
        <v>3.5000000000000003E-2</v>
      </c>
    </row>
    <row r="5" spans="2:7" x14ac:dyDescent="0.25">
      <c r="B5" s="30" t="s">
        <v>37</v>
      </c>
      <c r="C5" s="30">
        <f>C3/C4</f>
        <v>1</v>
      </c>
      <c r="E5" s="28" t="s">
        <v>29</v>
      </c>
      <c r="F5" s="32">
        <f t="shared" si="0"/>
        <v>3.0833333333333338E-3</v>
      </c>
      <c r="G5" s="35">
        <f>3.7%</f>
        <v>3.7000000000000005E-2</v>
      </c>
    </row>
    <row r="6" spans="2:7" x14ac:dyDescent="0.25">
      <c r="B6" s="30" t="s">
        <v>34</v>
      </c>
      <c r="C6" s="30">
        <v>25</v>
      </c>
      <c r="E6" s="28" t="s">
        <v>31</v>
      </c>
      <c r="F6" s="32">
        <f>G6/12</f>
        <v>3.3000000000000004E-3</v>
      </c>
      <c r="G6" s="36">
        <v>3.9600000000000003E-2</v>
      </c>
    </row>
    <row r="7" spans="2:7" x14ac:dyDescent="0.25">
      <c r="B7" s="30" t="s">
        <v>33</v>
      </c>
      <c r="C7" s="30">
        <f>C6*12</f>
        <v>300</v>
      </c>
    </row>
    <row r="11" spans="2:7" x14ac:dyDescent="0.25">
      <c r="B11" s="50" t="s">
        <v>38</v>
      </c>
      <c r="C11" s="63" t="s">
        <v>39</v>
      </c>
      <c r="D11" s="64" t="s">
        <v>40</v>
      </c>
      <c r="E11" s="65" t="s">
        <v>41</v>
      </c>
      <c r="F11" s="66" t="s">
        <v>42</v>
      </c>
      <c r="G11" s="67" t="s">
        <v>43</v>
      </c>
    </row>
    <row r="12" spans="2:7" x14ac:dyDescent="0.25">
      <c r="B12" s="50">
        <v>0</v>
      </c>
      <c r="C12" s="63"/>
      <c r="D12" s="64"/>
      <c r="E12" s="65"/>
      <c r="F12" s="66"/>
      <c r="G12" s="67">
        <f>C2</f>
        <v>459462471.31849098</v>
      </c>
    </row>
    <row r="13" spans="2:7" x14ac:dyDescent="0.25">
      <c r="B13" s="50">
        <v>1</v>
      </c>
      <c r="C13" s="63">
        <f>G12</f>
        <v>459462471.31849098</v>
      </c>
      <c r="D13" s="64">
        <f>PMT($F$3,300,-$C$13)</f>
        <v>2178823.0219223504</v>
      </c>
      <c r="E13" s="65">
        <f>D13-F13</f>
        <v>1030166.8436261229</v>
      </c>
      <c r="F13" s="66">
        <f>C13*$F$3</f>
        <v>1148656.1782962275</v>
      </c>
      <c r="G13" s="67">
        <f>C13-E13</f>
        <v>458432304.47486484</v>
      </c>
    </row>
    <row r="14" spans="2:7" x14ac:dyDescent="0.25">
      <c r="B14" s="50">
        <v>2</v>
      </c>
      <c r="C14" s="63">
        <f t="shared" ref="C14:C72" si="1">G13</f>
        <v>458432304.47486484</v>
      </c>
      <c r="D14" s="64">
        <f t="shared" ref="D14:D72" si="2">PMT($F$3,300,-$C$13)</f>
        <v>2178823.0219223504</v>
      </c>
      <c r="E14" s="65">
        <f t="shared" ref="E14:E77" si="3">D14-F14</f>
        <v>1032742.2607351884</v>
      </c>
      <c r="F14" s="66">
        <f t="shared" ref="F14:F69" si="4">C14*$F$3</f>
        <v>1146080.761187162</v>
      </c>
      <c r="G14" s="67">
        <f t="shared" ref="G14:G72" si="5">C14-E14</f>
        <v>457399562.21412963</v>
      </c>
    </row>
    <row r="15" spans="2:7" x14ac:dyDescent="0.25">
      <c r="B15" s="50">
        <v>3</v>
      </c>
      <c r="C15" s="63">
        <f t="shared" si="1"/>
        <v>457399562.21412963</v>
      </c>
      <c r="D15" s="64">
        <f t="shared" si="2"/>
        <v>2178823.0219223504</v>
      </c>
      <c r="E15" s="65">
        <f t="shared" si="3"/>
        <v>1035324.1163870264</v>
      </c>
      <c r="F15" s="66">
        <f t="shared" si="4"/>
        <v>1143498.905535324</v>
      </c>
      <c r="G15" s="67">
        <f t="shared" si="5"/>
        <v>456364238.09774262</v>
      </c>
    </row>
    <row r="16" spans="2:7" x14ac:dyDescent="0.25">
      <c r="B16" s="50">
        <v>4</v>
      </c>
      <c r="C16" s="63">
        <f t="shared" si="1"/>
        <v>456364238.09774262</v>
      </c>
      <c r="D16" s="64">
        <f t="shared" si="2"/>
        <v>2178823.0219223504</v>
      </c>
      <c r="E16" s="65">
        <f t="shared" si="3"/>
        <v>1037912.4266779937</v>
      </c>
      <c r="F16" s="66">
        <f t="shared" si="4"/>
        <v>1140910.5952443567</v>
      </c>
      <c r="G16" s="67">
        <f t="shared" si="5"/>
        <v>455326325.67106462</v>
      </c>
    </row>
    <row r="17" spans="2:7" x14ac:dyDescent="0.25">
      <c r="B17" s="50">
        <v>5</v>
      </c>
      <c r="C17" s="63">
        <f t="shared" si="1"/>
        <v>455326325.67106462</v>
      </c>
      <c r="D17" s="64">
        <f t="shared" si="2"/>
        <v>2178823.0219223504</v>
      </c>
      <c r="E17" s="65">
        <f t="shared" si="3"/>
        <v>1040507.2077446887</v>
      </c>
      <c r="F17" s="66">
        <f t="shared" si="4"/>
        <v>1138315.8141776617</v>
      </c>
      <c r="G17" s="67">
        <f t="shared" si="5"/>
        <v>454285818.4633199</v>
      </c>
    </row>
    <row r="18" spans="2:7" x14ac:dyDescent="0.25">
      <c r="B18" s="50">
        <v>6</v>
      </c>
      <c r="C18" s="63">
        <f t="shared" si="1"/>
        <v>454285818.4633199</v>
      </c>
      <c r="D18" s="64">
        <f t="shared" si="2"/>
        <v>2178823.0219223504</v>
      </c>
      <c r="E18" s="65">
        <f t="shared" si="3"/>
        <v>1043108.4757640506</v>
      </c>
      <c r="F18" s="66">
        <f t="shared" si="4"/>
        <v>1135714.5461582998</v>
      </c>
      <c r="G18" s="67">
        <f t="shared" si="5"/>
        <v>453242709.98755586</v>
      </c>
    </row>
    <row r="19" spans="2:7" x14ac:dyDescent="0.25">
      <c r="B19" s="50">
        <v>7</v>
      </c>
      <c r="C19" s="63">
        <f t="shared" si="1"/>
        <v>453242709.98755586</v>
      </c>
      <c r="D19" s="64">
        <f t="shared" si="2"/>
        <v>2178823.0219223504</v>
      </c>
      <c r="E19" s="65">
        <f t="shared" si="3"/>
        <v>1045716.2469534606</v>
      </c>
      <c r="F19" s="66">
        <f t="shared" si="4"/>
        <v>1133106.7749688898</v>
      </c>
      <c r="G19" s="67">
        <f t="shared" si="5"/>
        <v>452196993.74060237</v>
      </c>
    </row>
    <row r="20" spans="2:7" x14ac:dyDescent="0.25">
      <c r="B20" s="50">
        <v>8</v>
      </c>
      <c r="C20" s="63">
        <f t="shared" si="1"/>
        <v>452196993.74060237</v>
      </c>
      <c r="D20" s="64">
        <f t="shared" si="2"/>
        <v>2178823.0219223504</v>
      </c>
      <c r="E20" s="65">
        <f t="shared" si="3"/>
        <v>1048330.5375708444</v>
      </c>
      <c r="F20" s="66">
        <f t="shared" si="4"/>
        <v>1130492.484351506</v>
      </c>
      <c r="G20" s="67">
        <f t="shared" si="5"/>
        <v>451148663.20303154</v>
      </c>
    </row>
    <row r="21" spans="2:7" x14ac:dyDescent="0.25">
      <c r="B21" s="50">
        <v>9</v>
      </c>
      <c r="C21" s="63">
        <f t="shared" si="1"/>
        <v>451148663.20303154</v>
      </c>
      <c r="D21" s="64">
        <f t="shared" si="2"/>
        <v>2178823.0219223504</v>
      </c>
      <c r="E21" s="65">
        <f t="shared" si="3"/>
        <v>1050951.3639147715</v>
      </c>
      <c r="F21" s="66">
        <f t="shared" si="4"/>
        <v>1127871.6580075789</v>
      </c>
      <c r="G21" s="67">
        <f t="shared" si="5"/>
        <v>450097711.83911675</v>
      </c>
    </row>
    <row r="22" spans="2:7" x14ac:dyDescent="0.25">
      <c r="B22" s="50">
        <v>10</v>
      </c>
      <c r="C22" s="63">
        <f t="shared" si="1"/>
        <v>450097711.83911675</v>
      </c>
      <c r="D22" s="64">
        <f t="shared" si="2"/>
        <v>2178823.0219223504</v>
      </c>
      <c r="E22" s="65">
        <f t="shared" si="3"/>
        <v>1053578.7423245586</v>
      </c>
      <c r="F22" s="66">
        <f t="shared" si="4"/>
        <v>1125244.2795977918</v>
      </c>
      <c r="G22" s="67">
        <f t="shared" si="5"/>
        <v>449044133.09679222</v>
      </c>
    </row>
    <row r="23" spans="2:7" x14ac:dyDescent="0.25">
      <c r="B23" s="50">
        <v>11</v>
      </c>
      <c r="C23" s="63">
        <f t="shared" si="1"/>
        <v>449044133.09679222</v>
      </c>
      <c r="D23" s="64">
        <f t="shared" si="2"/>
        <v>2178823.0219223504</v>
      </c>
      <c r="E23" s="65">
        <f t="shared" si="3"/>
        <v>1056212.6891803697</v>
      </c>
      <c r="F23" s="66">
        <f t="shared" si="4"/>
        <v>1122610.3327419807</v>
      </c>
      <c r="G23" s="67">
        <f t="shared" si="5"/>
        <v>447987920.40761185</v>
      </c>
    </row>
    <row r="24" spans="2:7" x14ac:dyDescent="0.25">
      <c r="B24" s="50">
        <v>12</v>
      </c>
      <c r="C24" s="63">
        <f t="shared" si="1"/>
        <v>447987920.40761185</v>
      </c>
      <c r="D24" s="64">
        <f t="shared" si="2"/>
        <v>2178823.0219223504</v>
      </c>
      <c r="E24" s="65">
        <f t="shared" si="3"/>
        <v>1058853.2209033207</v>
      </c>
      <c r="F24" s="66">
        <f t="shared" si="4"/>
        <v>1119969.8010190297</v>
      </c>
      <c r="G24" s="67">
        <f t="shared" si="5"/>
        <v>446929067.18670851</v>
      </c>
    </row>
    <row r="25" spans="2:7" x14ac:dyDescent="0.25">
      <c r="B25" s="50">
        <v>13</v>
      </c>
      <c r="C25" s="63">
        <f t="shared" si="1"/>
        <v>446929067.18670851</v>
      </c>
      <c r="D25" s="64">
        <f t="shared" si="2"/>
        <v>2178823.0219223504</v>
      </c>
      <c r="E25" s="65">
        <f t="shared" si="3"/>
        <v>1061500.353955579</v>
      </c>
      <c r="F25" s="66">
        <f t="shared" si="4"/>
        <v>1117322.6679667714</v>
      </c>
      <c r="G25" s="67">
        <f t="shared" si="5"/>
        <v>445867566.83275294</v>
      </c>
    </row>
    <row r="26" spans="2:7" x14ac:dyDescent="0.25">
      <c r="B26" s="50">
        <v>14</v>
      </c>
      <c r="C26" s="63">
        <f t="shared" si="1"/>
        <v>445867566.83275294</v>
      </c>
      <c r="D26" s="64">
        <f t="shared" si="2"/>
        <v>2178823.0219223504</v>
      </c>
      <c r="E26" s="65">
        <f t="shared" si="3"/>
        <v>1064154.1048404679</v>
      </c>
      <c r="F26" s="66">
        <f t="shared" si="4"/>
        <v>1114668.9170818825</v>
      </c>
      <c r="G26" s="67">
        <f t="shared" si="5"/>
        <v>444803412.72791249</v>
      </c>
    </row>
    <row r="27" spans="2:7" x14ac:dyDescent="0.25">
      <c r="B27" s="50">
        <v>15</v>
      </c>
      <c r="C27" s="63">
        <f t="shared" si="1"/>
        <v>444803412.72791249</v>
      </c>
      <c r="D27" s="64">
        <f t="shared" si="2"/>
        <v>2178823.0219223504</v>
      </c>
      <c r="E27" s="65">
        <f t="shared" si="3"/>
        <v>1066814.4901025691</v>
      </c>
      <c r="F27" s="66">
        <f t="shared" si="4"/>
        <v>1112008.5318197813</v>
      </c>
      <c r="G27" s="67">
        <f t="shared" si="5"/>
        <v>443736598.2378099</v>
      </c>
    </row>
    <row r="28" spans="2:7" x14ac:dyDescent="0.25">
      <c r="B28" s="50">
        <v>16</v>
      </c>
      <c r="C28" s="63">
        <f t="shared" si="1"/>
        <v>443736598.2378099</v>
      </c>
      <c r="D28" s="64">
        <f t="shared" si="2"/>
        <v>2178823.0219223504</v>
      </c>
      <c r="E28" s="65">
        <f t="shared" si="3"/>
        <v>1069481.5263278256</v>
      </c>
      <c r="F28" s="66">
        <f t="shared" si="4"/>
        <v>1109341.4955945248</v>
      </c>
      <c r="G28" s="67">
        <f t="shared" si="5"/>
        <v>442667116.71148205</v>
      </c>
    </row>
    <row r="29" spans="2:7" x14ac:dyDescent="0.25">
      <c r="B29" s="50">
        <v>17</v>
      </c>
      <c r="C29" s="63">
        <f t="shared" si="1"/>
        <v>442667116.71148205</v>
      </c>
      <c r="D29" s="64">
        <f t="shared" si="2"/>
        <v>2178823.0219223504</v>
      </c>
      <c r="E29" s="65">
        <f t="shared" si="3"/>
        <v>1072155.2301436453</v>
      </c>
      <c r="F29" s="66">
        <f t="shared" si="4"/>
        <v>1106667.7917787051</v>
      </c>
      <c r="G29" s="67">
        <f t="shared" si="5"/>
        <v>441594961.48133838</v>
      </c>
    </row>
    <row r="30" spans="2:7" x14ac:dyDescent="0.25">
      <c r="B30" s="50">
        <v>18</v>
      </c>
      <c r="C30" s="63">
        <f t="shared" si="1"/>
        <v>441594961.48133838</v>
      </c>
      <c r="D30" s="64">
        <f t="shared" si="2"/>
        <v>2178823.0219223504</v>
      </c>
      <c r="E30" s="65">
        <f t="shared" si="3"/>
        <v>1074835.6182190045</v>
      </c>
      <c r="F30" s="66">
        <f t="shared" si="4"/>
        <v>1103987.4037033459</v>
      </c>
      <c r="G30" s="67">
        <f t="shared" si="5"/>
        <v>440520125.86311936</v>
      </c>
    </row>
    <row r="31" spans="2:7" x14ac:dyDescent="0.25">
      <c r="B31" s="50">
        <v>19</v>
      </c>
      <c r="C31" s="63">
        <f t="shared" si="1"/>
        <v>440520125.86311936</v>
      </c>
      <c r="D31" s="64">
        <f t="shared" si="2"/>
        <v>2178823.0219223504</v>
      </c>
      <c r="E31" s="65">
        <f t="shared" si="3"/>
        <v>1077522.7072645519</v>
      </c>
      <c r="F31" s="66">
        <f t="shared" si="4"/>
        <v>1101300.3146577985</v>
      </c>
      <c r="G31" s="67">
        <f t="shared" si="5"/>
        <v>439442603.15585482</v>
      </c>
    </row>
    <row r="32" spans="2:7" x14ac:dyDescent="0.25">
      <c r="B32" s="50">
        <v>20</v>
      </c>
      <c r="C32" s="63">
        <f t="shared" si="1"/>
        <v>439442603.15585482</v>
      </c>
      <c r="D32" s="64">
        <f t="shared" si="2"/>
        <v>2178823.0219223504</v>
      </c>
      <c r="E32" s="65">
        <f t="shared" si="3"/>
        <v>1080216.5140327134</v>
      </c>
      <c r="F32" s="66">
        <f t="shared" si="4"/>
        <v>1098606.507889637</v>
      </c>
      <c r="G32" s="67">
        <f t="shared" si="5"/>
        <v>438362386.6418221</v>
      </c>
    </row>
    <row r="33" spans="2:7" x14ac:dyDescent="0.25">
      <c r="B33" s="50">
        <v>21</v>
      </c>
      <c r="C33" s="63">
        <f t="shared" si="1"/>
        <v>438362386.6418221</v>
      </c>
      <c r="D33" s="64">
        <f t="shared" si="2"/>
        <v>2178823.0219223504</v>
      </c>
      <c r="E33" s="65">
        <f t="shared" si="3"/>
        <v>1082917.0553177951</v>
      </c>
      <c r="F33" s="66">
        <f t="shared" si="4"/>
        <v>1095905.9666045553</v>
      </c>
      <c r="G33" s="67">
        <f t="shared" si="5"/>
        <v>437279469.58650428</v>
      </c>
    </row>
    <row r="34" spans="2:7" x14ac:dyDescent="0.25">
      <c r="B34" s="50">
        <v>22</v>
      </c>
      <c r="C34" s="63">
        <f t="shared" si="1"/>
        <v>437279469.58650428</v>
      </c>
      <c r="D34" s="64">
        <f t="shared" si="2"/>
        <v>2178823.0219223504</v>
      </c>
      <c r="E34" s="65">
        <f t="shared" si="3"/>
        <v>1085624.3479560898</v>
      </c>
      <c r="F34" s="66">
        <f t="shared" si="4"/>
        <v>1093198.6739662606</v>
      </c>
      <c r="G34" s="67">
        <f t="shared" si="5"/>
        <v>436193845.23854822</v>
      </c>
    </row>
    <row r="35" spans="2:7" x14ac:dyDescent="0.25">
      <c r="B35" s="50">
        <v>23</v>
      </c>
      <c r="C35" s="63">
        <f t="shared" si="1"/>
        <v>436193845.23854822</v>
      </c>
      <c r="D35" s="64">
        <f t="shared" si="2"/>
        <v>2178823.0219223504</v>
      </c>
      <c r="E35" s="65">
        <f t="shared" si="3"/>
        <v>1088338.4088259798</v>
      </c>
      <c r="F35" s="66">
        <f t="shared" si="4"/>
        <v>1090484.6130963706</v>
      </c>
      <c r="G35" s="67">
        <f t="shared" si="5"/>
        <v>435105506.82972223</v>
      </c>
    </row>
    <row r="36" spans="2:7" x14ac:dyDescent="0.25">
      <c r="B36" s="50">
        <v>24</v>
      </c>
      <c r="C36" s="63">
        <f t="shared" si="1"/>
        <v>435105506.82972223</v>
      </c>
      <c r="D36" s="64">
        <f t="shared" si="2"/>
        <v>2178823.0219223504</v>
      </c>
      <c r="E36" s="65">
        <f t="shared" si="3"/>
        <v>1091059.2548480448</v>
      </c>
      <c r="F36" s="66">
        <f t="shared" si="4"/>
        <v>1087763.7670743056</v>
      </c>
      <c r="G36" s="67">
        <f t="shared" si="5"/>
        <v>434014447.57487416</v>
      </c>
    </row>
    <row r="37" spans="2:7" x14ac:dyDescent="0.25">
      <c r="B37" s="50">
        <v>25</v>
      </c>
      <c r="C37" s="63">
        <f t="shared" si="1"/>
        <v>434014447.57487416</v>
      </c>
      <c r="D37" s="64">
        <f t="shared" si="2"/>
        <v>2178823.0219223504</v>
      </c>
      <c r="E37" s="65">
        <f t="shared" si="3"/>
        <v>1093786.9029851649</v>
      </c>
      <c r="F37" s="66">
        <f t="shared" si="4"/>
        <v>1085036.1189371855</v>
      </c>
      <c r="G37" s="67">
        <f t="shared" si="5"/>
        <v>432920660.67188901</v>
      </c>
    </row>
    <row r="38" spans="2:7" x14ac:dyDescent="0.25">
      <c r="B38" s="50">
        <v>26</v>
      </c>
      <c r="C38" s="63">
        <f t="shared" si="1"/>
        <v>432920660.67188901</v>
      </c>
      <c r="D38" s="64">
        <f t="shared" si="2"/>
        <v>2178823.0219223504</v>
      </c>
      <c r="E38" s="65">
        <f t="shared" si="3"/>
        <v>1096521.3702426278</v>
      </c>
      <c r="F38" s="66">
        <f t="shared" si="4"/>
        <v>1082301.6516797226</v>
      </c>
      <c r="G38" s="67">
        <f t="shared" si="5"/>
        <v>431824139.30164635</v>
      </c>
    </row>
    <row r="39" spans="2:7" x14ac:dyDescent="0.25">
      <c r="B39" s="50">
        <v>27</v>
      </c>
      <c r="C39" s="63">
        <f t="shared" si="1"/>
        <v>431824139.30164635</v>
      </c>
      <c r="D39" s="64">
        <f t="shared" si="2"/>
        <v>2178823.0219223504</v>
      </c>
      <c r="E39" s="65">
        <f t="shared" si="3"/>
        <v>1099262.6736682346</v>
      </c>
      <c r="F39" s="66">
        <f t="shared" si="4"/>
        <v>1079560.3482541158</v>
      </c>
      <c r="G39" s="67">
        <f t="shared" si="5"/>
        <v>430724876.62797815</v>
      </c>
    </row>
    <row r="40" spans="2:7" x14ac:dyDescent="0.25">
      <c r="B40" s="50">
        <v>28</v>
      </c>
      <c r="C40" s="63">
        <f t="shared" si="1"/>
        <v>430724876.62797815</v>
      </c>
      <c r="D40" s="64">
        <f t="shared" si="2"/>
        <v>2178823.0219223504</v>
      </c>
      <c r="E40" s="65">
        <f t="shared" si="3"/>
        <v>1102010.8303524051</v>
      </c>
      <c r="F40" s="66">
        <f t="shared" si="4"/>
        <v>1076812.1915699453</v>
      </c>
      <c r="G40" s="67">
        <f t="shared" si="5"/>
        <v>429622865.79762572</v>
      </c>
    </row>
    <row r="41" spans="2:7" x14ac:dyDescent="0.25">
      <c r="B41" s="50">
        <v>29</v>
      </c>
      <c r="C41" s="63">
        <f t="shared" si="1"/>
        <v>429622865.79762572</v>
      </c>
      <c r="D41" s="64">
        <f t="shared" si="2"/>
        <v>2178823.0219223504</v>
      </c>
      <c r="E41" s="65">
        <f t="shared" si="3"/>
        <v>1104765.857428286</v>
      </c>
      <c r="F41" s="66">
        <f t="shared" si="4"/>
        <v>1074057.1644940644</v>
      </c>
      <c r="G41" s="67">
        <f t="shared" si="5"/>
        <v>428518099.94019741</v>
      </c>
    </row>
    <row r="42" spans="2:7" x14ac:dyDescent="0.25">
      <c r="B42" s="50">
        <v>30</v>
      </c>
      <c r="C42" s="63">
        <f t="shared" si="1"/>
        <v>428518099.94019741</v>
      </c>
      <c r="D42" s="64">
        <f t="shared" si="2"/>
        <v>2178823.0219223504</v>
      </c>
      <c r="E42" s="65">
        <f t="shared" si="3"/>
        <v>1107527.7720718568</v>
      </c>
      <c r="F42" s="66">
        <f t="shared" si="4"/>
        <v>1071295.2498504936</v>
      </c>
      <c r="G42" s="67">
        <f t="shared" si="5"/>
        <v>427410572.16812557</v>
      </c>
    </row>
    <row r="43" spans="2:7" x14ac:dyDescent="0.25">
      <c r="B43" s="50">
        <v>31</v>
      </c>
      <c r="C43" s="63">
        <f t="shared" si="1"/>
        <v>427410572.16812557</v>
      </c>
      <c r="D43" s="64">
        <f t="shared" si="2"/>
        <v>2178823.0219223504</v>
      </c>
      <c r="E43" s="65">
        <f t="shared" si="3"/>
        <v>1110296.5915020364</v>
      </c>
      <c r="F43" s="66">
        <f t="shared" si="4"/>
        <v>1068526.430420314</v>
      </c>
      <c r="G43" s="67">
        <f t="shared" si="5"/>
        <v>426300275.57662356</v>
      </c>
    </row>
    <row r="44" spans="2:7" x14ac:dyDescent="0.25">
      <c r="B44" s="50">
        <v>32</v>
      </c>
      <c r="C44" s="63">
        <f t="shared" si="1"/>
        <v>426300275.57662356</v>
      </c>
      <c r="D44" s="64">
        <f t="shared" si="2"/>
        <v>2178823.0219223504</v>
      </c>
      <c r="E44" s="65">
        <f t="shared" si="3"/>
        <v>1113072.3329807916</v>
      </c>
      <c r="F44" s="66">
        <f t="shared" si="4"/>
        <v>1065750.6889415588</v>
      </c>
      <c r="G44" s="67">
        <f t="shared" si="5"/>
        <v>425187203.24364275</v>
      </c>
    </row>
    <row r="45" spans="2:7" x14ac:dyDescent="0.25">
      <c r="B45" s="50">
        <v>33</v>
      </c>
      <c r="C45" s="63">
        <f t="shared" si="1"/>
        <v>425187203.24364275</v>
      </c>
      <c r="D45" s="64">
        <f t="shared" si="2"/>
        <v>2178823.0219223504</v>
      </c>
      <c r="E45" s="65">
        <f t="shared" si="3"/>
        <v>1115855.0138132435</v>
      </c>
      <c r="F45" s="66">
        <f t="shared" si="4"/>
        <v>1062968.0081091069</v>
      </c>
      <c r="G45" s="67">
        <f t="shared" si="5"/>
        <v>424071348.22982949</v>
      </c>
    </row>
    <row r="46" spans="2:7" x14ac:dyDescent="0.25">
      <c r="B46" s="50">
        <v>34</v>
      </c>
      <c r="C46" s="63">
        <f t="shared" si="1"/>
        <v>424071348.22982949</v>
      </c>
      <c r="D46" s="64">
        <f t="shared" si="2"/>
        <v>2178823.0219223504</v>
      </c>
      <c r="E46" s="65">
        <f t="shared" si="3"/>
        <v>1118644.6513477766</v>
      </c>
      <c r="F46" s="66">
        <f t="shared" si="4"/>
        <v>1060178.3705745738</v>
      </c>
      <c r="G46" s="67">
        <f t="shared" si="5"/>
        <v>422952703.57848173</v>
      </c>
    </row>
    <row r="47" spans="2:7" x14ac:dyDescent="0.25">
      <c r="B47" s="50">
        <v>35</v>
      </c>
      <c r="C47" s="63">
        <f t="shared" si="1"/>
        <v>422952703.57848173</v>
      </c>
      <c r="D47" s="64">
        <f t="shared" si="2"/>
        <v>2178823.0219223504</v>
      </c>
      <c r="E47" s="65">
        <f t="shared" si="3"/>
        <v>1121441.2629761461</v>
      </c>
      <c r="F47" s="66">
        <f t="shared" si="4"/>
        <v>1057381.7589462043</v>
      </c>
      <c r="G47" s="67">
        <f t="shared" si="5"/>
        <v>421831262.31550556</v>
      </c>
    </row>
    <row r="48" spans="2:7" x14ac:dyDescent="0.25">
      <c r="B48" s="50">
        <v>36</v>
      </c>
      <c r="C48" s="63">
        <f t="shared" si="1"/>
        <v>421831262.31550556</v>
      </c>
      <c r="D48" s="64">
        <f t="shared" si="2"/>
        <v>2178823.0219223504</v>
      </c>
      <c r="E48" s="65">
        <f t="shared" si="3"/>
        <v>1124244.8661335865</v>
      </c>
      <c r="F48" s="66">
        <f t="shared" si="4"/>
        <v>1054578.1557887639</v>
      </c>
      <c r="G48" s="67">
        <f t="shared" si="5"/>
        <v>420707017.44937199</v>
      </c>
    </row>
    <row r="49" spans="2:7" x14ac:dyDescent="0.25">
      <c r="B49" s="50">
        <v>37</v>
      </c>
      <c r="C49" s="63">
        <f t="shared" si="1"/>
        <v>420707017.44937199</v>
      </c>
      <c r="D49" s="64">
        <f t="shared" si="2"/>
        <v>2178823.0219223504</v>
      </c>
      <c r="E49" s="65">
        <f t="shared" si="3"/>
        <v>1127055.4782989204</v>
      </c>
      <c r="F49" s="66">
        <f t="shared" si="4"/>
        <v>1051767.54362343</v>
      </c>
      <c r="G49" s="67">
        <f t="shared" si="5"/>
        <v>419579961.97107309</v>
      </c>
    </row>
    <row r="50" spans="2:7" x14ac:dyDescent="0.25">
      <c r="B50" s="50">
        <v>38</v>
      </c>
      <c r="C50" s="63">
        <f t="shared" si="1"/>
        <v>419579961.97107309</v>
      </c>
      <c r="D50" s="64">
        <f t="shared" si="2"/>
        <v>2178823.0219223504</v>
      </c>
      <c r="E50" s="65">
        <f t="shared" si="3"/>
        <v>1129873.1169946676</v>
      </c>
      <c r="F50" s="66">
        <f t="shared" si="4"/>
        <v>1048949.9049276828</v>
      </c>
      <c r="G50" s="67">
        <f t="shared" si="5"/>
        <v>418450088.85407841</v>
      </c>
    </row>
    <row r="51" spans="2:7" x14ac:dyDescent="0.25">
      <c r="B51" s="50">
        <v>39</v>
      </c>
      <c r="C51" s="63">
        <f t="shared" si="1"/>
        <v>418450088.85407841</v>
      </c>
      <c r="D51" s="64">
        <f t="shared" si="2"/>
        <v>2178823.0219223504</v>
      </c>
      <c r="E51" s="65">
        <f t="shared" si="3"/>
        <v>1132697.7997871544</v>
      </c>
      <c r="F51" s="66">
        <f t="shared" si="4"/>
        <v>1046125.2221351961</v>
      </c>
      <c r="G51" s="67">
        <f t="shared" si="5"/>
        <v>417317391.05429125</v>
      </c>
    </row>
    <row r="52" spans="2:7" x14ac:dyDescent="0.25">
      <c r="B52" s="50">
        <v>40</v>
      </c>
      <c r="C52" s="63">
        <f t="shared" si="1"/>
        <v>417317391.05429125</v>
      </c>
      <c r="D52" s="64">
        <f t="shared" si="2"/>
        <v>2178823.0219223504</v>
      </c>
      <c r="E52" s="65">
        <f t="shared" si="3"/>
        <v>1135529.5442866222</v>
      </c>
      <c r="F52" s="66">
        <f t="shared" si="4"/>
        <v>1043293.4776357282</v>
      </c>
      <c r="G52" s="67">
        <f t="shared" si="5"/>
        <v>416181861.51000464</v>
      </c>
    </row>
    <row r="53" spans="2:7" x14ac:dyDescent="0.25">
      <c r="B53" s="50">
        <v>41</v>
      </c>
      <c r="C53" s="63">
        <f t="shared" si="1"/>
        <v>416181861.51000464</v>
      </c>
      <c r="D53" s="64">
        <f t="shared" si="2"/>
        <v>2178823.0219223504</v>
      </c>
      <c r="E53" s="65">
        <f t="shared" si="3"/>
        <v>1138368.3681473387</v>
      </c>
      <c r="F53" s="66">
        <f t="shared" si="4"/>
        <v>1040454.6537750117</v>
      </c>
      <c r="G53" s="67">
        <f t="shared" si="5"/>
        <v>415043493.14185733</v>
      </c>
    </row>
    <row r="54" spans="2:7" x14ac:dyDescent="0.25">
      <c r="B54" s="50">
        <v>42</v>
      </c>
      <c r="C54" s="63">
        <f t="shared" si="1"/>
        <v>415043493.14185733</v>
      </c>
      <c r="D54" s="64">
        <f t="shared" si="2"/>
        <v>2178823.0219223504</v>
      </c>
      <c r="E54" s="65">
        <f t="shared" si="3"/>
        <v>1141214.289067707</v>
      </c>
      <c r="F54" s="66">
        <f t="shared" si="4"/>
        <v>1037608.7328546434</v>
      </c>
      <c r="G54" s="67">
        <f t="shared" si="5"/>
        <v>413902278.85278964</v>
      </c>
    </row>
    <row r="55" spans="2:7" x14ac:dyDescent="0.25">
      <c r="B55" s="50">
        <v>43</v>
      </c>
      <c r="C55" s="63">
        <f t="shared" si="1"/>
        <v>413902278.85278964</v>
      </c>
      <c r="D55" s="64">
        <f t="shared" si="2"/>
        <v>2178823.0219223504</v>
      </c>
      <c r="E55" s="65">
        <f t="shared" si="3"/>
        <v>1144067.3247903762</v>
      </c>
      <c r="F55" s="66">
        <f t="shared" si="4"/>
        <v>1034755.6971319742</v>
      </c>
      <c r="G55" s="67">
        <f t="shared" si="5"/>
        <v>412758211.52799928</v>
      </c>
    </row>
    <row r="56" spans="2:7" x14ac:dyDescent="0.25">
      <c r="B56" s="50">
        <v>44</v>
      </c>
      <c r="C56" s="63">
        <f t="shared" si="1"/>
        <v>412758211.52799928</v>
      </c>
      <c r="D56" s="64">
        <f t="shared" si="2"/>
        <v>2178823.0219223504</v>
      </c>
      <c r="E56" s="65">
        <f t="shared" si="3"/>
        <v>1146927.4931023521</v>
      </c>
      <c r="F56" s="66">
        <f t="shared" si="4"/>
        <v>1031895.5288199983</v>
      </c>
      <c r="G56" s="67">
        <f t="shared" si="5"/>
        <v>411611284.03489691</v>
      </c>
    </row>
    <row r="57" spans="2:7" x14ac:dyDescent="0.25">
      <c r="B57" s="50">
        <v>45</v>
      </c>
      <c r="C57" s="63">
        <f t="shared" si="1"/>
        <v>411611284.03489691</v>
      </c>
      <c r="D57" s="64">
        <f t="shared" si="2"/>
        <v>2178823.0219223504</v>
      </c>
      <c r="E57" s="65">
        <f t="shared" si="3"/>
        <v>1149794.8118351081</v>
      </c>
      <c r="F57" s="66">
        <f t="shared" si="4"/>
        <v>1029028.2100872423</v>
      </c>
      <c r="G57" s="67">
        <f t="shared" si="5"/>
        <v>410461489.2230618</v>
      </c>
    </row>
    <row r="58" spans="2:7" x14ac:dyDescent="0.25">
      <c r="B58" s="50">
        <v>46</v>
      </c>
      <c r="C58" s="63">
        <f t="shared" si="1"/>
        <v>410461489.2230618</v>
      </c>
      <c r="D58" s="64">
        <f t="shared" si="2"/>
        <v>2178823.0219223504</v>
      </c>
      <c r="E58" s="65">
        <f t="shared" si="3"/>
        <v>1152669.2988646957</v>
      </c>
      <c r="F58" s="66">
        <f t="shared" si="4"/>
        <v>1026153.7230576546</v>
      </c>
      <c r="G58" s="67">
        <f t="shared" si="5"/>
        <v>409308819.92419708</v>
      </c>
    </row>
    <row r="59" spans="2:7" x14ac:dyDescent="0.25">
      <c r="B59" s="50">
        <v>47</v>
      </c>
      <c r="C59" s="63">
        <f t="shared" si="1"/>
        <v>409308819.92419708</v>
      </c>
      <c r="D59" s="64">
        <f t="shared" si="2"/>
        <v>2178823.0219223504</v>
      </c>
      <c r="E59" s="65">
        <f t="shared" si="3"/>
        <v>1155550.9721118577</v>
      </c>
      <c r="F59" s="66">
        <f t="shared" si="4"/>
        <v>1023272.0498104927</v>
      </c>
      <c r="G59" s="67">
        <f t="shared" si="5"/>
        <v>408153268.9520852</v>
      </c>
    </row>
    <row r="60" spans="2:7" x14ac:dyDescent="0.25">
      <c r="B60" s="50">
        <v>48</v>
      </c>
      <c r="C60" s="63">
        <f t="shared" si="1"/>
        <v>408153268.9520852</v>
      </c>
      <c r="D60" s="64">
        <f t="shared" si="2"/>
        <v>2178823.0219223504</v>
      </c>
      <c r="E60" s="65">
        <f t="shared" si="3"/>
        <v>1158439.8495421372</v>
      </c>
      <c r="F60" s="66">
        <f t="shared" si="4"/>
        <v>1020383.172380213</v>
      </c>
      <c r="G60" s="67">
        <f t="shared" si="5"/>
        <v>406994829.10254306</v>
      </c>
    </row>
    <row r="61" spans="2:7" x14ac:dyDescent="0.25">
      <c r="B61" s="50">
        <v>49</v>
      </c>
      <c r="C61" s="63">
        <f t="shared" si="1"/>
        <v>406994829.10254306</v>
      </c>
      <c r="D61" s="64">
        <f t="shared" si="2"/>
        <v>2178823.0219223504</v>
      </c>
      <c r="E61" s="65">
        <f t="shared" si="3"/>
        <v>1161335.9491659929</v>
      </c>
      <c r="F61" s="66">
        <f t="shared" si="4"/>
        <v>1017487.0727563576</v>
      </c>
      <c r="G61" s="67">
        <f t="shared" si="5"/>
        <v>405833493.15337706</v>
      </c>
    </row>
    <row r="62" spans="2:7" x14ac:dyDescent="0.25">
      <c r="B62" s="50">
        <v>50</v>
      </c>
      <c r="C62" s="63">
        <f t="shared" si="1"/>
        <v>405833493.15337706</v>
      </c>
      <c r="D62" s="64">
        <f t="shared" si="2"/>
        <v>2178823.0219223504</v>
      </c>
      <c r="E62" s="65">
        <f t="shared" si="3"/>
        <v>1164239.2890389077</v>
      </c>
      <c r="F62" s="66">
        <f t="shared" si="4"/>
        <v>1014583.7328834427</v>
      </c>
      <c r="G62" s="67">
        <f t="shared" si="5"/>
        <v>404669253.86433816</v>
      </c>
    </row>
    <row r="63" spans="2:7" x14ac:dyDescent="0.25">
      <c r="B63" s="50">
        <v>51</v>
      </c>
      <c r="C63" s="63">
        <f t="shared" si="1"/>
        <v>404669253.86433816</v>
      </c>
      <c r="D63" s="64">
        <f t="shared" si="2"/>
        <v>2178823.0219223504</v>
      </c>
      <c r="E63" s="65">
        <f t="shared" si="3"/>
        <v>1167149.887261505</v>
      </c>
      <c r="F63" s="66">
        <f t="shared" si="4"/>
        <v>1011673.1346608454</v>
      </c>
      <c r="G63" s="67">
        <f t="shared" si="5"/>
        <v>403502103.97707665</v>
      </c>
    </row>
    <row r="64" spans="2:7" x14ac:dyDescent="0.25">
      <c r="B64" s="50">
        <v>52</v>
      </c>
      <c r="C64" s="63">
        <f t="shared" si="1"/>
        <v>403502103.97707665</v>
      </c>
      <c r="D64" s="64">
        <f t="shared" si="2"/>
        <v>2178823.0219223504</v>
      </c>
      <c r="E64" s="65">
        <f t="shared" si="3"/>
        <v>1170067.7619796586</v>
      </c>
      <c r="F64" s="66">
        <f t="shared" si="4"/>
        <v>1008755.2599426917</v>
      </c>
      <c r="G64" s="67">
        <f t="shared" si="5"/>
        <v>402332036.21509701</v>
      </c>
    </row>
    <row r="65" spans="2:7" x14ac:dyDescent="0.25">
      <c r="B65" s="50">
        <v>53</v>
      </c>
      <c r="C65" s="63">
        <f t="shared" si="1"/>
        <v>402332036.21509701</v>
      </c>
      <c r="D65" s="64">
        <f t="shared" si="2"/>
        <v>2178823.0219223504</v>
      </c>
      <c r="E65" s="65">
        <f t="shared" si="3"/>
        <v>1172992.9313846077</v>
      </c>
      <c r="F65" s="66">
        <f t="shared" si="4"/>
        <v>1005830.0905377426</v>
      </c>
      <c r="G65" s="67">
        <f t="shared" si="5"/>
        <v>401159043.28371239</v>
      </c>
    </row>
    <row r="66" spans="2:7" x14ac:dyDescent="0.25">
      <c r="B66" s="50">
        <v>54</v>
      </c>
      <c r="C66" s="63">
        <f t="shared" si="1"/>
        <v>401159043.28371239</v>
      </c>
      <c r="D66" s="64">
        <f t="shared" si="2"/>
        <v>2178823.0219223504</v>
      </c>
      <c r="E66" s="65">
        <f t="shared" si="3"/>
        <v>1175925.4137130694</v>
      </c>
      <c r="F66" s="66">
        <f t="shared" si="4"/>
        <v>1002897.608209281</v>
      </c>
      <c r="G66" s="67">
        <f t="shared" si="5"/>
        <v>399983117.86999929</v>
      </c>
    </row>
    <row r="67" spans="2:7" x14ac:dyDescent="0.25">
      <c r="B67" s="50">
        <v>55</v>
      </c>
      <c r="C67" s="63">
        <f t="shared" si="1"/>
        <v>399983117.86999929</v>
      </c>
      <c r="D67" s="64">
        <f t="shared" si="2"/>
        <v>2178823.0219223504</v>
      </c>
      <c r="E67" s="65">
        <f t="shared" si="3"/>
        <v>1178865.2272473522</v>
      </c>
      <c r="F67" s="66">
        <f t="shared" si="4"/>
        <v>999957.79467499827</v>
      </c>
      <c r="G67" s="67">
        <f t="shared" si="5"/>
        <v>398804252.64275193</v>
      </c>
    </row>
    <row r="68" spans="2:7" x14ac:dyDescent="0.25">
      <c r="B68" s="50">
        <v>56</v>
      </c>
      <c r="C68" s="63">
        <f t="shared" si="1"/>
        <v>398804252.64275193</v>
      </c>
      <c r="D68" s="64">
        <f t="shared" si="2"/>
        <v>2178823.0219223504</v>
      </c>
      <c r="E68" s="65">
        <f t="shared" si="3"/>
        <v>1181812.3903154705</v>
      </c>
      <c r="F68" s="66">
        <f t="shared" si="4"/>
        <v>997010.63160687988</v>
      </c>
      <c r="G68" s="67">
        <f t="shared" si="5"/>
        <v>397622440.25243646</v>
      </c>
    </row>
    <row r="69" spans="2:7" x14ac:dyDescent="0.25">
      <c r="B69" s="50">
        <v>57</v>
      </c>
      <c r="C69" s="63">
        <f t="shared" si="1"/>
        <v>397622440.25243646</v>
      </c>
      <c r="D69" s="64">
        <f t="shared" si="2"/>
        <v>2178823.0219223504</v>
      </c>
      <c r="E69" s="65">
        <f t="shared" si="3"/>
        <v>1184766.9212912591</v>
      </c>
      <c r="F69" s="66">
        <f t="shared" si="4"/>
        <v>994056.10063109116</v>
      </c>
      <c r="G69" s="67">
        <f t="shared" si="5"/>
        <v>396437673.33114523</v>
      </c>
    </row>
    <row r="70" spans="2:7" x14ac:dyDescent="0.25">
      <c r="B70" s="50">
        <v>58</v>
      </c>
      <c r="C70" s="63">
        <f t="shared" si="1"/>
        <v>396437673.33114523</v>
      </c>
      <c r="D70" s="64">
        <f t="shared" si="2"/>
        <v>2178823.0219223504</v>
      </c>
      <c r="E70" s="65">
        <f t="shared" si="3"/>
        <v>1187728.8385944874</v>
      </c>
      <c r="F70" s="66">
        <f t="shared" ref="F70:F72" si="6">C70*$F$3</f>
        <v>991094.18332786311</v>
      </c>
      <c r="G70" s="67">
        <f t="shared" si="5"/>
        <v>395249944.49255073</v>
      </c>
    </row>
    <row r="71" spans="2:7" x14ac:dyDescent="0.25">
      <c r="B71" s="50">
        <v>59</v>
      </c>
      <c r="C71" s="63">
        <f t="shared" si="1"/>
        <v>395249944.49255073</v>
      </c>
      <c r="D71" s="64">
        <f t="shared" si="2"/>
        <v>2178823.0219223504</v>
      </c>
      <c r="E71" s="65">
        <f t="shared" si="3"/>
        <v>1190698.1606909735</v>
      </c>
      <c r="F71" s="66">
        <f t="shared" si="6"/>
        <v>988124.86123137688</v>
      </c>
      <c r="G71" s="67">
        <f t="shared" si="5"/>
        <v>394059246.33185977</v>
      </c>
    </row>
    <row r="72" spans="2:7" x14ac:dyDescent="0.25">
      <c r="B72" s="50">
        <v>60</v>
      </c>
      <c r="C72" s="63">
        <f t="shared" si="1"/>
        <v>394059246.33185977</v>
      </c>
      <c r="D72" s="64">
        <f t="shared" si="2"/>
        <v>2178823.0219223504</v>
      </c>
      <c r="E72" s="65">
        <f t="shared" si="3"/>
        <v>1193674.906092701</v>
      </c>
      <c r="F72" s="66">
        <f t="shared" si="6"/>
        <v>985148.11582964938</v>
      </c>
      <c r="G72" s="67">
        <f t="shared" si="5"/>
        <v>392865571.42576706</v>
      </c>
    </row>
    <row r="73" spans="2:7" x14ac:dyDescent="0.25">
      <c r="B73" s="50">
        <v>61</v>
      </c>
      <c r="C73" s="63">
        <f>G72</f>
        <v>392865571.42576706</v>
      </c>
      <c r="D73" s="64">
        <f>PMT($F$4,240,-$G$72)</f>
        <v>2278462.0600935468</v>
      </c>
      <c r="E73" s="65">
        <f t="shared" si="3"/>
        <v>1132604.1434350593</v>
      </c>
      <c r="F73" s="66">
        <f>C73*$F$4</f>
        <v>1145857.9166584874</v>
      </c>
      <c r="G73" s="67">
        <f t="shared" ref="G73" si="7">C73-E73</f>
        <v>391732967.282332</v>
      </c>
    </row>
    <row r="74" spans="2:7" x14ac:dyDescent="0.25">
      <c r="B74" s="50">
        <v>62</v>
      </c>
      <c r="C74" s="63">
        <f t="shared" ref="C74:C132" si="8">G73</f>
        <v>391732967.282332</v>
      </c>
      <c r="D74" s="64">
        <f t="shared" ref="D74:D132" si="9">PMT($F$4,240,-$G$72)</f>
        <v>2278462.0600935468</v>
      </c>
      <c r="E74" s="65">
        <f t="shared" si="3"/>
        <v>1135907.572186745</v>
      </c>
      <c r="F74" s="66">
        <f t="shared" ref="F74:F132" si="10">C74*$F$4</f>
        <v>1142554.4879068017</v>
      </c>
      <c r="G74" s="67">
        <f t="shared" ref="G74:G132" si="11">C74-E74</f>
        <v>390597059.71014524</v>
      </c>
    </row>
    <row r="75" spans="2:7" x14ac:dyDescent="0.25">
      <c r="B75" s="50">
        <v>63</v>
      </c>
      <c r="C75" s="63">
        <f t="shared" si="8"/>
        <v>390597059.71014524</v>
      </c>
      <c r="D75" s="64">
        <f t="shared" si="9"/>
        <v>2278462.0600935468</v>
      </c>
      <c r="E75" s="65">
        <f t="shared" si="3"/>
        <v>1139220.6359389564</v>
      </c>
      <c r="F75" s="66">
        <f t="shared" si="10"/>
        <v>1139241.4241545903</v>
      </c>
      <c r="G75" s="67">
        <f t="shared" si="11"/>
        <v>389457839.07420629</v>
      </c>
    </row>
    <row r="76" spans="2:7" x14ac:dyDescent="0.25">
      <c r="B76" s="50">
        <v>64</v>
      </c>
      <c r="C76" s="63">
        <f t="shared" si="8"/>
        <v>389457839.07420629</v>
      </c>
      <c r="D76" s="64">
        <f t="shared" si="9"/>
        <v>2278462.0600935468</v>
      </c>
      <c r="E76" s="65">
        <f t="shared" si="3"/>
        <v>1142543.3627937783</v>
      </c>
      <c r="F76" s="66">
        <f t="shared" si="10"/>
        <v>1135918.6972997684</v>
      </c>
      <c r="G76" s="67">
        <f t="shared" si="11"/>
        <v>388315295.71141249</v>
      </c>
    </row>
    <row r="77" spans="2:7" x14ac:dyDescent="0.25">
      <c r="B77" s="50">
        <v>65</v>
      </c>
      <c r="C77" s="63">
        <f t="shared" si="8"/>
        <v>388315295.71141249</v>
      </c>
      <c r="D77" s="64">
        <f t="shared" si="9"/>
        <v>2278462.0600935468</v>
      </c>
      <c r="E77" s="65">
        <f t="shared" si="3"/>
        <v>1145875.7809352602</v>
      </c>
      <c r="F77" s="66">
        <f t="shared" si="10"/>
        <v>1132586.2791582865</v>
      </c>
      <c r="G77" s="67">
        <f t="shared" si="11"/>
        <v>387169419.9304772</v>
      </c>
    </row>
    <row r="78" spans="2:7" x14ac:dyDescent="0.25">
      <c r="B78" s="50">
        <v>66</v>
      </c>
      <c r="C78" s="63">
        <f t="shared" si="8"/>
        <v>387169419.9304772</v>
      </c>
      <c r="D78" s="64">
        <f t="shared" si="9"/>
        <v>2278462.0600935468</v>
      </c>
      <c r="E78" s="65">
        <f t="shared" ref="E78:E141" si="12">D78-F78</f>
        <v>1149217.9186296549</v>
      </c>
      <c r="F78" s="66">
        <f t="shared" si="10"/>
        <v>1129244.1414638918</v>
      </c>
      <c r="G78" s="67">
        <f t="shared" si="11"/>
        <v>386020202.01184756</v>
      </c>
    </row>
    <row r="79" spans="2:7" x14ac:dyDescent="0.25">
      <c r="B79" s="50">
        <v>67</v>
      </c>
      <c r="C79" s="63">
        <f t="shared" si="8"/>
        <v>386020202.01184756</v>
      </c>
      <c r="D79" s="64">
        <f t="shared" si="9"/>
        <v>2278462.0600935468</v>
      </c>
      <c r="E79" s="65">
        <f t="shared" si="12"/>
        <v>1152569.8042256581</v>
      </c>
      <c r="F79" s="66">
        <f t="shared" si="10"/>
        <v>1125892.2558678887</v>
      </c>
      <c r="G79" s="67">
        <f t="shared" si="11"/>
        <v>384867632.20762187</v>
      </c>
    </row>
    <row r="80" spans="2:7" x14ac:dyDescent="0.25">
      <c r="B80" s="50">
        <v>68</v>
      </c>
      <c r="C80" s="63">
        <f t="shared" si="8"/>
        <v>384867632.20762187</v>
      </c>
      <c r="D80" s="64">
        <f t="shared" si="9"/>
        <v>2278462.0600935468</v>
      </c>
      <c r="E80" s="65">
        <f t="shared" si="12"/>
        <v>1155931.4661546496</v>
      </c>
      <c r="F80" s="66">
        <f t="shared" si="10"/>
        <v>1122530.5939388971</v>
      </c>
      <c r="G80" s="67">
        <f t="shared" si="11"/>
        <v>383711700.74146724</v>
      </c>
    </row>
    <row r="81" spans="2:7" x14ac:dyDescent="0.25">
      <c r="B81" s="50">
        <v>69</v>
      </c>
      <c r="C81" s="63">
        <f t="shared" si="8"/>
        <v>383711700.74146724</v>
      </c>
      <c r="D81" s="64">
        <f t="shared" si="9"/>
        <v>2278462.0600935468</v>
      </c>
      <c r="E81" s="65">
        <f t="shared" si="12"/>
        <v>1159302.932930934</v>
      </c>
      <c r="F81" s="66">
        <f t="shared" si="10"/>
        <v>1119159.1271626127</v>
      </c>
      <c r="G81" s="67">
        <f t="shared" si="11"/>
        <v>382552397.80853629</v>
      </c>
    </row>
    <row r="82" spans="2:7" x14ac:dyDescent="0.25">
      <c r="B82" s="50">
        <v>70</v>
      </c>
      <c r="C82" s="63">
        <f t="shared" si="8"/>
        <v>382552397.80853629</v>
      </c>
      <c r="D82" s="64">
        <f t="shared" si="9"/>
        <v>2278462.0600935468</v>
      </c>
      <c r="E82" s="65">
        <f t="shared" si="12"/>
        <v>1162684.2331519825</v>
      </c>
      <c r="F82" s="66">
        <f t="shared" si="10"/>
        <v>1115777.8269415642</v>
      </c>
      <c r="G82" s="67">
        <f t="shared" si="11"/>
        <v>381389713.57538432</v>
      </c>
    </row>
    <row r="83" spans="2:7" x14ac:dyDescent="0.25">
      <c r="B83" s="50">
        <v>71</v>
      </c>
      <c r="C83" s="63">
        <f t="shared" si="8"/>
        <v>381389713.57538432</v>
      </c>
      <c r="D83" s="64">
        <f t="shared" si="9"/>
        <v>2278462.0600935468</v>
      </c>
      <c r="E83" s="65">
        <f t="shared" si="12"/>
        <v>1166075.3954986758</v>
      </c>
      <c r="F83" s="66">
        <f t="shared" si="10"/>
        <v>1112386.664594871</v>
      </c>
      <c r="G83" s="67">
        <f t="shared" si="11"/>
        <v>380223638.17988563</v>
      </c>
    </row>
    <row r="84" spans="2:7" x14ac:dyDescent="0.25">
      <c r="B84" s="50">
        <v>72</v>
      </c>
      <c r="C84" s="63">
        <f t="shared" si="8"/>
        <v>380223638.17988563</v>
      </c>
      <c r="D84" s="64">
        <f t="shared" si="9"/>
        <v>2278462.0600935468</v>
      </c>
      <c r="E84" s="65">
        <f t="shared" si="12"/>
        <v>1169476.448735547</v>
      </c>
      <c r="F84" s="66">
        <f t="shared" si="10"/>
        <v>1108985.6113579997</v>
      </c>
      <c r="G84" s="67">
        <f t="shared" si="11"/>
        <v>379054161.73115009</v>
      </c>
    </row>
    <row r="85" spans="2:7" x14ac:dyDescent="0.25">
      <c r="B85" s="50">
        <v>73</v>
      </c>
      <c r="C85" s="63">
        <f t="shared" si="8"/>
        <v>379054161.73115009</v>
      </c>
      <c r="D85" s="64">
        <f t="shared" si="9"/>
        <v>2278462.0600935468</v>
      </c>
      <c r="E85" s="65">
        <f t="shared" si="12"/>
        <v>1172887.4217110255</v>
      </c>
      <c r="F85" s="66">
        <f t="shared" si="10"/>
        <v>1105574.6383825212</v>
      </c>
      <c r="G85" s="67">
        <f t="shared" si="11"/>
        <v>377881274.30943906</v>
      </c>
    </row>
    <row r="86" spans="2:7" x14ac:dyDescent="0.25">
      <c r="B86" s="50">
        <v>74</v>
      </c>
      <c r="C86" s="63">
        <f t="shared" si="8"/>
        <v>377881274.30943906</v>
      </c>
      <c r="D86" s="64">
        <f t="shared" si="9"/>
        <v>2278462.0600935468</v>
      </c>
      <c r="E86" s="65">
        <f t="shared" si="12"/>
        <v>1176308.3433576827</v>
      </c>
      <c r="F86" s="66">
        <f t="shared" si="10"/>
        <v>1102153.7167358641</v>
      </c>
      <c r="G86" s="67">
        <f t="shared" si="11"/>
        <v>376704965.96608138</v>
      </c>
    </row>
    <row r="87" spans="2:7" x14ac:dyDescent="0.25">
      <c r="B87" s="50">
        <v>75</v>
      </c>
      <c r="C87" s="63">
        <f t="shared" si="8"/>
        <v>376704965.96608138</v>
      </c>
      <c r="D87" s="64">
        <f t="shared" si="9"/>
        <v>2278462.0600935468</v>
      </c>
      <c r="E87" s="65">
        <f t="shared" si="12"/>
        <v>1179739.2426924759</v>
      </c>
      <c r="F87" s="66">
        <f t="shared" si="10"/>
        <v>1098722.8174010708</v>
      </c>
      <c r="G87" s="67">
        <f t="shared" si="11"/>
        <v>375525226.72338891</v>
      </c>
    </row>
    <row r="88" spans="2:7" x14ac:dyDescent="0.25">
      <c r="B88" s="50">
        <v>76</v>
      </c>
      <c r="C88" s="63">
        <f t="shared" si="8"/>
        <v>375525226.72338891</v>
      </c>
      <c r="D88" s="64">
        <f t="shared" si="9"/>
        <v>2278462.0600935468</v>
      </c>
      <c r="E88" s="65">
        <f t="shared" si="12"/>
        <v>1183180.1488169958</v>
      </c>
      <c r="F88" s="66">
        <f t="shared" si="10"/>
        <v>1095281.911276551</v>
      </c>
      <c r="G88" s="67">
        <f t="shared" si="11"/>
        <v>374342046.57457191</v>
      </c>
    </row>
    <row r="89" spans="2:7" x14ac:dyDescent="0.25">
      <c r="B89" s="50">
        <v>77</v>
      </c>
      <c r="C89" s="63">
        <f t="shared" si="8"/>
        <v>374342046.57457191</v>
      </c>
      <c r="D89" s="64">
        <f t="shared" si="9"/>
        <v>2278462.0600935468</v>
      </c>
      <c r="E89" s="65">
        <f t="shared" si="12"/>
        <v>1186631.0909177121</v>
      </c>
      <c r="F89" s="66">
        <f t="shared" si="10"/>
        <v>1091830.9691758347</v>
      </c>
      <c r="G89" s="67">
        <f t="shared" si="11"/>
        <v>373155415.4836542</v>
      </c>
    </row>
    <row r="90" spans="2:7" x14ac:dyDescent="0.25">
      <c r="B90" s="50">
        <v>78</v>
      </c>
      <c r="C90" s="63">
        <f t="shared" si="8"/>
        <v>373155415.4836542</v>
      </c>
      <c r="D90" s="64">
        <f t="shared" si="9"/>
        <v>2278462.0600935468</v>
      </c>
      <c r="E90" s="65">
        <f t="shared" si="12"/>
        <v>1190092.098266222</v>
      </c>
      <c r="F90" s="66">
        <f t="shared" si="10"/>
        <v>1088369.9618273247</v>
      </c>
      <c r="G90" s="67">
        <f t="shared" si="11"/>
        <v>371965323.38538796</v>
      </c>
    </row>
    <row r="91" spans="2:7" x14ac:dyDescent="0.25">
      <c r="B91" s="50">
        <v>79</v>
      </c>
      <c r="C91" s="63">
        <f t="shared" si="8"/>
        <v>371965323.38538796</v>
      </c>
      <c r="D91" s="64">
        <f t="shared" si="9"/>
        <v>2278462.0600935468</v>
      </c>
      <c r="E91" s="65">
        <f t="shared" si="12"/>
        <v>1193563.2002194985</v>
      </c>
      <c r="F91" s="66">
        <f t="shared" si="10"/>
        <v>1084898.8598740483</v>
      </c>
      <c r="G91" s="67">
        <f t="shared" si="11"/>
        <v>370771760.18516845</v>
      </c>
    </row>
    <row r="92" spans="2:7" x14ac:dyDescent="0.25">
      <c r="B92" s="50">
        <v>80</v>
      </c>
      <c r="C92" s="63">
        <f t="shared" si="8"/>
        <v>370771760.18516845</v>
      </c>
      <c r="D92" s="64">
        <f t="shared" si="9"/>
        <v>2278462.0600935468</v>
      </c>
      <c r="E92" s="65">
        <f t="shared" si="12"/>
        <v>1197044.4262201388</v>
      </c>
      <c r="F92" s="66">
        <f t="shared" si="10"/>
        <v>1081417.633873408</v>
      </c>
      <c r="G92" s="67">
        <f t="shared" si="11"/>
        <v>369574715.75894833</v>
      </c>
    </row>
    <row r="93" spans="2:7" x14ac:dyDescent="0.25">
      <c r="B93" s="50">
        <v>81</v>
      </c>
      <c r="C93" s="63">
        <f t="shared" si="8"/>
        <v>369574715.75894833</v>
      </c>
      <c r="D93" s="64">
        <f t="shared" si="9"/>
        <v>2278462.0600935468</v>
      </c>
      <c r="E93" s="65">
        <f t="shared" si="12"/>
        <v>1200535.8057966141</v>
      </c>
      <c r="F93" s="66">
        <f t="shared" si="10"/>
        <v>1077926.2542969326</v>
      </c>
      <c r="G93" s="67">
        <f t="shared" si="11"/>
        <v>368374179.9531517</v>
      </c>
    </row>
    <row r="94" spans="2:7" x14ac:dyDescent="0.25">
      <c r="B94" s="50">
        <v>82</v>
      </c>
      <c r="C94" s="63">
        <f t="shared" si="8"/>
        <v>368374179.9531517</v>
      </c>
      <c r="D94" s="64">
        <f t="shared" si="9"/>
        <v>2278462.0600935468</v>
      </c>
      <c r="E94" s="65">
        <f t="shared" si="12"/>
        <v>1204037.368563521</v>
      </c>
      <c r="F94" s="66">
        <f t="shared" si="10"/>
        <v>1074424.6915300258</v>
      </c>
      <c r="G94" s="67">
        <f t="shared" si="11"/>
        <v>367170142.58458817</v>
      </c>
    </row>
    <row r="95" spans="2:7" x14ac:dyDescent="0.25">
      <c r="B95" s="50">
        <v>83</v>
      </c>
      <c r="C95" s="63">
        <f t="shared" si="8"/>
        <v>367170142.58458817</v>
      </c>
      <c r="D95" s="64">
        <f t="shared" si="9"/>
        <v>2278462.0600935468</v>
      </c>
      <c r="E95" s="65">
        <f t="shared" si="12"/>
        <v>1207549.1442218311</v>
      </c>
      <c r="F95" s="66">
        <f t="shared" si="10"/>
        <v>1070912.9158717156</v>
      </c>
      <c r="G95" s="67">
        <f t="shared" si="11"/>
        <v>365962593.44036633</v>
      </c>
    </row>
    <row r="96" spans="2:7" x14ac:dyDescent="0.25">
      <c r="B96" s="50">
        <v>84</v>
      </c>
      <c r="C96" s="63">
        <f t="shared" si="8"/>
        <v>365962593.44036633</v>
      </c>
      <c r="D96" s="64">
        <f t="shared" si="9"/>
        <v>2278462.0600935468</v>
      </c>
      <c r="E96" s="65">
        <f t="shared" si="12"/>
        <v>1211071.1625591449</v>
      </c>
      <c r="F96" s="66">
        <f t="shared" si="10"/>
        <v>1067390.8975344019</v>
      </c>
      <c r="G96" s="67">
        <f t="shared" si="11"/>
        <v>364751522.27780718</v>
      </c>
    </row>
    <row r="97" spans="2:7" x14ac:dyDescent="0.25">
      <c r="B97" s="50">
        <v>85</v>
      </c>
      <c r="C97" s="63">
        <f t="shared" si="8"/>
        <v>364751522.27780718</v>
      </c>
      <c r="D97" s="64">
        <f t="shared" si="9"/>
        <v>2278462.0600935468</v>
      </c>
      <c r="E97" s="65">
        <f t="shared" si="12"/>
        <v>1214603.4534499424</v>
      </c>
      <c r="F97" s="66">
        <f t="shared" si="10"/>
        <v>1063858.6066436043</v>
      </c>
      <c r="G97" s="67">
        <f t="shared" si="11"/>
        <v>363536918.82435721</v>
      </c>
    </row>
    <row r="98" spans="2:7" x14ac:dyDescent="0.25">
      <c r="B98" s="50">
        <v>86</v>
      </c>
      <c r="C98" s="63">
        <f t="shared" si="8"/>
        <v>363536918.82435721</v>
      </c>
      <c r="D98" s="64">
        <f t="shared" si="9"/>
        <v>2278462.0600935468</v>
      </c>
      <c r="E98" s="65">
        <f t="shared" si="12"/>
        <v>1218146.0468558383</v>
      </c>
      <c r="F98" s="66">
        <f t="shared" si="10"/>
        <v>1060316.0132377085</v>
      </c>
      <c r="G98" s="67">
        <f t="shared" si="11"/>
        <v>362318772.77750134</v>
      </c>
    </row>
    <row r="99" spans="2:7" x14ac:dyDescent="0.25">
      <c r="B99" s="50">
        <v>87</v>
      </c>
      <c r="C99" s="63">
        <f t="shared" si="8"/>
        <v>362318772.77750134</v>
      </c>
      <c r="D99" s="64">
        <f t="shared" si="9"/>
        <v>2278462.0600935468</v>
      </c>
      <c r="E99" s="65">
        <f t="shared" si="12"/>
        <v>1221698.9728258345</v>
      </c>
      <c r="F99" s="66">
        <f t="shared" si="10"/>
        <v>1056763.0872677122</v>
      </c>
      <c r="G99" s="67">
        <f t="shared" si="11"/>
        <v>361097073.80467552</v>
      </c>
    </row>
    <row r="100" spans="2:7" x14ac:dyDescent="0.25">
      <c r="B100" s="50">
        <v>88</v>
      </c>
      <c r="C100" s="63">
        <f t="shared" si="8"/>
        <v>361097073.80467552</v>
      </c>
      <c r="D100" s="64">
        <f t="shared" si="9"/>
        <v>2278462.0600935468</v>
      </c>
      <c r="E100" s="65">
        <f t="shared" si="12"/>
        <v>1225262.2614965765</v>
      </c>
      <c r="F100" s="66">
        <f t="shared" si="10"/>
        <v>1053199.7985969703</v>
      </c>
      <c r="G100" s="67">
        <f t="shared" si="11"/>
        <v>359871811.54317892</v>
      </c>
    </row>
    <row r="101" spans="2:7" x14ac:dyDescent="0.25">
      <c r="B101" s="50">
        <v>89</v>
      </c>
      <c r="C101" s="63">
        <f t="shared" si="8"/>
        <v>359871811.54317892</v>
      </c>
      <c r="D101" s="64">
        <f t="shared" si="9"/>
        <v>2278462.0600935468</v>
      </c>
      <c r="E101" s="65">
        <f t="shared" si="12"/>
        <v>1228835.9430926081</v>
      </c>
      <c r="F101" s="66">
        <f t="shared" si="10"/>
        <v>1049626.1170009386</v>
      </c>
      <c r="G101" s="67">
        <f t="shared" si="11"/>
        <v>358642975.60008633</v>
      </c>
    </row>
    <row r="102" spans="2:7" x14ac:dyDescent="0.25">
      <c r="B102" s="50">
        <v>90</v>
      </c>
      <c r="C102" s="63">
        <f t="shared" si="8"/>
        <v>358642975.60008633</v>
      </c>
      <c r="D102" s="64">
        <f t="shared" si="9"/>
        <v>2278462.0600935468</v>
      </c>
      <c r="E102" s="65">
        <f t="shared" si="12"/>
        <v>1232420.0479266283</v>
      </c>
      <c r="F102" s="66">
        <f t="shared" si="10"/>
        <v>1046042.0121669185</v>
      </c>
      <c r="G102" s="67">
        <f t="shared" si="11"/>
        <v>357410555.55215973</v>
      </c>
    </row>
    <row r="103" spans="2:7" x14ac:dyDescent="0.25">
      <c r="B103" s="50">
        <v>91</v>
      </c>
      <c r="C103" s="63">
        <f t="shared" si="8"/>
        <v>357410555.55215973</v>
      </c>
      <c r="D103" s="64">
        <f t="shared" si="9"/>
        <v>2278462.0600935468</v>
      </c>
      <c r="E103" s="65">
        <f t="shared" si="12"/>
        <v>1236014.6063997475</v>
      </c>
      <c r="F103" s="66">
        <f t="shared" si="10"/>
        <v>1042447.4536937992</v>
      </c>
      <c r="G103" s="67">
        <f t="shared" si="11"/>
        <v>356174540.94575995</v>
      </c>
    </row>
    <row r="104" spans="2:7" x14ac:dyDescent="0.25">
      <c r="B104" s="50">
        <v>92</v>
      </c>
      <c r="C104" s="63">
        <f t="shared" si="8"/>
        <v>356174540.94575995</v>
      </c>
      <c r="D104" s="64">
        <f t="shared" si="9"/>
        <v>2278462.0600935468</v>
      </c>
      <c r="E104" s="65">
        <f t="shared" si="12"/>
        <v>1239619.6490017469</v>
      </c>
      <c r="F104" s="66">
        <f t="shared" si="10"/>
        <v>1038842.4110918</v>
      </c>
      <c r="G104" s="67">
        <f t="shared" si="11"/>
        <v>354934921.29675823</v>
      </c>
    </row>
    <row r="105" spans="2:7" x14ac:dyDescent="0.25">
      <c r="B105" s="50">
        <v>93</v>
      </c>
      <c r="C105" s="63">
        <f t="shared" si="8"/>
        <v>354934921.29675823</v>
      </c>
      <c r="D105" s="64">
        <f t="shared" si="9"/>
        <v>2278462.0600935468</v>
      </c>
      <c r="E105" s="65">
        <f t="shared" si="12"/>
        <v>1243235.2063113353</v>
      </c>
      <c r="F105" s="66">
        <f t="shared" si="10"/>
        <v>1035226.8537822115</v>
      </c>
      <c r="G105" s="67">
        <f t="shared" si="11"/>
        <v>353691686.09044689</v>
      </c>
    </row>
    <row r="106" spans="2:7" x14ac:dyDescent="0.25">
      <c r="B106" s="50">
        <v>94</v>
      </c>
      <c r="C106" s="63">
        <f t="shared" si="8"/>
        <v>353691686.09044689</v>
      </c>
      <c r="D106" s="64">
        <f t="shared" si="9"/>
        <v>2278462.0600935468</v>
      </c>
      <c r="E106" s="65">
        <f t="shared" si="12"/>
        <v>1246861.3089964101</v>
      </c>
      <c r="F106" s="66">
        <f t="shared" si="10"/>
        <v>1031600.7510971368</v>
      </c>
      <c r="G106" s="67">
        <f t="shared" si="11"/>
        <v>352444824.78145045</v>
      </c>
    </row>
    <row r="107" spans="2:7" x14ac:dyDescent="0.25">
      <c r="B107" s="50">
        <v>95</v>
      </c>
      <c r="C107" s="63">
        <f t="shared" si="8"/>
        <v>352444824.78145045</v>
      </c>
      <c r="D107" s="64">
        <f t="shared" si="9"/>
        <v>2278462.0600935468</v>
      </c>
      <c r="E107" s="65">
        <f t="shared" si="12"/>
        <v>1250497.9878143161</v>
      </c>
      <c r="F107" s="66">
        <f t="shared" si="10"/>
        <v>1027964.0722792306</v>
      </c>
      <c r="G107" s="67">
        <f t="shared" si="11"/>
        <v>351194326.79363614</v>
      </c>
    </row>
    <row r="108" spans="2:7" x14ac:dyDescent="0.25">
      <c r="B108" s="50">
        <v>96</v>
      </c>
      <c r="C108" s="63">
        <f t="shared" si="8"/>
        <v>351194326.79363614</v>
      </c>
      <c r="D108" s="64">
        <f t="shared" si="9"/>
        <v>2278462.0600935468</v>
      </c>
      <c r="E108" s="65">
        <f t="shared" si="12"/>
        <v>1254145.2736121081</v>
      </c>
      <c r="F108" s="66">
        <f t="shared" si="10"/>
        <v>1024316.7864814388</v>
      </c>
      <c r="G108" s="67">
        <f t="shared" si="11"/>
        <v>349940181.52002406</v>
      </c>
    </row>
    <row r="109" spans="2:7" x14ac:dyDescent="0.25">
      <c r="B109" s="50">
        <v>97</v>
      </c>
      <c r="C109" s="63">
        <f t="shared" si="8"/>
        <v>349940181.52002406</v>
      </c>
      <c r="D109" s="64">
        <f t="shared" si="9"/>
        <v>2278462.0600935468</v>
      </c>
      <c r="E109" s="65">
        <f t="shared" si="12"/>
        <v>1257803.1973268099</v>
      </c>
      <c r="F109" s="66">
        <f t="shared" si="10"/>
        <v>1020658.8627667369</v>
      </c>
      <c r="G109" s="67">
        <f t="shared" si="11"/>
        <v>348682378.32269722</v>
      </c>
    </row>
    <row r="110" spans="2:7" x14ac:dyDescent="0.25">
      <c r="B110" s="50">
        <v>98</v>
      </c>
      <c r="C110" s="63">
        <f t="shared" si="8"/>
        <v>348682378.32269722</v>
      </c>
      <c r="D110" s="64">
        <f t="shared" si="9"/>
        <v>2278462.0600935468</v>
      </c>
      <c r="E110" s="65">
        <f t="shared" si="12"/>
        <v>1261471.7899856798</v>
      </c>
      <c r="F110" s="66">
        <f t="shared" si="10"/>
        <v>1016990.270107867</v>
      </c>
      <c r="G110" s="67">
        <f t="shared" si="11"/>
        <v>347420906.53271157</v>
      </c>
    </row>
    <row r="111" spans="2:7" x14ac:dyDescent="0.25">
      <c r="B111" s="50">
        <v>99</v>
      </c>
      <c r="C111" s="63">
        <f t="shared" si="8"/>
        <v>347420906.53271157</v>
      </c>
      <c r="D111" s="64">
        <f t="shared" si="9"/>
        <v>2278462.0600935468</v>
      </c>
      <c r="E111" s="65">
        <f t="shared" si="12"/>
        <v>1265151.0827064714</v>
      </c>
      <c r="F111" s="66">
        <f t="shared" si="10"/>
        <v>1013310.9773870754</v>
      </c>
      <c r="G111" s="67">
        <f t="shared" si="11"/>
        <v>346155755.45000511</v>
      </c>
    </row>
    <row r="112" spans="2:7" x14ac:dyDescent="0.25">
      <c r="B112" s="50">
        <v>100</v>
      </c>
      <c r="C112" s="63">
        <f t="shared" si="8"/>
        <v>346155755.45000511</v>
      </c>
      <c r="D112" s="64">
        <f t="shared" si="9"/>
        <v>2278462.0600935468</v>
      </c>
      <c r="E112" s="65">
        <f t="shared" si="12"/>
        <v>1268841.1066976986</v>
      </c>
      <c r="F112" s="66">
        <f t="shared" si="10"/>
        <v>1009620.9533958483</v>
      </c>
      <c r="G112" s="67">
        <f t="shared" si="11"/>
        <v>344886914.34330744</v>
      </c>
    </row>
    <row r="113" spans="2:7" x14ac:dyDescent="0.25">
      <c r="B113" s="50">
        <v>101</v>
      </c>
      <c r="C113" s="63">
        <f t="shared" si="8"/>
        <v>344886914.34330744</v>
      </c>
      <c r="D113" s="64">
        <f t="shared" si="9"/>
        <v>2278462.0600935468</v>
      </c>
      <c r="E113" s="65">
        <f t="shared" si="12"/>
        <v>1272541.8932588999</v>
      </c>
      <c r="F113" s="66">
        <f t="shared" si="10"/>
        <v>1005920.1668346467</v>
      </c>
      <c r="G113" s="67">
        <f t="shared" si="11"/>
        <v>343614372.45004851</v>
      </c>
    </row>
    <row r="114" spans="2:7" x14ac:dyDescent="0.25">
      <c r="B114" s="50">
        <v>102</v>
      </c>
      <c r="C114" s="63">
        <f t="shared" si="8"/>
        <v>343614372.45004851</v>
      </c>
      <c r="D114" s="64">
        <f t="shared" si="9"/>
        <v>2278462.0600935468</v>
      </c>
      <c r="E114" s="65">
        <f t="shared" si="12"/>
        <v>1276253.4737809054</v>
      </c>
      <c r="F114" s="66">
        <f t="shared" si="10"/>
        <v>1002208.5863126415</v>
      </c>
      <c r="G114" s="67">
        <f t="shared" si="11"/>
        <v>342338118.97626758</v>
      </c>
    </row>
    <row r="115" spans="2:7" x14ac:dyDescent="0.25">
      <c r="B115" s="50">
        <v>103</v>
      </c>
      <c r="C115" s="63">
        <f t="shared" si="8"/>
        <v>342338118.97626758</v>
      </c>
      <c r="D115" s="64">
        <f t="shared" si="9"/>
        <v>2278462.0600935468</v>
      </c>
      <c r="E115" s="65">
        <f t="shared" si="12"/>
        <v>1279975.8797460995</v>
      </c>
      <c r="F115" s="66">
        <f t="shared" si="10"/>
        <v>998486.18034744717</v>
      </c>
      <c r="G115" s="67">
        <f t="shared" si="11"/>
        <v>341058143.0965215</v>
      </c>
    </row>
    <row r="116" spans="2:7" x14ac:dyDescent="0.25">
      <c r="B116" s="50">
        <v>104</v>
      </c>
      <c r="C116" s="63">
        <f t="shared" si="8"/>
        <v>341058143.0965215</v>
      </c>
      <c r="D116" s="64">
        <f t="shared" si="9"/>
        <v>2278462.0600935468</v>
      </c>
      <c r="E116" s="65">
        <f t="shared" si="12"/>
        <v>1283709.1427286924</v>
      </c>
      <c r="F116" s="66">
        <f t="shared" si="10"/>
        <v>994752.91736485437</v>
      </c>
      <c r="G116" s="67">
        <f t="shared" si="11"/>
        <v>339774433.95379281</v>
      </c>
    </row>
    <row r="117" spans="2:7" x14ac:dyDescent="0.25">
      <c r="B117" s="50">
        <v>105</v>
      </c>
      <c r="C117" s="63">
        <f t="shared" si="8"/>
        <v>339774433.95379281</v>
      </c>
      <c r="D117" s="64">
        <f t="shared" si="9"/>
        <v>2278462.0600935468</v>
      </c>
      <c r="E117" s="65">
        <f t="shared" si="12"/>
        <v>1287453.2943949844</v>
      </c>
      <c r="F117" s="66">
        <f t="shared" si="10"/>
        <v>991008.76569856238</v>
      </c>
      <c r="G117" s="67">
        <f t="shared" si="11"/>
        <v>338486980.65939784</v>
      </c>
    </row>
    <row r="118" spans="2:7" x14ac:dyDescent="0.25">
      <c r="B118" s="50">
        <v>106</v>
      </c>
      <c r="C118" s="63">
        <f t="shared" si="8"/>
        <v>338486980.65939784</v>
      </c>
      <c r="D118" s="64">
        <f t="shared" si="9"/>
        <v>2278462.0600935468</v>
      </c>
      <c r="E118" s="65">
        <f t="shared" si="12"/>
        <v>1291208.3665036364</v>
      </c>
      <c r="F118" s="66">
        <f t="shared" si="10"/>
        <v>987253.6935899104</v>
      </c>
      <c r="G118" s="67">
        <f t="shared" si="11"/>
        <v>337195772.29289418</v>
      </c>
    </row>
    <row r="119" spans="2:7" x14ac:dyDescent="0.25">
      <c r="B119" s="50">
        <v>107</v>
      </c>
      <c r="C119" s="63">
        <f t="shared" si="8"/>
        <v>337195772.29289418</v>
      </c>
      <c r="D119" s="64">
        <f t="shared" si="9"/>
        <v>2278462.0600935468</v>
      </c>
      <c r="E119" s="65">
        <f t="shared" si="12"/>
        <v>1294974.3909059386</v>
      </c>
      <c r="F119" s="66">
        <f t="shared" si="10"/>
        <v>983487.66918760806</v>
      </c>
      <c r="G119" s="67">
        <f t="shared" si="11"/>
        <v>335900797.90198827</v>
      </c>
    </row>
    <row r="120" spans="2:7" x14ac:dyDescent="0.25">
      <c r="B120" s="50">
        <v>108</v>
      </c>
      <c r="C120" s="63">
        <f t="shared" si="8"/>
        <v>335900797.90198827</v>
      </c>
      <c r="D120" s="64">
        <f t="shared" si="9"/>
        <v>2278462.0600935468</v>
      </c>
      <c r="E120" s="65">
        <f t="shared" si="12"/>
        <v>1298751.399546081</v>
      </c>
      <c r="F120" s="66">
        <f t="shared" si="10"/>
        <v>979710.66054746578</v>
      </c>
      <c r="G120" s="67">
        <f t="shared" si="11"/>
        <v>334602046.50244218</v>
      </c>
    </row>
    <row r="121" spans="2:7" x14ac:dyDescent="0.25">
      <c r="B121" s="50">
        <v>109</v>
      </c>
      <c r="C121" s="63">
        <f t="shared" si="8"/>
        <v>334602046.50244218</v>
      </c>
      <c r="D121" s="64">
        <f t="shared" si="9"/>
        <v>2278462.0600935468</v>
      </c>
      <c r="E121" s="65">
        <f t="shared" si="12"/>
        <v>1302539.4244614237</v>
      </c>
      <c r="F121" s="66">
        <f t="shared" si="10"/>
        <v>975922.6356321231</v>
      </c>
      <c r="G121" s="67">
        <f t="shared" si="11"/>
        <v>333299507.07798076</v>
      </c>
    </row>
    <row r="122" spans="2:7" x14ac:dyDescent="0.25">
      <c r="B122" s="50">
        <v>110</v>
      </c>
      <c r="C122" s="63">
        <f t="shared" si="8"/>
        <v>333299507.07798076</v>
      </c>
      <c r="D122" s="64">
        <f t="shared" si="9"/>
        <v>2278462.0600935468</v>
      </c>
      <c r="E122" s="65">
        <f t="shared" si="12"/>
        <v>1306338.4977827696</v>
      </c>
      <c r="F122" s="66">
        <f t="shared" si="10"/>
        <v>972123.56231077726</v>
      </c>
      <c r="G122" s="67">
        <f t="shared" si="11"/>
        <v>331993168.58019799</v>
      </c>
    </row>
    <row r="123" spans="2:7" x14ac:dyDescent="0.25">
      <c r="B123" s="50">
        <v>111</v>
      </c>
      <c r="C123" s="63">
        <f t="shared" si="8"/>
        <v>331993168.58019799</v>
      </c>
      <c r="D123" s="64">
        <f t="shared" si="9"/>
        <v>2278462.0600935468</v>
      </c>
      <c r="E123" s="65">
        <f t="shared" si="12"/>
        <v>1310148.6517346359</v>
      </c>
      <c r="F123" s="66">
        <f t="shared" si="10"/>
        <v>968313.40835891082</v>
      </c>
      <c r="G123" s="67">
        <f t="shared" si="11"/>
        <v>330683019.92846334</v>
      </c>
    </row>
    <row r="124" spans="2:7" x14ac:dyDescent="0.25">
      <c r="B124" s="50">
        <v>112</v>
      </c>
      <c r="C124" s="63">
        <f t="shared" si="8"/>
        <v>330683019.92846334</v>
      </c>
      <c r="D124" s="64">
        <f t="shared" si="9"/>
        <v>2278462.0600935468</v>
      </c>
      <c r="E124" s="65">
        <f t="shared" si="12"/>
        <v>1313969.9186355285</v>
      </c>
      <c r="F124" s="66">
        <f t="shared" si="10"/>
        <v>964492.1414580181</v>
      </c>
      <c r="G124" s="67">
        <f t="shared" si="11"/>
        <v>329369050.00982779</v>
      </c>
    </row>
    <row r="125" spans="2:7" x14ac:dyDescent="0.25">
      <c r="B125" s="50">
        <v>113</v>
      </c>
      <c r="C125" s="63">
        <f t="shared" si="8"/>
        <v>329369050.00982779</v>
      </c>
      <c r="D125" s="64">
        <f t="shared" si="9"/>
        <v>2278462.0600935468</v>
      </c>
      <c r="E125" s="65">
        <f t="shared" si="12"/>
        <v>1317802.3308982155</v>
      </c>
      <c r="F125" s="66">
        <f t="shared" si="10"/>
        <v>960659.72919533111</v>
      </c>
      <c r="G125" s="67">
        <f t="shared" si="11"/>
        <v>328051247.67892957</v>
      </c>
    </row>
    <row r="126" spans="2:7" x14ac:dyDescent="0.25">
      <c r="B126" s="50">
        <v>114</v>
      </c>
      <c r="C126" s="63">
        <f t="shared" si="8"/>
        <v>328051247.67892957</v>
      </c>
      <c r="D126" s="64">
        <f t="shared" si="9"/>
        <v>2278462.0600935468</v>
      </c>
      <c r="E126" s="65">
        <f t="shared" si="12"/>
        <v>1321645.9210300022</v>
      </c>
      <c r="F126" s="66">
        <f t="shared" si="10"/>
        <v>956816.13906354457</v>
      </c>
      <c r="G126" s="67">
        <f t="shared" si="11"/>
        <v>326729601.75789958</v>
      </c>
    </row>
    <row r="127" spans="2:7" x14ac:dyDescent="0.25">
      <c r="B127" s="50">
        <v>115</v>
      </c>
      <c r="C127" s="63">
        <f t="shared" si="8"/>
        <v>326729601.75789958</v>
      </c>
      <c r="D127" s="64">
        <f t="shared" si="9"/>
        <v>2278462.0600935468</v>
      </c>
      <c r="E127" s="65">
        <f t="shared" si="12"/>
        <v>1325500.7216330064</v>
      </c>
      <c r="F127" s="66">
        <f t="shared" si="10"/>
        <v>952961.33846054052</v>
      </c>
      <c r="G127" s="67">
        <f t="shared" si="11"/>
        <v>325404101.03626657</v>
      </c>
    </row>
    <row r="128" spans="2:7" x14ac:dyDescent="0.25">
      <c r="B128" s="50">
        <v>116</v>
      </c>
      <c r="C128" s="63">
        <f t="shared" si="8"/>
        <v>325404101.03626657</v>
      </c>
      <c r="D128" s="64">
        <f t="shared" si="9"/>
        <v>2278462.0600935468</v>
      </c>
      <c r="E128" s="65">
        <f t="shared" si="12"/>
        <v>1329366.7654044358</v>
      </c>
      <c r="F128" s="66">
        <f t="shared" si="10"/>
        <v>949095.29468911083</v>
      </c>
      <c r="G128" s="67">
        <f t="shared" si="11"/>
        <v>324074734.2708621</v>
      </c>
    </row>
    <row r="129" spans="2:7" x14ac:dyDescent="0.25">
      <c r="B129" s="50">
        <v>117</v>
      </c>
      <c r="C129" s="63">
        <f t="shared" si="8"/>
        <v>324074734.2708621</v>
      </c>
      <c r="D129" s="64">
        <f t="shared" si="9"/>
        <v>2278462.0600935468</v>
      </c>
      <c r="E129" s="65">
        <f t="shared" si="12"/>
        <v>1333244.0851368657</v>
      </c>
      <c r="F129" s="66">
        <f t="shared" si="10"/>
        <v>945217.97495668114</v>
      </c>
      <c r="G129" s="67">
        <f t="shared" si="11"/>
        <v>322741490.18572521</v>
      </c>
    </row>
    <row r="130" spans="2:7" x14ac:dyDescent="0.25">
      <c r="B130" s="50">
        <v>118</v>
      </c>
      <c r="C130" s="63">
        <f t="shared" si="8"/>
        <v>322741490.18572521</v>
      </c>
      <c r="D130" s="64">
        <f t="shared" si="9"/>
        <v>2278462.0600935468</v>
      </c>
      <c r="E130" s="65">
        <f t="shared" si="12"/>
        <v>1337132.7137185149</v>
      </c>
      <c r="F130" s="66">
        <f t="shared" si="10"/>
        <v>941329.34637503186</v>
      </c>
      <c r="G130" s="67">
        <f t="shared" si="11"/>
        <v>321404357.47200668</v>
      </c>
    </row>
    <row r="131" spans="2:7" x14ac:dyDescent="0.25">
      <c r="B131" s="50">
        <v>119</v>
      </c>
      <c r="C131" s="63">
        <f t="shared" si="8"/>
        <v>321404357.47200668</v>
      </c>
      <c r="D131" s="64">
        <f t="shared" si="9"/>
        <v>2278462.0600935468</v>
      </c>
      <c r="E131" s="65">
        <f t="shared" si="12"/>
        <v>1341032.6841335273</v>
      </c>
      <c r="F131" s="66">
        <f t="shared" si="10"/>
        <v>937429.37596001953</v>
      </c>
      <c r="G131" s="67">
        <f t="shared" si="11"/>
        <v>320063324.78787315</v>
      </c>
    </row>
    <row r="132" spans="2:7" x14ac:dyDescent="0.25">
      <c r="B132" s="50">
        <v>120</v>
      </c>
      <c r="C132" s="63">
        <f t="shared" si="8"/>
        <v>320063324.78787315</v>
      </c>
      <c r="D132" s="64">
        <f t="shared" si="9"/>
        <v>2278462.0600935468</v>
      </c>
      <c r="E132" s="65">
        <f t="shared" si="12"/>
        <v>1344944.0294622499</v>
      </c>
      <c r="F132" s="66">
        <f t="shared" si="10"/>
        <v>933518.03063129669</v>
      </c>
      <c r="G132" s="67">
        <f t="shared" si="11"/>
        <v>318718380.75841087</v>
      </c>
    </row>
    <row r="133" spans="2:7" x14ac:dyDescent="0.25">
      <c r="B133" s="50">
        <v>121</v>
      </c>
      <c r="C133" s="63">
        <f>G132</f>
        <v>318718380.75841087</v>
      </c>
      <c r="D133" s="64">
        <f>PMT($F$5,180,-$G$132)</f>
        <v>2309893.6095948853</v>
      </c>
      <c r="E133" s="65">
        <f t="shared" si="12"/>
        <v>1327178.6022564517</v>
      </c>
      <c r="F133" s="66">
        <f>C133*$F$5</f>
        <v>982715.00733843364</v>
      </c>
      <c r="G133" s="67">
        <f t="shared" ref="G133" si="13">C133-E133</f>
        <v>317391202.15615439</v>
      </c>
    </row>
    <row r="134" spans="2:7" x14ac:dyDescent="0.25">
      <c r="B134" s="50">
        <v>122</v>
      </c>
      <c r="C134" s="63">
        <f t="shared" ref="C134:C197" si="14">G133</f>
        <v>317391202.15615439</v>
      </c>
      <c r="D134" s="64">
        <f t="shared" ref="D134:D192" si="15">PMT($F$5,180,-$G$132)</f>
        <v>2309893.6095948853</v>
      </c>
      <c r="E134" s="65">
        <f t="shared" si="12"/>
        <v>1331270.7362800757</v>
      </c>
      <c r="F134" s="66">
        <f t="shared" ref="F134:F192" si="16">C134*$F$5</f>
        <v>978622.87331480952</v>
      </c>
      <c r="G134" s="67">
        <f t="shared" ref="G134:G197" si="17">C134-E134</f>
        <v>316059931.41987431</v>
      </c>
    </row>
    <row r="135" spans="2:7" x14ac:dyDescent="0.25">
      <c r="B135" s="50">
        <v>123</v>
      </c>
      <c r="C135" s="63">
        <f t="shared" si="14"/>
        <v>316059931.41987431</v>
      </c>
      <c r="D135" s="64">
        <f t="shared" si="15"/>
        <v>2309893.6095948853</v>
      </c>
      <c r="E135" s="65">
        <f t="shared" si="12"/>
        <v>1335375.4877169393</v>
      </c>
      <c r="F135" s="66">
        <f t="shared" si="16"/>
        <v>974518.12187794596</v>
      </c>
      <c r="G135" s="67">
        <f t="shared" si="17"/>
        <v>314724555.9321574</v>
      </c>
    </row>
    <row r="136" spans="2:7" x14ac:dyDescent="0.25">
      <c r="B136" s="50">
        <v>124</v>
      </c>
      <c r="C136" s="63">
        <f t="shared" si="14"/>
        <v>314724555.9321574</v>
      </c>
      <c r="D136" s="64">
        <f t="shared" si="15"/>
        <v>2309893.6095948853</v>
      </c>
      <c r="E136" s="65">
        <f t="shared" si="12"/>
        <v>1339492.8954707333</v>
      </c>
      <c r="F136" s="66">
        <f t="shared" si="16"/>
        <v>970400.71412415209</v>
      </c>
      <c r="G136" s="67">
        <f t="shared" si="17"/>
        <v>313385063.03668666</v>
      </c>
    </row>
    <row r="137" spans="2:7" x14ac:dyDescent="0.25">
      <c r="B137" s="50">
        <v>125</v>
      </c>
      <c r="C137" s="63">
        <f t="shared" si="14"/>
        <v>313385063.03668666</v>
      </c>
      <c r="D137" s="64">
        <f t="shared" si="15"/>
        <v>2309893.6095948853</v>
      </c>
      <c r="E137" s="65">
        <f t="shared" si="12"/>
        <v>1343622.9985651013</v>
      </c>
      <c r="F137" s="66">
        <f t="shared" si="16"/>
        <v>966270.61102978396</v>
      </c>
      <c r="G137" s="67">
        <f t="shared" si="17"/>
        <v>312041440.03812158</v>
      </c>
    </row>
    <row r="138" spans="2:7" x14ac:dyDescent="0.25">
      <c r="B138" s="50">
        <v>126</v>
      </c>
      <c r="C138" s="63">
        <f t="shared" si="14"/>
        <v>312041440.03812158</v>
      </c>
      <c r="D138" s="64">
        <f t="shared" si="15"/>
        <v>2309893.6095948853</v>
      </c>
      <c r="E138" s="65">
        <f t="shared" si="12"/>
        <v>1347765.8361440103</v>
      </c>
      <c r="F138" s="66">
        <f t="shared" si="16"/>
        <v>962127.77345087496</v>
      </c>
      <c r="G138" s="67">
        <f t="shared" si="17"/>
        <v>310693674.20197755</v>
      </c>
    </row>
    <row r="139" spans="2:7" x14ac:dyDescent="0.25">
      <c r="B139" s="50">
        <v>127</v>
      </c>
      <c r="C139" s="63">
        <f t="shared" si="14"/>
        <v>310693674.20197755</v>
      </c>
      <c r="D139" s="64">
        <f t="shared" si="15"/>
        <v>2309893.6095948853</v>
      </c>
      <c r="E139" s="65">
        <f t="shared" si="12"/>
        <v>1351921.4474721211</v>
      </c>
      <c r="F139" s="66">
        <f t="shared" si="16"/>
        <v>957972.16212276428</v>
      </c>
      <c r="G139" s="67">
        <f t="shared" si="17"/>
        <v>309341752.75450546</v>
      </c>
    </row>
    <row r="140" spans="2:7" x14ac:dyDescent="0.25">
      <c r="B140" s="50">
        <v>128</v>
      </c>
      <c r="C140" s="63">
        <f t="shared" si="14"/>
        <v>309341752.75450546</v>
      </c>
      <c r="D140" s="64">
        <f t="shared" si="15"/>
        <v>2309893.6095948853</v>
      </c>
      <c r="E140" s="65">
        <f t="shared" si="12"/>
        <v>1356089.8719351599</v>
      </c>
      <c r="F140" s="66">
        <f t="shared" si="16"/>
        <v>953803.73765972524</v>
      </c>
      <c r="G140" s="67">
        <f t="shared" si="17"/>
        <v>307985662.88257027</v>
      </c>
    </row>
    <row r="141" spans="2:7" x14ac:dyDescent="0.25">
      <c r="B141" s="50">
        <v>129</v>
      </c>
      <c r="C141" s="63">
        <f t="shared" si="14"/>
        <v>307985662.88257027</v>
      </c>
      <c r="D141" s="64">
        <f t="shared" si="15"/>
        <v>2309893.6095948853</v>
      </c>
      <c r="E141" s="65">
        <f t="shared" si="12"/>
        <v>1360271.1490402934</v>
      </c>
      <c r="F141" s="66">
        <f t="shared" si="16"/>
        <v>949622.46055459173</v>
      </c>
      <c r="G141" s="67">
        <f t="shared" si="17"/>
        <v>306625391.73352998</v>
      </c>
    </row>
    <row r="142" spans="2:7" x14ac:dyDescent="0.25">
      <c r="B142" s="50">
        <v>130</v>
      </c>
      <c r="C142" s="63">
        <f t="shared" si="14"/>
        <v>306625391.73352998</v>
      </c>
      <c r="D142" s="64">
        <f t="shared" si="15"/>
        <v>2309893.6095948853</v>
      </c>
      <c r="E142" s="65">
        <f t="shared" ref="E142:E205" si="18">D142-F142</f>
        <v>1364465.3184165009</v>
      </c>
      <c r="F142" s="66">
        <f t="shared" si="16"/>
        <v>945428.29117838421</v>
      </c>
      <c r="G142" s="67">
        <f t="shared" si="17"/>
        <v>305260926.41511351</v>
      </c>
    </row>
    <row r="143" spans="2:7" x14ac:dyDescent="0.25">
      <c r="B143" s="50">
        <v>131</v>
      </c>
      <c r="C143" s="63">
        <f t="shared" si="14"/>
        <v>305260926.41511351</v>
      </c>
      <c r="D143" s="64">
        <f t="shared" si="15"/>
        <v>2309893.6095948853</v>
      </c>
      <c r="E143" s="65">
        <f t="shared" si="18"/>
        <v>1368672.4198149517</v>
      </c>
      <c r="F143" s="66">
        <f t="shared" si="16"/>
        <v>941221.18977993343</v>
      </c>
      <c r="G143" s="67">
        <f t="shared" si="17"/>
        <v>303892253.99529856</v>
      </c>
    </row>
    <row r="144" spans="2:7" x14ac:dyDescent="0.25">
      <c r="B144" s="50">
        <v>132</v>
      </c>
      <c r="C144" s="63">
        <f t="shared" si="14"/>
        <v>303892253.99529856</v>
      </c>
      <c r="D144" s="64">
        <f t="shared" si="15"/>
        <v>2309893.6095948853</v>
      </c>
      <c r="E144" s="65">
        <f t="shared" si="18"/>
        <v>1372892.4931093813</v>
      </c>
      <c r="F144" s="66">
        <f t="shared" si="16"/>
        <v>937001.11648550408</v>
      </c>
      <c r="G144" s="67">
        <f t="shared" si="17"/>
        <v>302519361.50218916</v>
      </c>
    </row>
    <row r="145" spans="2:7" x14ac:dyDescent="0.25">
      <c r="B145" s="50">
        <v>133</v>
      </c>
      <c r="C145" s="63">
        <f t="shared" si="14"/>
        <v>302519361.50218916</v>
      </c>
      <c r="D145" s="64">
        <f t="shared" si="15"/>
        <v>2309893.6095948853</v>
      </c>
      <c r="E145" s="65">
        <f t="shared" si="18"/>
        <v>1377125.5782964686</v>
      </c>
      <c r="F145" s="66">
        <f t="shared" si="16"/>
        <v>932768.03129841667</v>
      </c>
      <c r="G145" s="67">
        <f t="shared" si="17"/>
        <v>301142235.92389268</v>
      </c>
    </row>
    <row r="146" spans="2:7" x14ac:dyDescent="0.25">
      <c r="B146" s="50">
        <v>134</v>
      </c>
      <c r="C146" s="63">
        <f t="shared" si="14"/>
        <v>301142235.92389268</v>
      </c>
      <c r="D146" s="64">
        <f t="shared" si="15"/>
        <v>2309893.6095948853</v>
      </c>
      <c r="E146" s="65">
        <f t="shared" si="18"/>
        <v>1381371.715496216</v>
      </c>
      <c r="F146" s="66">
        <f t="shared" si="16"/>
        <v>928521.89409866917</v>
      </c>
      <c r="G146" s="67">
        <f t="shared" si="17"/>
        <v>299760864.20839643</v>
      </c>
    </row>
    <row r="147" spans="2:7" x14ac:dyDescent="0.25">
      <c r="B147" s="50">
        <v>135</v>
      </c>
      <c r="C147" s="63">
        <f t="shared" si="14"/>
        <v>299760864.20839643</v>
      </c>
      <c r="D147" s="64">
        <f t="shared" si="15"/>
        <v>2309893.6095948853</v>
      </c>
      <c r="E147" s="65">
        <f t="shared" si="18"/>
        <v>1385630.9449523296</v>
      </c>
      <c r="F147" s="66">
        <f t="shared" si="16"/>
        <v>924262.66464255576</v>
      </c>
      <c r="G147" s="67">
        <f t="shared" si="17"/>
        <v>298375233.26344413</v>
      </c>
    </row>
    <row r="148" spans="2:7" x14ac:dyDescent="0.25">
      <c r="B148" s="50">
        <v>136</v>
      </c>
      <c r="C148" s="63">
        <f t="shared" si="14"/>
        <v>298375233.26344413</v>
      </c>
      <c r="D148" s="64">
        <f t="shared" si="15"/>
        <v>2309893.6095948853</v>
      </c>
      <c r="E148" s="65">
        <f t="shared" si="18"/>
        <v>1389903.3070325991</v>
      </c>
      <c r="F148" s="66">
        <f t="shared" si="16"/>
        <v>919990.30256228615</v>
      </c>
      <c r="G148" s="67">
        <f t="shared" si="17"/>
        <v>296985329.95641154</v>
      </c>
    </row>
    <row r="149" spans="2:7" x14ac:dyDescent="0.25">
      <c r="B149" s="50">
        <v>137</v>
      </c>
      <c r="C149" s="63">
        <f t="shared" si="14"/>
        <v>296985329.95641154</v>
      </c>
      <c r="D149" s="64">
        <f t="shared" si="15"/>
        <v>2309893.6095948853</v>
      </c>
      <c r="E149" s="65">
        <f t="shared" si="18"/>
        <v>1394188.8422292829</v>
      </c>
      <c r="F149" s="66">
        <f t="shared" si="16"/>
        <v>915704.76736560243</v>
      </c>
      <c r="G149" s="67">
        <f t="shared" si="17"/>
        <v>295591141.11418223</v>
      </c>
    </row>
    <row r="150" spans="2:7" x14ac:dyDescent="0.25">
      <c r="B150" s="50">
        <v>138</v>
      </c>
      <c r="C150" s="63">
        <f t="shared" si="14"/>
        <v>295591141.11418223</v>
      </c>
      <c r="D150" s="64">
        <f t="shared" si="15"/>
        <v>2309893.6095948853</v>
      </c>
      <c r="E150" s="65">
        <f t="shared" si="18"/>
        <v>1398487.5911594899</v>
      </c>
      <c r="F150" s="66">
        <f t="shared" si="16"/>
        <v>911406.01843539532</v>
      </c>
      <c r="G150" s="67">
        <f t="shared" si="17"/>
        <v>294192653.52302277</v>
      </c>
    </row>
    <row r="151" spans="2:7" x14ac:dyDescent="0.25">
      <c r="B151" s="50">
        <v>139</v>
      </c>
      <c r="C151" s="63">
        <f t="shared" si="14"/>
        <v>294192653.52302277</v>
      </c>
      <c r="D151" s="64">
        <f t="shared" si="15"/>
        <v>2309893.6095948853</v>
      </c>
      <c r="E151" s="65">
        <f t="shared" si="18"/>
        <v>1402799.5945655648</v>
      </c>
      <c r="F151" s="66">
        <f t="shared" si="16"/>
        <v>907094.01502932038</v>
      </c>
      <c r="G151" s="67">
        <f t="shared" si="17"/>
        <v>292789853.9284572</v>
      </c>
    </row>
    <row r="152" spans="2:7" x14ac:dyDescent="0.25">
      <c r="B152" s="50">
        <v>140</v>
      </c>
      <c r="C152" s="63">
        <f t="shared" si="14"/>
        <v>292789853.9284572</v>
      </c>
      <c r="D152" s="64">
        <f t="shared" si="15"/>
        <v>2309893.6095948853</v>
      </c>
      <c r="E152" s="65">
        <f t="shared" si="18"/>
        <v>1407124.8933154754</v>
      </c>
      <c r="F152" s="66">
        <f t="shared" si="16"/>
        <v>902768.71627940983</v>
      </c>
      <c r="G152" s="67">
        <f t="shared" si="17"/>
        <v>291382729.03514171</v>
      </c>
    </row>
    <row r="153" spans="2:7" x14ac:dyDescent="0.25">
      <c r="B153" s="50">
        <v>141</v>
      </c>
      <c r="C153" s="63">
        <f t="shared" si="14"/>
        <v>291382729.03514171</v>
      </c>
      <c r="D153" s="64">
        <f t="shared" si="15"/>
        <v>2309893.6095948853</v>
      </c>
      <c r="E153" s="65">
        <f t="shared" si="18"/>
        <v>1411463.5284031983</v>
      </c>
      <c r="F153" s="66">
        <f t="shared" si="16"/>
        <v>898430.08119168703</v>
      </c>
      <c r="G153" s="67">
        <f t="shared" si="17"/>
        <v>289971265.50673848</v>
      </c>
    </row>
    <row r="154" spans="2:7" x14ac:dyDescent="0.25">
      <c r="B154" s="50">
        <v>142</v>
      </c>
      <c r="C154" s="63">
        <f t="shared" si="14"/>
        <v>289971265.50673848</v>
      </c>
      <c r="D154" s="64">
        <f t="shared" si="15"/>
        <v>2309893.6095948853</v>
      </c>
      <c r="E154" s="65">
        <f t="shared" si="18"/>
        <v>1415815.5409491081</v>
      </c>
      <c r="F154" s="66">
        <f t="shared" si="16"/>
        <v>894078.06864577706</v>
      </c>
      <c r="G154" s="67">
        <f t="shared" si="17"/>
        <v>288555449.96578938</v>
      </c>
    </row>
    <row r="155" spans="2:7" x14ac:dyDescent="0.25">
      <c r="B155" s="50">
        <v>143</v>
      </c>
      <c r="C155" s="63">
        <f t="shared" si="14"/>
        <v>288555449.96578938</v>
      </c>
      <c r="D155" s="64">
        <f t="shared" si="15"/>
        <v>2309893.6095948853</v>
      </c>
      <c r="E155" s="65">
        <f t="shared" si="18"/>
        <v>1420180.9722003678</v>
      </c>
      <c r="F155" s="66">
        <f t="shared" si="16"/>
        <v>889712.63739451743</v>
      </c>
      <c r="G155" s="67">
        <f t="shared" si="17"/>
        <v>287135268.99358898</v>
      </c>
    </row>
    <row r="156" spans="2:7" x14ac:dyDescent="0.25">
      <c r="B156" s="50">
        <v>144</v>
      </c>
      <c r="C156" s="63">
        <f t="shared" si="14"/>
        <v>287135268.99358898</v>
      </c>
      <c r="D156" s="64">
        <f t="shared" si="15"/>
        <v>2309893.6095948853</v>
      </c>
      <c r="E156" s="65">
        <f t="shared" si="18"/>
        <v>1424559.863531319</v>
      </c>
      <c r="F156" s="66">
        <f t="shared" si="16"/>
        <v>885333.74606356618</v>
      </c>
      <c r="G156" s="67">
        <f t="shared" si="17"/>
        <v>285710709.13005769</v>
      </c>
    </row>
    <row r="157" spans="2:7" x14ac:dyDescent="0.25">
      <c r="B157" s="50">
        <v>145</v>
      </c>
      <c r="C157" s="63">
        <f t="shared" si="14"/>
        <v>285710709.13005769</v>
      </c>
      <c r="D157" s="64">
        <f t="shared" si="15"/>
        <v>2309893.6095948853</v>
      </c>
      <c r="E157" s="65">
        <f t="shared" si="18"/>
        <v>1428952.256443874</v>
      </c>
      <c r="F157" s="66">
        <f t="shared" si="16"/>
        <v>880941.3531510114</v>
      </c>
      <c r="G157" s="67">
        <f t="shared" si="17"/>
        <v>284281756.87361383</v>
      </c>
    </row>
    <row r="158" spans="2:7" x14ac:dyDescent="0.25">
      <c r="B158" s="50">
        <v>146</v>
      </c>
      <c r="C158" s="63">
        <f t="shared" si="14"/>
        <v>284281756.87361383</v>
      </c>
      <c r="D158" s="64">
        <f t="shared" si="15"/>
        <v>2309893.6095948853</v>
      </c>
      <c r="E158" s="65">
        <f t="shared" si="18"/>
        <v>1433358.1925679091</v>
      </c>
      <c r="F158" s="66">
        <f t="shared" si="16"/>
        <v>876535.41702697612</v>
      </c>
      <c r="G158" s="67">
        <f t="shared" si="17"/>
        <v>282848398.68104595</v>
      </c>
    </row>
    <row r="159" spans="2:7" x14ac:dyDescent="0.25">
      <c r="B159" s="50">
        <v>147</v>
      </c>
      <c r="C159" s="63">
        <f t="shared" si="14"/>
        <v>282848398.68104595</v>
      </c>
      <c r="D159" s="64">
        <f t="shared" si="15"/>
        <v>2309893.6095948853</v>
      </c>
      <c r="E159" s="65">
        <f t="shared" si="18"/>
        <v>1437777.71366166</v>
      </c>
      <c r="F159" s="66">
        <f t="shared" si="16"/>
        <v>872115.89593322517</v>
      </c>
      <c r="G159" s="67">
        <f t="shared" si="17"/>
        <v>281410620.96738428</v>
      </c>
    </row>
    <row r="160" spans="2:7" x14ac:dyDescent="0.25">
      <c r="B160" s="50">
        <v>148</v>
      </c>
      <c r="C160" s="63">
        <f t="shared" si="14"/>
        <v>281410620.96738428</v>
      </c>
      <c r="D160" s="64">
        <f t="shared" si="15"/>
        <v>2309893.6095948853</v>
      </c>
      <c r="E160" s="65">
        <f t="shared" si="18"/>
        <v>1442210.8616121169</v>
      </c>
      <c r="F160" s="66">
        <f t="shared" si="16"/>
        <v>867682.74798276834</v>
      </c>
      <c r="G160" s="67">
        <f t="shared" si="17"/>
        <v>279968410.10577214</v>
      </c>
    </row>
    <row r="161" spans="2:7" x14ac:dyDescent="0.25">
      <c r="B161" s="50">
        <v>149</v>
      </c>
      <c r="C161" s="63">
        <f t="shared" si="14"/>
        <v>279968410.10577214</v>
      </c>
      <c r="D161" s="64">
        <f t="shared" si="15"/>
        <v>2309893.6095948853</v>
      </c>
      <c r="E161" s="65">
        <f t="shared" si="18"/>
        <v>1446657.6784354211</v>
      </c>
      <c r="F161" s="66">
        <f t="shared" si="16"/>
        <v>863235.93115946418</v>
      </c>
      <c r="G161" s="67">
        <f t="shared" si="17"/>
        <v>278521752.42733669</v>
      </c>
    </row>
    <row r="162" spans="2:7" x14ac:dyDescent="0.25">
      <c r="B162" s="50">
        <v>150</v>
      </c>
      <c r="C162" s="63">
        <f t="shared" si="14"/>
        <v>278521752.42733669</v>
      </c>
      <c r="D162" s="64">
        <f t="shared" si="15"/>
        <v>2309893.6095948853</v>
      </c>
      <c r="E162" s="65">
        <f t="shared" si="18"/>
        <v>1451118.2062772638</v>
      </c>
      <c r="F162" s="66">
        <f t="shared" si="16"/>
        <v>858775.40331762156</v>
      </c>
      <c r="G162" s="67">
        <f t="shared" si="17"/>
        <v>277070634.22105944</v>
      </c>
    </row>
    <row r="163" spans="2:7" x14ac:dyDescent="0.25">
      <c r="B163" s="50">
        <v>151</v>
      </c>
      <c r="C163" s="63">
        <f t="shared" si="14"/>
        <v>277070634.22105944</v>
      </c>
      <c r="D163" s="64">
        <f t="shared" si="15"/>
        <v>2309893.6095948853</v>
      </c>
      <c r="E163" s="65">
        <f t="shared" si="18"/>
        <v>1455592.4874132853</v>
      </c>
      <c r="F163" s="66">
        <f t="shared" si="16"/>
        <v>854301.12218160008</v>
      </c>
      <c r="G163" s="67">
        <f t="shared" si="17"/>
        <v>275615041.73364615</v>
      </c>
    </row>
    <row r="164" spans="2:7" x14ac:dyDescent="0.25">
      <c r="B164" s="50">
        <v>152</v>
      </c>
      <c r="C164" s="63">
        <f t="shared" si="14"/>
        <v>275615041.73364615</v>
      </c>
      <c r="D164" s="64">
        <f t="shared" si="15"/>
        <v>2309893.6095948853</v>
      </c>
      <c r="E164" s="65">
        <f t="shared" si="18"/>
        <v>1460080.5642494762</v>
      </c>
      <c r="F164" s="66">
        <f t="shared" si="16"/>
        <v>849813.04534540907</v>
      </c>
      <c r="G164" s="67">
        <f t="shared" si="17"/>
        <v>274154961.1693967</v>
      </c>
    </row>
    <row r="165" spans="2:7" x14ac:dyDescent="0.25">
      <c r="B165" s="50">
        <v>153</v>
      </c>
      <c r="C165" s="63">
        <f t="shared" si="14"/>
        <v>274154961.1693967</v>
      </c>
      <c r="D165" s="64">
        <f t="shared" si="15"/>
        <v>2309893.6095948853</v>
      </c>
      <c r="E165" s="65">
        <f t="shared" si="18"/>
        <v>1464582.4793225788</v>
      </c>
      <c r="F165" s="66">
        <f t="shared" si="16"/>
        <v>845311.13027230662</v>
      </c>
      <c r="G165" s="67">
        <f t="shared" si="17"/>
        <v>272690378.69007415</v>
      </c>
    </row>
    <row r="166" spans="2:7" x14ac:dyDescent="0.25">
      <c r="B166" s="50">
        <v>154</v>
      </c>
      <c r="C166" s="63">
        <f t="shared" si="14"/>
        <v>272690378.69007415</v>
      </c>
      <c r="D166" s="64">
        <f t="shared" si="15"/>
        <v>2309893.6095948853</v>
      </c>
      <c r="E166" s="65">
        <f t="shared" si="18"/>
        <v>1469098.2753004897</v>
      </c>
      <c r="F166" s="66">
        <f t="shared" si="16"/>
        <v>840795.3342943954</v>
      </c>
      <c r="G166" s="67">
        <f t="shared" si="17"/>
        <v>271221280.41477364</v>
      </c>
    </row>
    <row r="167" spans="2:7" x14ac:dyDescent="0.25">
      <c r="B167" s="50">
        <v>155</v>
      </c>
      <c r="C167" s="63">
        <f t="shared" si="14"/>
        <v>271221280.41477364</v>
      </c>
      <c r="D167" s="64">
        <f t="shared" si="15"/>
        <v>2309893.6095948853</v>
      </c>
      <c r="E167" s="65">
        <f t="shared" si="18"/>
        <v>1473627.9949826663</v>
      </c>
      <c r="F167" s="66">
        <f t="shared" si="16"/>
        <v>836265.61461221881</v>
      </c>
      <c r="G167" s="67">
        <f t="shared" si="17"/>
        <v>269747652.41979098</v>
      </c>
    </row>
    <row r="168" spans="2:7" x14ac:dyDescent="0.25">
      <c r="B168" s="50">
        <v>156</v>
      </c>
      <c r="C168" s="63">
        <f t="shared" si="14"/>
        <v>269747652.41979098</v>
      </c>
      <c r="D168" s="64">
        <f t="shared" si="15"/>
        <v>2309893.6095948853</v>
      </c>
      <c r="E168" s="65">
        <f t="shared" si="18"/>
        <v>1478171.6813005297</v>
      </c>
      <c r="F168" s="66">
        <f t="shared" si="16"/>
        <v>831721.92829435563</v>
      </c>
      <c r="G168" s="67">
        <f t="shared" si="17"/>
        <v>268269480.73849046</v>
      </c>
    </row>
    <row r="169" spans="2:7" x14ac:dyDescent="0.25">
      <c r="B169" s="50">
        <v>157</v>
      </c>
      <c r="C169" s="63">
        <f t="shared" si="14"/>
        <v>268269480.73849046</v>
      </c>
      <c r="D169" s="64">
        <f t="shared" si="15"/>
        <v>2309893.6095948853</v>
      </c>
      <c r="E169" s="65">
        <f t="shared" si="18"/>
        <v>1482729.3773178728</v>
      </c>
      <c r="F169" s="66">
        <f t="shared" si="16"/>
        <v>827164.23227701243</v>
      </c>
      <c r="G169" s="67">
        <f t="shared" si="17"/>
        <v>266786751.36117259</v>
      </c>
    </row>
    <row r="170" spans="2:7" x14ac:dyDescent="0.25">
      <c r="B170" s="50">
        <v>158</v>
      </c>
      <c r="C170" s="63">
        <f t="shared" si="14"/>
        <v>266786751.36117259</v>
      </c>
      <c r="D170" s="64">
        <f t="shared" si="15"/>
        <v>2309893.6095948853</v>
      </c>
      <c r="E170" s="65">
        <f t="shared" si="18"/>
        <v>1487301.1262312697</v>
      </c>
      <c r="F170" s="66">
        <f t="shared" si="16"/>
        <v>822592.48336361558</v>
      </c>
      <c r="G170" s="67">
        <f t="shared" si="17"/>
        <v>265299450.2349413</v>
      </c>
    </row>
    <row r="171" spans="2:7" x14ac:dyDescent="0.25">
      <c r="B171" s="50">
        <v>159</v>
      </c>
      <c r="C171" s="63">
        <f t="shared" si="14"/>
        <v>265299450.2349413</v>
      </c>
      <c r="D171" s="64">
        <f t="shared" si="15"/>
        <v>2309893.6095948853</v>
      </c>
      <c r="E171" s="65">
        <f t="shared" si="18"/>
        <v>1491886.9713704828</v>
      </c>
      <c r="F171" s="66">
        <f t="shared" si="16"/>
        <v>818006.63822440244</v>
      </c>
      <c r="G171" s="67">
        <f t="shared" si="17"/>
        <v>263807563.26357082</v>
      </c>
    </row>
    <row r="172" spans="2:7" x14ac:dyDescent="0.25">
      <c r="B172" s="50">
        <v>160</v>
      </c>
      <c r="C172" s="63">
        <f t="shared" si="14"/>
        <v>263807563.26357082</v>
      </c>
      <c r="D172" s="64">
        <f t="shared" si="15"/>
        <v>2309893.6095948853</v>
      </c>
      <c r="E172" s="65">
        <f t="shared" si="18"/>
        <v>1496486.9561988751</v>
      </c>
      <c r="F172" s="66">
        <f t="shared" si="16"/>
        <v>813406.65339601017</v>
      </c>
      <c r="G172" s="67">
        <f t="shared" si="17"/>
        <v>262311076.30737194</v>
      </c>
    </row>
    <row r="173" spans="2:7" x14ac:dyDescent="0.25">
      <c r="B173" s="50">
        <v>161</v>
      </c>
      <c r="C173" s="63">
        <f t="shared" si="14"/>
        <v>262311076.30737194</v>
      </c>
      <c r="D173" s="64">
        <f t="shared" si="15"/>
        <v>2309893.6095948853</v>
      </c>
      <c r="E173" s="65">
        <f t="shared" si="18"/>
        <v>1501101.1243138216</v>
      </c>
      <c r="F173" s="66">
        <f t="shared" si="16"/>
        <v>808792.48528106359</v>
      </c>
      <c r="G173" s="67">
        <f t="shared" si="17"/>
        <v>260809975.18305811</v>
      </c>
    </row>
    <row r="174" spans="2:7" x14ac:dyDescent="0.25">
      <c r="B174" s="50">
        <v>162</v>
      </c>
      <c r="C174" s="63">
        <f t="shared" si="14"/>
        <v>260809975.18305811</v>
      </c>
      <c r="D174" s="64">
        <f t="shared" si="15"/>
        <v>2309893.6095948853</v>
      </c>
      <c r="E174" s="65">
        <f t="shared" si="18"/>
        <v>1505729.5194471227</v>
      </c>
      <c r="F174" s="66">
        <f t="shared" si="16"/>
        <v>804164.09014776268</v>
      </c>
      <c r="G174" s="67">
        <f t="shared" si="17"/>
        <v>259304245.66361099</v>
      </c>
    </row>
    <row r="175" spans="2:7" x14ac:dyDescent="0.25">
      <c r="B175" s="50">
        <v>163</v>
      </c>
      <c r="C175" s="63">
        <f t="shared" si="14"/>
        <v>259304245.66361099</v>
      </c>
      <c r="D175" s="64">
        <f t="shared" si="15"/>
        <v>2309893.6095948853</v>
      </c>
      <c r="E175" s="65">
        <f t="shared" si="18"/>
        <v>1510372.1854654178</v>
      </c>
      <c r="F175" s="66">
        <f t="shared" si="16"/>
        <v>799521.42412946734</v>
      </c>
      <c r="G175" s="67">
        <f t="shared" si="17"/>
        <v>257793873.47814557</v>
      </c>
    </row>
    <row r="176" spans="2:7" x14ac:dyDescent="0.25">
      <c r="B176" s="50">
        <v>164</v>
      </c>
      <c r="C176" s="63">
        <f t="shared" si="14"/>
        <v>257793873.47814557</v>
      </c>
      <c r="D176" s="64">
        <f t="shared" si="15"/>
        <v>2309893.6095948853</v>
      </c>
      <c r="E176" s="65">
        <f t="shared" si="18"/>
        <v>1515029.166370603</v>
      </c>
      <c r="F176" s="66">
        <f t="shared" si="16"/>
        <v>794864.44322428224</v>
      </c>
      <c r="G176" s="67">
        <f t="shared" si="17"/>
        <v>256278844.31177497</v>
      </c>
    </row>
    <row r="177" spans="2:7" x14ac:dyDescent="0.25">
      <c r="B177" s="50">
        <v>165</v>
      </c>
      <c r="C177" s="63">
        <f t="shared" si="14"/>
        <v>256278844.31177497</v>
      </c>
      <c r="D177" s="64">
        <f t="shared" si="15"/>
        <v>2309893.6095948853</v>
      </c>
      <c r="E177" s="65">
        <f t="shared" si="18"/>
        <v>1519700.5063002456</v>
      </c>
      <c r="F177" s="66">
        <f t="shared" si="16"/>
        <v>790193.10329463962</v>
      </c>
      <c r="G177" s="67">
        <f t="shared" si="17"/>
        <v>254759143.80547473</v>
      </c>
    </row>
    <row r="178" spans="2:7" x14ac:dyDescent="0.25">
      <c r="B178" s="50">
        <v>166</v>
      </c>
      <c r="C178" s="63">
        <f t="shared" si="14"/>
        <v>254759143.80547473</v>
      </c>
      <c r="D178" s="64">
        <f t="shared" si="15"/>
        <v>2309893.6095948853</v>
      </c>
      <c r="E178" s="65">
        <f t="shared" si="18"/>
        <v>1524386.2495280048</v>
      </c>
      <c r="F178" s="66">
        <f t="shared" si="16"/>
        <v>785507.36006688047</v>
      </c>
      <c r="G178" s="67">
        <f t="shared" si="17"/>
        <v>253234757.55594674</v>
      </c>
    </row>
    <row r="179" spans="2:7" x14ac:dyDescent="0.25">
      <c r="B179" s="50">
        <v>167</v>
      </c>
      <c r="C179" s="63">
        <f t="shared" si="14"/>
        <v>253234757.55594674</v>
      </c>
      <c r="D179" s="64">
        <f t="shared" si="15"/>
        <v>2309893.6095948853</v>
      </c>
      <c r="E179" s="65">
        <f t="shared" si="18"/>
        <v>1529086.4404640493</v>
      </c>
      <c r="F179" s="66">
        <f t="shared" si="16"/>
        <v>780807.16913083591</v>
      </c>
      <c r="G179" s="67">
        <f t="shared" si="17"/>
        <v>251705671.11548269</v>
      </c>
    </row>
    <row r="180" spans="2:7" x14ac:dyDescent="0.25">
      <c r="B180" s="50">
        <v>168</v>
      </c>
      <c r="C180" s="63">
        <f t="shared" si="14"/>
        <v>251705671.11548269</v>
      </c>
      <c r="D180" s="64">
        <f t="shared" si="15"/>
        <v>2309893.6095948853</v>
      </c>
      <c r="E180" s="65">
        <f t="shared" si="18"/>
        <v>1533801.1236554803</v>
      </c>
      <c r="F180" s="66">
        <f t="shared" si="16"/>
        <v>776092.48593940504</v>
      </c>
      <c r="G180" s="67">
        <f t="shared" si="17"/>
        <v>250171869.99182722</v>
      </c>
    </row>
    <row r="181" spans="2:7" x14ac:dyDescent="0.25">
      <c r="B181" s="50">
        <v>169</v>
      </c>
      <c r="C181" s="63">
        <f t="shared" si="14"/>
        <v>250171869.99182722</v>
      </c>
      <c r="D181" s="64">
        <f t="shared" si="15"/>
        <v>2309893.6095948853</v>
      </c>
      <c r="E181" s="65">
        <f t="shared" si="18"/>
        <v>1538530.3437867514</v>
      </c>
      <c r="F181" s="66">
        <f t="shared" si="16"/>
        <v>771363.26580813399</v>
      </c>
      <c r="G181" s="67">
        <f t="shared" si="17"/>
        <v>248633339.64804047</v>
      </c>
    </row>
    <row r="182" spans="2:7" x14ac:dyDescent="0.25">
      <c r="B182" s="50">
        <v>170</v>
      </c>
      <c r="C182" s="63">
        <f t="shared" si="14"/>
        <v>248633339.64804047</v>
      </c>
      <c r="D182" s="64">
        <f t="shared" si="15"/>
        <v>2309893.6095948853</v>
      </c>
      <c r="E182" s="65">
        <f t="shared" si="18"/>
        <v>1543274.1456800937</v>
      </c>
      <c r="F182" s="66">
        <f t="shared" si="16"/>
        <v>766619.46391479159</v>
      </c>
      <c r="G182" s="67">
        <f t="shared" si="17"/>
        <v>247090065.50236037</v>
      </c>
    </row>
    <row r="183" spans="2:7" x14ac:dyDescent="0.25">
      <c r="B183" s="50">
        <v>171</v>
      </c>
      <c r="C183" s="63">
        <f t="shared" si="14"/>
        <v>247090065.50236037</v>
      </c>
      <c r="D183" s="64">
        <f t="shared" si="15"/>
        <v>2309893.6095948853</v>
      </c>
      <c r="E183" s="65">
        <f t="shared" si="18"/>
        <v>1548032.5742959408</v>
      </c>
      <c r="F183" s="66">
        <f t="shared" si="16"/>
        <v>761861.03529894457</v>
      </c>
      <c r="G183" s="67">
        <f t="shared" si="17"/>
        <v>245542032.92806444</v>
      </c>
    </row>
    <row r="184" spans="2:7" x14ac:dyDescent="0.25">
      <c r="B184" s="50">
        <v>172</v>
      </c>
      <c r="C184" s="63">
        <f t="shared" si="14"/>
        <v>245542032.92806444</v>
      </c>
      <c r="D184" s="64">
        <f t="shared" si="15"/>
        <v>2309893.6095948853</v>
      </c>
      <c r="E184" s="65">
        <f t="shared" si="18"/>
        <v>1552805.6747333533</v>
      </c>
      <c r="F184" s="66">
        <f t="shared" si="16"/>
        <v>757087.93486153206</v>
      </c>
      <c r="G184" s="67">
        <f t="shared" si="17"/>
        <v>243989227.25333109</v>
      </c>
    </row>
    <row r="185" spans="2:7" x14ac:dyDescent="0.25">
      <c r="B185" s="50">
        <v>173</v>
      </c>
      <c r="C185" s="63">
        <f t="shared" si="14"/>
        <v>243989227.25333109</v>
      </c>
      <c r="D185" s="64">
        <f t="shared" si="15"/>
        <v>2309893.6095948853</v>
      </c>
      <c r="E185" s="65">
        <f t="shared" si="18"/>
        <v>1557593.4922304475</v>
      </c>
      <c r="F185" s="66">
        <f t="shared" si="16"/>
        <v>752300.11736443767</v>
      </c>
      <c r="G185" s="67">
        <f t="shared" si="17"/>
        <v>242431633.76110065</v>
      </c>
    </row>
    <row r="186" spans="2:7" x14ac:dyDescent="0.25">
      <c r="B186" s="50">
        <v>174</v>
      </c>
      <c r="C186" s="63">
        <f t="shared" si="14"/>
        <v>242431633.76110065</v>
      </c>
      <c r="D186" s="64">
        <f t="shared" si="15"/>
        <v>2309893.6095948853</v>
      </c>
      <c r="E186" s="65">
        <f t="shared" si="18"/>
        <v>1562396.0721648247</v>
      </c>
      <c r="F186" s="66">
        <f t="shared" si="16"/>
        <v>747497.53743006045</v>
      </c>
      <c r="G186" s="67">
        <f t="shared" si="17"/>
        <v>240869237.68893582</v>
      </c>
    </row>
    <row r="187" spans="2:7" x14ac:dyDescent="0.25">
      <c r="B187" s="50">
        <v>175</v>
      </c>
      <c r="C187" s="63">
        <f t="shared" si="14"/>
        <v>240869237.68893582</v>
      </c>
      <c r="D187" s="64">
        <f t="shared" si="15"/>
        <v>2309893.6095948853</v>
      </c>
      <c r="E187" s="65">
        <f t="shared" si="18"/>
        <v>1567213.4600539997</v>
      </c>
      <c r="F187" s="66">
        <f t="shared" si="16"/>
        <v>742680.14954088558</v>
      </c>
      <c r="G187" s="67">
        <f t="shared" si="17"/>
        <v>239302024.22888181</v>
      </c>
    </row>
    <row r="188" spans="2:7" x14ac:dyDescent="0.25">
      <c r="B188" s="50">
        <v>176</v>
      </c>
      <c r="C188" s="63">
        <f t="shared" si="14"/>
        <v>239302024.22888181</v>
      </c>
      <c r="D188" s="64">
        <f t="shared" si="15"/>
        <v>2309893.6095948853</v>
      </c>
      <c r="E188" s="65">
        <f t="shared" si="18"/>
        <v>1572045.7015558328</v>
      </c>
      <c r="F188" s="66">
        <f t="shared" si="16"/>
        <v>737847.90803905239</v>
      </c>
      <c r="G188" s="67">
        <f t="shared" si="17"/>
        <v>237729978.52732599</v>
      </c>
    </row>
    <row r="189" spans="2:7" x14ac:dyDescent="0.25">
      <c r="B189" s="50">
        <v>177</v>
      </c>
      <c r="C189" s="63">
        <f t="shared" si="14"/>
        <v>237729978.52732599</v>
      </c>
      <c r="D189" s="64">
        <f t="shared" si="15"/>
        <v>2309893.6095948853</v>
      </c>
      <c r="E189" s="65">
        <f t="shared" si="18"/>
        <v>1576892.8424689635</v>
      </c>
      <c r="F189" s="66">
        <f t="shared" si="16"/>
        <v>733000.76712592191</v>
      </c>
      <c r="G189" s="67">
        <f t="shared" si="17"/>
        <v>236153085.68485701</v>
      </c>
    </row>
    <row r="190" spans="2:7" x14ac:dyDescent="0.25">
      <c r="B190" s="50">
        <v>178</v>
      </c>
      <c r="C190" s="63">
        <f t="shared" si="14"/>
        <v>236153085.68485701</v>
      </c>
      <c r="D190" s="64">
        <f t="shared" si="15"/>
        <v>2309893.6095948853</v>
      </c>
      <c r="E190" s="65">
        <f t="shared" si="18"/>
        <v>1581754.9287332427</v>
      </c>
      <c r="F190" s="66">
        <f t="shared" si="16"/>
        <v>728138.68086164258</v>
      </c>
      <c r="G190" s="67">
        <f t="shared" si="17"/>
        <v>234571330.75612378</v>
      </c>
    </row>
    <row r="191" spans="2:7" x14ac:dyDescent="0.25">
      <c r="B191" s="50">
        <v>179</v>
      </c>
      <c r="C191" s="63">
        <f t="shared" si="14"/>
        <v>234571330.75612378</v>
      </c>
      <c r="D191" s="64">
        <f t="shared" si="15"/>
        <v>2309893.6095948853</v>
      </c>
      <c r="E191" s="65">
        <f t="shared" si="18"/>
        <v>1586632.00643017</v>
      </c>
      <c r="F191" s="66">
        <f t="shared" si="16"/>
        <v>723261.60316471511</v>
      </c>
      <c r="G191" s="67">
        <f t="shared" si="17"/>
        <v>232984698.7496936</v>
      </c>
    </row>
    <row r="192" spans="2:7" x14ac:dyDescent="0.25">
      <c r="B192" s="50">
        <v>180</v>
      </c>
      <c r="C192" s="63">
        <f t="shared" si="14"/>
        <v>232984698.7496936</v>
      </c>
      <c r="D192" s="64">
        <f t="shared" si="15"/>
        <v>2309893.6095948853</v>
      </c>
      <c r="E192" s="65">
        <f t="shared" si="18"/>
        <v>1591524.1217833299</v>
      </c>
      <c r="F192" s="66">
        <f t="shared" si="16"/>
        <v>718369.48781155539</v>
      </c>
      <c r="G192" s="67">
        <f t="shared" si="17"/>
        <v>231393174.62791029</v>
      </c>
    </row>
    <row r="193" spans="2:7" x14ac:dyDescent="0.25">
      <c r="B193" s="50">
        <v>181</v>
      </c>
      <c r="C193" s="63">
        <f t="shared" si="14"/>
        <v>231393174.62791029</v>
      </c>
      <c r="D193" s="64">
        <f>PMT($F$6,120,-$G$192)</f>
        <v>2338347.0408905833</v>
      </c>
      <c r="E193" s="65">
        <f t="shared" si="18"/>
        <v>1574749.5646184792</v>
      </c>
      <c r="F193" s="66">
        <f>C193*$F$6</f>
        <v>763597.47627210408</v>
      </c>
      <c r="G193" s="67">
        <f t="shared" si="17"/>
        <v>229818425.06329182</v>
      </c>
    </row>
    <row r="194" spans="2:7" x14ac:dyDescent="0.25">
      <c r="B194" s="50">
        <v>182</v>
      </c>
      <c r="C194" s="63">
        <f t="shared" si="14"/>
        <v>229818425.06329182</v>
      </c>
      <c r="D194" s="64">
        <f t="shared" ref="D194:D257" si="19">PMT($F$6,120,-$G$192)</f>
        <v>2338347.0408905833</v>
      </c>
      <c r="E194" s="65">
        <f t="shared" si="18"/>
        <v>1579946.2381817203</v>
      </c>
      <c r="F194" s="66">
        <f t="shared" ref="F194:F257" si="20">C194*$F$6</f>
        <v>758400.80270886305</v>
      </c>
      <c r="G194" s="67">
        <f t="shared" si="17"/>
        <v>228238478.82511011</v>
      </c>
    </row>
    <row r="195" spans="2:7" x14ac:dyDescent="0.25">
      <c r="B195" s="50">
        <v>183</v>
      </c>
      <c r="C195" s="63">
        <f t="shared" si="14"/>
        <v>228238478.82511011</v>
      </c>
      <c r="D195" s="64">
        <f t="shared" si="19"/>
        <v>2338347.0408905833</v>
      </c>
      <c r="E195" s="65">
        <f t="shared" si="18"/>
        <v>1585160.06076772</v>
      </c>
      <c r="F195" s="66">
        <f t="shared" si="20"/>
        <v>753186.98012286343</v>
      </c>
      <c r="G195" s="67">
        <f t="shared" si="17"/>
        <v>226653318.7643424</v>
      </c>
    </row>
    <row r="196" spans="2:7" x14ac:dyDescent="0.25">
      <c r="B196" s="50">
        <v>184</v>
      </c>
      <c r="C196" s="63">
        <f t="shared" si="14"/>
        <v>226653318.7643424</v>
      </c>
      <c r="D196" s="64">
        <f t="shared" si="19"/>
        <v>2338347.0408905833</v>
      </c>
      <c r="E196" s="65">
        <f t="shared" si="18"/>
        <v>1590391.0889682532</v>
      </c>
      <c r="F196" s="66">
        <f t="shared" si="20"/>
        <v>747955.95192232996</v>
      </c>
      <c r="G196" s="67">
        <f t="shared" si="17"/>
        <v>225062927.67537415</v>
      </c>
    </row>
    <row r="197" spans="2:7" x14ac:dyDescent="0.25">
      <c r="B197" s="50">
        <v>185</v>
      </c>
      <c r="C197" s="63">
        <f t="shared" si="14"/>
        <v>225062927.67537415</v>
      </c>
      <c r="D197" s="64">
        <f t="shared" si="19"/>
        <v>2338347.0408905833</v>
      </c>
      <c r="E197" s="65">
        <f t="shared" si="18"/>
        <v>1595639.3795618485</v>
      </c>
      <c r="F197" s="66">
        <f t="shared" si="20"/>
        <v>742707.66132873483</v>
      </c>
      <c r="G197" s="67">
        <f t="shared" si="17"/>
        <v>223467288.29581231</v>
      </c>
    </row>
    <row r="198" spans="2:7" x14ac:dyDescent="0.25">
      <c r="B198" s="50">
        <v>186</v>
      </c>
      <c r="C198" s="63">
        <f t="shared" ref="C198:C253" si="21">G197</f>
        <v>223467288.29581231</v>
      </c>
      <c r="D198" s="64">
        <f t="shared" si="19"/>
        <v>2338347.0408905833</v>
      </c>
      <c r="E198" s="65">
        <f t="shared" si="18"/>
        <v>1600904.9895144026</v>
      </c>
      <c r="F198" s="66">
        <f t="shared" si="20"/>
        <v>737442.05137618072</v>
      </c>
      <c r="G198" s="67">
        <f t="shared" ref="G198:G252" si="22">C198-E198</f>
        <v>221866383.3062979</v>
      </c>
    </row>
    <row r="199" spans="2:7" x14ac:dyDescent="0.25">
      <c r="B199" s="50">
        <v>187</v>
      </c>
      <c r="C199" s="63">
        <f t="shared" si="21"/>
        <v>221866383.3062979</v>
      </c>
      <c r="D199" s="64">
        <f t="shared" si="19"/>
        <v>2338347.0408905833</v>
      </c>
      <c r="E199" s="65">
        <f t="shared" si="18"/>
        <v>1606187.9759798001</v>
      </c>
      <c r="F199" s="66">
        <f t="shared" si="20"/>
        <v>732159.0649107832</v>
      </c>
      <c r="G199" s="67">
        <f t="shared" si="22"/>
        <v>220260195.33031809</v>
      </c>
    </row>
    <row r="200" spans="2:7" x14ac:dyDescent="0.25">
      <c r="B200" s="50">
        <v>188</v>
      </c>
      <c r="C200" s="63">
        <f t="shared" si="21"/>
        <v>220260195.33031809</v>
      </c>
      <c r="D200" s="64">
        <f t="shared" si="19"/>
        <v>2338347.0408905833</v>
      </c>
      <c r="E200" s="65">
        <f t="shared" si="18"/>
        <v>1611488.3963005336</v>
      </c>
      <c r="F200" s="66">
        <f t="shared" si="20"/>
        <v>726858.64459004975</v>
      </c>
      <c r="G200" s="67">
        <f t="shared" si="22"/>
        <v>218648706.93401757</v>
      </c>
    </row>
    <row r="201" spans="2:7" x14ac:dyDescent="0.25">
      <c r="B201" s="50">
        <v>189</v>
      </c>
      <c r="C201" s="63">
        <f t="shared" si="21"/>
        <v>218648706.93401757</v>
      </c>
      <c r="D201" s="64">
        <f t="shared" si="19"/>
        <v>2338347.0408905833</v>
      </c>
      <c r="E201" s="65">
        <f t="shared" si="18"/>
        <v>1616806.3080083253</v>
      </c>
      <c r="F201" s="66">
        <f t="shared" si="20"/>
        <v>721540.73288225802</v>
      </c>
      <c r="G201" s="67">
        <f t="shared" si="22"/>
        <v>217031900.62600926</v>
      </c>
    </row>
    <row r="202" spans="2:7" x14ac:dyDescent="0.25">
      <c r="B202" s="50">
        <v>190</v>
      </c>
      <c r="C202" s="63">
        <f t="shared" si="21"/>
        <v>217031900.62600926</v>
      </c>
      <c r="D202" s="64">
        <f t="shared" si="19"/>
        <v>2338347.0408905833</v>
      </c>
      <c r="E202" s="65">
        <f t="shared" si="18"/>
        <v>1622141.7688247527</v>
      </c>
      <c r="F202" s="66">
        <f t="shared" si="20"/>
        <v>716205.27206583065</v>
      </c>
      <c r="G202" s="67">
        <f t="shared" si="22"/>
        <v>215409758.8571845</v>
      </c>
    </row>
    <row r="203" spans="2:7" x14ac:dyDescent="0.25">
      <c r="B203" s="50">
        <v>191</v>
      </c>
      <c r="C203" s="63">
        <f t="shared" si="21"/>
        <v>215409758.8571845</v>
      </c>
      <c r="D203" s="64">
        <f t="shared" si="19"/>
        <v>2338347.0408905833</v>
      </c>
      <c r="E203" s="65">
        <f t="shared" si="18"/>
        <v>1627494.8366618743</v>
      </c>
      <c r="F203" s="66">
        <f t="shared" si="20"/>
        <v>710852.20422870899</v>
      </c>
      <c r="G203" s="67">
        <f t="shared" si="22"/>
        <v>213782264.02052262</v>
      </c>
    </row>
    <row r="204" spans="2:7" x14ac:dyDescent="0.25">
      <c r="B204" s="50">
        <v>192</v>
      </c>
      <c r="C204" s="63">
        <f t="shared" si="21"/>
        <v>213782264.02052262</v>
      </c>
      <c r="D204" s="64">
        <f t="shared" si="19"/>
        <v>2338347.0408905833</v>
      </c>
      <c r="E204" s="65">
        <f t="shared" si="18"/>
        <v>1632865.5696228584</v>
      </c>
      <c r="F204" s="66">
        <f t="shared" si="20"/>
        <v>705481.47126772476</v>
      </c>
      <c r="G204" s="67">
        <f t="shared" si="22"/>
        <v>212149398.45089978</v>
      </c>
    </row>
    <row r="205" spans="2:7" x14ac:dyDescent="0.25">
      <c r="B205" s="50">
        <v>193</v>
      </c>
      <c r="C205" s="63">
        <f t="shared" si="21"/>
        <v>212149398.45089978</v>
      </c>
      <c r="D205" s="64">
        <f t="shared" si="19"/>
        <v>2338347.0408905833</v>
      </c>
      <c r="E205" s="65">
        <f t="shared" si="18"/>
        <v>1638254.0260026138</v>
      </c>
      <c r="F205" s="66">
        <f t="shared" si="20"/>
        <v>700093.01488796936</v>
      </c>
      <c r="G205" s="67">
        <f t="shared" si="22"/>
        <v>210511144.42489716</v>
      </c>
    </row>
    <row r="206" spans="2:7" x14ac:dyDescent="0.25">
      <c r="B206" s="50">
        <v>194</v>
      </c>
      <c r="C206" s="63">
        <f t="shared" si="21"/>
        <v>210511144.42489716</v>
      </c>
      <c r="D206" s="64">
        <f t="shared" si="19"/>
        <v>2338347.0408905833</v>
      </c>
      <c r="E206" s="65">
        <f t="shared" ref="E206:E269" si="23">D206-F206</f>
        <v>1643660.2642884227</v>
      </c>
      <c r="F206" s="66">
        <f t="shared" si="20"/>
        <v>694686.77660216077</v>
      </c>
      <c r="G206" s="67">
        <f t="shared" si="22"/>
        <v>208867484.16060874</v>
      </c>
    </row>
    <row r="207" spans="2:7" x14ac:dyDescent="0.25">
      <c r="B207" s="50">
        <v>195</v>
      </c>
      <c r="C207" s="63">
        <f t="shared" si="21"/>
        <v>208867484.16060874</v>
      </c>
      <c r="D207" s="64">
        <f t="shared" si="19"/>
        <v>2338347.0408905833</v>
      </c>
      <c r="E207" s="65">
        <f t="shared" si="23"/>
        <v>1649084.3431605743</v>
      </c>
      <c r="F207" s="66">
        <f t="shared" si="20"/>
        <v>689262.69773000898</v>
      </c>
      <c r="G207" s="67">
        <f t="shared" si="22"/>
        <v>207218399.81744817</v>
      </c>
    </row>
    <row r="208" spans="2:7" x14ac:dyDescent="0.25">
      <c r="B208" s="50">
        <v>196</v>
      </c>
      <c r="C208" s="63">
        <f t="shared" si="21"/>
        <v>207218399.81744817</v>
      </c>
      <c r="D208" s="64">
        <f t="shared" si="19"/>
        <v>2338347.0408905833</v>
      </c>
      <c r="E208" s="65">
        <f t="shared" si="23"/>
        <v>1654526.3214930042</v>
      </c>
      <c r="F208" s="66">
        <f t="shared" si="20"/>
        <v>683820.71939757909</v>
      </c>
      <c r="G208" s="67">
        <f t="shared" si="22"/>
        <v>205563873.49595517</v>
      </c>
    </row>
    <row r="209" spans="2:7" x14ac:dyDescent="0.25">
      <c r="B209" s="50">
        <v>197</v>
      </c>
      <c r="C209" s="63">
        <f t="shared" si="21"/>
        <v>205563873.49595517</v>
      </c>
      <c r="D209" s="64">
        <f t="shared" si="19"/>
        <v>2338347.0408905833</v>
      </c>
      <c r="E209" s="65">
        <f t="shared" si="23"/>
        <v>1659986.2583539311</v>
      </c>
      <c r="F209" s="66">
        <f t="shared" si="20"/>
        <v>678360.78253665217</v>
      </c>
      <c r="G209" s="67">
        <f t="shared" si="22"/>
        <v>203903887.23760125</v>
      </c>
    </row>
    <row r="210" spans="2:7" x14ac:dyDescent="0.25">
      <c r="B210" s="50">
        <v>198</v>
      </c>
      <c r="C210" s="63">
        <f t="shared" si="21"/>
        <v>203903887.23760125</v>
      </c>
      <c r="D210" s="64">
        <f t="shared" si="19"/>
        <v>2338347.0408905833</v>
      </c>
      <c r="E210" s="65">
        <f t="shared" si="23"/>
        <v>1665464.2130064992</v>
      </c>
      <c r="F210" s="66">
        <f t="shared" si="20"/>
        <v>672882.8278840842</v>
      </c>
      <c r="G210" s="67">
        <f t="shared" si="22"/>
        <v>202238423.02459475</v>
      </c>
    </row>
    <row r="211" spans="2:7" x14ac:dyDescent="0.25">
      <c r="B211" s="50">
        <v>199</v>
      </c>
      <c r="C211" s="63">
        <f t="shared" si="21"/>
        <v>202238423.02459475</v>
      </c>
      <c r="D211" s="64">
        <f t="shared" si="19"/>
        <v>2338347.0408905833</v>
      </c>
      <c r="E211" s="65">
        <f t="shared" si="23"/>
        <v>1670960.2449094206</v>
      </c>
      <c r="F211" s="66">
        <f t="shared" si="20"/>
        <v>667386.79598116281</v>
      </c>
      <c r="G211" s="67">
        <f t="shared" si="22"/>
        <v>200567462.77968532</v>
      </c>
    </row>
    <row r="212" spans="2:7" x14ac:dyDescent="0.25">
      <c r="B212" s="50">
        <v>200</v>
      </c>
      <c r="C212" s="63">
        <f t="shared" si="21"/>
        <v>200567462.77968532</v>
      </c>
      <c r="D212" s="64">
        <f t="shared" si="19"/>
        <v>2338347.0408905833</v>
      </c>
      <c r="E212" s="65">
        <f t="shared" si="23"/>
        <v>1676474.4137176217</v>
      </c>
      <c r="F212" s="66">
        <f t="shared" si="20"/>
        <v>661872.6271729616</v>
      </c>
      <c r="G212" s="67">
        <f t="shared" si="22"/>
        <v>198890988.36596769</v>
      </c>
    </row>
    <row r="213" spans="2:7" x14ac:dyDescent="0.25">
      <c r="B213" s="50">
        <v>201</v>
      </c>
      <c r="C213" s="63">
        <f t="shared" si="21"/>
        <v>198890988.36596769</v>
      </c>
      <c r="D213" s="64">
        <f t="shared" si="19"/>
        <v>2338347.0408905833</v>
      </c>
      <c r="E213" s="65">
        <f t="shared" si="23"/>
        <v>1682006.7792828898</v>
      </c>
      <c r="F213" s="66">
        <f t="shared" si="20"/>
        <v>656340.26160769351</v>
      </c>
      <c r="G213" s="67">
        <f t="shared" si="22"/>
        <v>197208981.58668479</v>
      </c>
    </row>
    <row r="214" spans="2:7" x14ac:dyDescent="0.25">
      <c r="B214" s="50">
        <v>202</v>
      </c>
      <c r="C214" s="63">
        <f t="shared" si="21"/>
        <v>197208981.58668479</v>
      </c>
      <c r="D214" s="64">
        <f t="shared" si="19"/>
        <v>2338347.0408905833</v>
      </c>
      <c r="E214" s="65">
        <f t="shared" si="23"/>
        <v>1687557.4016545233</v>
      </c>
      <c r="F214" s="66">
        <f t="shared" si="20"/>
        <v>650789.63923605985</v>
      </c>
      <c r="G214" s="67">
        <f t="shared" si="22"/>
        <v>195521424.18503028</v>
      </c>
    </row>
    <row r="215" spans="2:7" x14ac:dyDescent="0.25">
      <c r="B215" s="50">
        <v>203</v>
      </c>
      <c r="C215" s="63">
        <f t="shared" si="21"/>
        <v>195521424.18503028</v>
      </c>
      <c r="D215" s="64">
        <f t="shared" si="19"/>
        <v>2338347.0408905833</v>
      </c>
      <c r="E215" s="65">
        <f t="shared" si="23"/>
        <v>1693126.3410799834</v>
      </c>
      <c r="F215" s="66">
        <f t="shared" si="20"/>
        <v>645220.69981060002</v>
      </c>
      <c r="G215" s="67">
        <f t="shared" si="22"/>
        <v>193828297.8439503</v>
      </c>
    </row>
    <row r="216" spans="2:7" x14ac:dyDescent="0.25">
      <c r="B216" s="50">
        <v>204</v>
      </c>
      <c r="C216" s="63">
        <f t="shared" si="21"/>
        <v>193828297.8439503</v>
      </c>
      <c r="D216" s="64">
        <f t="shared" si="19"/>
        <v>2338347.0408905833</v>
      </c>
      <c r="E216" s="65">
        <f t="shared" si="23"/>
        <v>1698713.6580055472</v>
      </c>
      <c r="F216" s="66">
        <f t="shared" si="20"/>
        <v>639633.38288503606</v>
      </c>
      <c r="G216" s="67">
        <f t="shared" si="22"/>
        <v>192129584.18594477</v>
      </c>
    </row>
    <row r="217" spans="2:7" x14ac:dyDescent="0.25">
      <c r="B217" s="50">
        <v>205</v>
      </c>
      <c r="C217" s="63">
        <f t="shared" si="21"/>
        <v>192129584.18594477</v>
      </c>
      <c r="D217" s="64">
        <f t="shared" si="19"/>
        <v>2338347.0408905833</v>
      </c>
      <c r="E217" s="65">
        <f t="shared" si="23"/>
        <v>1704319.4130769656</v>
      </c>
      <c r="F217" s="66">
        <f t="shared" si="20"/>
        <v>634027.62781361782</v>
      </c>
      <c r="G217" s="67">
        <f t="shared" si="22"/>
        <v>190425264.7728678</v>
      </c>
    </row>
    <row r="218" spans="2:7" x14ac:dyDescent="0.25">
      <c r="B218" s="50">
        <v>206</v>
      </c>
      <c r="C218" s="63">
        <f t="shared" si="21"/>
        <v>190425264.7728678</v>
      </c>
      <c r="D218" s="64">
        <f t="shared" si="19"/>
        <v>2338347.0408905833</v>
      </c>
      <c r="E218" s="65">
        <f t="shared" si="23"/>
        <v>1709943.6671401195</v>
      </c>
      <c r="F218" s="66">
        <f t="shared" si="20"/>
        <v>628403.37375046383</v>
      </c>
      <c r="G218" s="67">
        <f t="shared" si="22"/>
        <v>188715321.10572767</v>
      </c>
    </row>
    <row r="219" spans="2:7" x14ac:dyDescent="0.25">
      <c r="B219" s="50">
        <v>207</v>
      </c>
      <c r="C219" s="63">
        <f t="shared" si="21"/>
        <v>188715321.10572767</v>
      </c>
      <c r="D219" s="64">
        <f t="shared" si="19"/>
        <v>2338347.0408905833</v>
      </c>
      <c r="E219" s="65">
        <f t="shared" si="23"/>
        <v>1715586.4812416821</v>
      </c>
      <c r="F219" s="66">
        <f t="shared" si="20"/>
        <v>622760.55964890134</v>
      </c>
      <c r="G219" s="67">
        <f t="shared" si="22"/>
        <v>186999734.624486</v>
      </c>
    </row>
    <row r="220" spans="2:7" x14ac:dyDescent="0.25">
      <c r="B220" s="50">
        <v>208</v>
      </c>
      <c r="C220" s="63">
        <f t="shared" si="21"/>
        <v>186999734.624486</v>
      </c>
      <c r="D220" s="64">
        <f t="shared" si="19"/>
        <v>2338347.0408905833</v>
      </c>
      <c r="E220" s="65">
        <f t="shared" si="23"/>
        <v>1721247.9166297794</v>
      </c>
      <c r="F220" s="66">
        <f t="shared" si="20"/>
        <v>617099.12426080392</v>
      </c>
      <c r="G220" s="67">
        <f t="shared" si="22"/>
        <v>185278486.70785621</v>
      </c>
    </row>
    <row r="221" spans="2:7" x14ac:dyDescent="0.25">
      <c r="B221" s="50">
        <v>209</v>
      </c>
      <c r="C221" s="63">
        <f t="shared" si="21"/>
        <v>185278486.70785621</v>
      </c>
      <c r="D221" s="64">
        <f t="shared" si="19"/>
        <v>2338347.0408905833</v>
      </c>
      <c r="E221" s="65">
        <f t="shared" si="23"/>
        <v>1726928.0347546577</v>
      </c>
      <c r="F221" s="66">
        <f t="shared" si="20"/>
        <v>611419.00613592553</v>
      </c>
      <c r="G221" s="67">
        <f t="shared" si="22"/>
        <v>183551558.67310154</v>
      </c>
    </row>
    <row r="222" spans="2:7" x14ac:dyDescent="0.25">
      <c r="B222" s="50">
        <v>210</v>
      </c>
      <c r="C222" s="63">
        <f t="shared" si="21"/>
        <v>183551558.67310154</v>
      </c>
      <c r="D222" s="64">
        <f t="shared" si="19"/>
        <v>2338347.0408905833</v>
      </c>
      <c r="E222" s="65">
        <f t="shared" si="23"/>
        <v>1732626.8972693481</v>
      </c>
      <c r="F222" s="66">
        <f t="shared" si="20"/>
        <v>605720.14362123515</v>
      </c>
      <c r="G222" s="67">
        <f t="shared" si="22"/>
        <v>181818931.77583221</v>
      </c>
    </row>
    <row r="223" spans="2:7" x14ac:dyDescent="0.25">
      <c r="B223" s="50">
        <v>211</v>
      </c>
      <c r="C223" s="63">
        <f t="shared" si="21"/>
        <v>181818931.77583221</v>
      </c>
      <c r="D223" s="64">
        <f t="shared" si="19"/>
        <v>2338347.0408905833</v>
      </c>
      <c r="E223" s="65">
        <f t="shared" si="23"/>
        <v>1738344.566030337</v>
      </c>
      <c r="F223" s="66">
        <f t="shared" si="20"/>
        <v>600002.47486024641</v>
      </c>
      <c r="G223" s="67">
        <f t="shared" si="22"/>
        <v>180080587.20980188</v>
      </c>
    </row>
    <row r="224" spans="2:7" x14ac:dyDescent="0.25">
      <c r="B224" s="50">
        <v>212</v>
      </c>
      <c r="C224" s="63">
        <f t="shared" si="21"/>
        <v>180080587.20980188</v>
      </c>
      <c r="D224" s="64">
        <f t="shared" si="19"/>
        <v>2338347.0408905833</v>
      </c>
      <c r="E224" s="65">
        <f t="shared" si="23"/>
        <v>1744081.103098237</v>
      </c>
      <c r="F224" s="66">
        <f t="shared" si="20"/>
        <v>594265.93779234623</v>
      </c>
      <c r="G224" s="67">
        <f t="shared" si="22"/>
        <v>178336506.10670364</v>
      </c>
    </row>
    <row r="225" spans="2:7" x14ac:dyDescent="0.25">
      <c r="B225" s="50">
        <v>213</v>
      </c>
      <c r="C225" s="63">
        <f t="shared" si="21"/>
        <v>178336506.10670364</v>
      </c>
      <c r="D225" s="64">
        <f t="shared" si="19"/>
        <v>2338347.0408905833</v>
      </c>
      <c r="E225" s="65">
        <f t="shared" si="23"/>
        <v>1749836.5707384613</v>
      </c>
      <c r="F225" s="66">
        <f t="shared" si="20"/>
        <v>588510.47015212208</v>
      </c>
      <c r="G225" s="67">
        <f t="shared" si="22"/>
        <v>176586669.53596517</v>
      </c>
    </row>
    <row r="226" spans="2:7" x14ac:dyDescent="0.25">
      <c r="B226" s="50">
        <v>214</v>
      </c>
      <c r="C226" s="63">
        <f t="shared" si="21"/>
        <v>176586669.53596517</v>
      </c>
      <c r="D226" s="64">
        <f t="shared" si="19"/>
        <v>2338347.0408905833</v>
      </c>
      <c r="E226" s="65">
        <f t="shared" si="23"/>
        <v>1755611.0314218982</v>
      </c>
      <c r="F226" s="66">
        <f t="shared" si="20"/>
        <v>582736.00946868514</v>
      </c>
      <c r="G226" s="67">
        <f t="shared" si="22"/>
        <v>174831058.50454327</v>
      </c>
    </row>
    <row r="227" spans="2:7" x14ac:dyDescent="0.25">
      <c r="B227" s="50">
        <v>215</v>
      </c>
      <c r="C227" s="63">
        <f t="shared" si="21"/>
        <v>174831058.50454327</v>
      </c>
      <c r="D227" s="64">
        <f t="shared" si="19"/>
        <v>2338347.0408905833</v>
      </c>
      <c r="E227" s="65">
        <f t="shared" si="23"/>
        <v>1761404.5478255905</v>
      </c>
      <c r="F227" s="66">
        <f t="shared" si="20"/>
        <v>576942.49306499283</v>
      </c>
      <c r="G227" s="67">
        <f t="shared" si="22"/>
        <v>173069653.95671767</v>
      </c>
    </row>
    <row r="228" spans="2:7" x14ac:dyDescent="0.25">
      <c r="B228" s="50">
        <v>216</v>
      </c>
      <c r="C228" s="63">
        <f t="shared" si="21"/>
        <v>173069653.95671767</v>
      </c>
      <c r="D228" s="64">
        <f t="shared" si="19"/>
        <v>2338347.0408905833</v>
      </c>
      <c r="E228" s="65">
        <f t="shared" si="23"/>
        <v>1767217.182833415</v>
      </c>
      <c r="F228" s="66">
        <f t="shared" si="20"/>
        <v>571129.85805716843</v>
      </c>
      <c r="G228" s="67">
        <f t="shared" si="22"/>
        <v>171302436.77388427</v>
      </c>
    </row>
    <row r="229" spans="2:7" x14ac:dyDescent="0.25">
      <c r="B229" s="50">
        <v>217</v>
      </c>
      <c r="C229" s="63">
        <f t="shared" si="21"/>
        <v>171302436.77388427</v>
      </c>
      <c r="D229" s="64">
        <f t="shared" si="19"/>
        <v>2338347.0408905833</v>
      </c>
      <c r="E229" s="65">
        <f t="shared" si="23"/>
        <v>1773048.9995367653</v>
      </c>
      <c r="F229" s="66">
        <f t="shared" si="20"/>
        <v>565298.04135381815</v>
      </c>
      <c r="G229" s="67">
        <f t="shared" si="22"/>
        <v>169529387.77434751</v>
      </c>
    </row>
    <row r="230" spans="2:7" x14ac:dyDescent="0.25">
      <c r="B230" s="50">
        <v>218</v>
      </c>
      <c r="C230" s="63">
        <f t="shared" si="21"/>
        <v>169529387.77434751</v>
      </c>
      <c r="D230" s="64">
        <f t="shared" si="19"/>
        <v>2338347.0408905833</v>
      </c>
      <c r="E230" s="65">
        <f t="shared" si="23"/>
        <v>1778900.0612352365</v>
      </c>
      <c r="F230" s="66">
        <f t="shared" si="20"/>
        <v>559446.97965534683</v>
      </c>
      <c r="G230" s="67">
        <f t="shared" si="22"/>
        <v>167750487.71311226</v>
      </c>
    </row>
    <row r="231" spans="2:7" x14ac:dyDescent="0.25">
      <c r="B231" s="50">
        <v>219</v>
      </c>
      <c r="C231" s="63">
        <f t="shared" si="21"/>
        <v>167750487.71311226</v>
      </c>
      <c r="D231" s="64">
        <f t="shared" si="19"/>
        <v>2338347.0408905833</v>
      </c>
      <c r="E231" s="65">
        <f t="shared" si="23"/>
        <v>1784770.4314373126</v>
      </c>
      <c r="F231" s="66">
        <f t="shared" si="20"/>
        <v>553576.60945327056</v>
      </c>
      <c r="G231" s="67">
        <f t="shared" si="22"/>
        <v>165965717.28167495</v>
      </c>
    </row>
    <row r="232" spans="2:7" x14ac:dyDescent="0.25">
      <c r="B232" s="50">
        <v>220</v>
      </c>
      <c r="C232" s="63">
        <f t="shared" si="21"/>
        <v>165965717.28167495</v>
      </c>
      <c r="D232" s="64">
        <f t="shared" si="19"/>
        <v>2338347.0408905833</v>
      </c>
      <c r="E232" s="65">
        <f t="shared" si="23"/>
        <v>1790660.1738610559</v>
      </c>
      <c r="F232" s="66">
        <f t="shared" si="20"/>
        <v>547686.86702952744</v>
      </c>
      <c r="G232" s="67">
        <f t="shared" si="22"/>
        <v>164175057.10781389</v>
      </c>
    </row>
    <row r="233" spans="2:7" x14ac:dyDescent="0.25">
      <c r="B233" s="50">
        <v>221</v>
      </c>
      <c r="C233" s="63">
        <f t="shared" si="21"/>
        <v>164175057.10781389</v>
      </c>
      <c r="D233" s="64">
        <f t="shared" si="19"/>
        <v>2338347.0408905833</v>
      </c>
      <c r="E233" s="65">
        <f t="shared" si="23"/>
        <v>1796569.3524347972</v>
      </c>
      <c r="F233" s="66">
        <f t="shared" si="20"/>
        <v>541777.68845578597</v>
      </c>
      <c r="G233" s="67">
        <f t="shared" si="22"/>
        <v>162378487.75537911</v>
      </c>
    </row>
    <row r="234" spans="2:7" x14ac:dyDescent="0.25">
      <c r="B234" s="50">
        <v>222</v>
      </c>
      <c r="C234" s="63">
        <f t="shared" si="21"/>
        <v>162378487.75537911</v>
      </c>
      <c r="D234" s="64">
        <f t="shared" si="19"/>
        <v>2338347.0408905833</v>
      </c>
      <c r="E234" s="65">
        <f t="shared" si="23"/>
        <v>1802498.0312978323</v>
      </c>
      <c r="F234" s="66">
        <f t="shared" si="20"/>
        <v>535849.00959275116</v>
      </c>
      <c r="G234" s="67">
        <f t="shared" si="22"/>
        <v>160575989.72408128</v>
      </c>
    </row>
    <row r="235" spans="2:7" x14ac:dyDescent="0.25">
      <c r="B235" s="50">
        <v>223</v>
      </c>
      <c r="C235" s="63">
        <f t="shared" si="21"/>
        <v>160575989.72408128</v>
      </c>
      <c r="D235" s="64">
        <f t="shared" si="19"/>
        <v>2338347.0408905833</v>
      </c>
      <c r="E235" s="65">
        <f t="shared" si="23"/>
        <v>1808446.274801115</v>
      </c>
      <c r="F235" s="66">
        <f t="shared" si="20"/>
        <v>529900.76608946826</v>
      </c>
      <c r="G235" s="67">
        <f t="shared" si="22"/>
        <v>158767543.44928017</v>
      </c>
    </row>
    <row r="236" spans="2:7" x14ac:dyDescent="0.25">
      <c r="B236" s="50">
        <v>224</v>
      </c>
      <c r="C236" s="63">
        <f t="shared" si="21"/>
        <v>158767543.44928017</v>
      </c>
      <c r="D236" s="64">
        <f t="shared" si="19"/>
        <v>2338347.0408905833</v>
      </c>
      <c r="E236" s="65">
        <f t="shared" si="23"/>
        <v>1814414.1475079586</v>
      </c>
      <c r="F236" s="66">
        <f t="shared" si="20"/>
        <v>523932.89338262461</v>
      </c>
      <c r="G236" s="67">
        <f t="shared" si="22"/>
        <v>156953129.30177221</v>
      </c>
    </row>
    <row r="237" spans="2:7" x14ac:dyDescent="0.25">
      <c r="B237" s="50">
        <v>225</v>
      </c>
      <c r="C237" s="63">
        <f t="shared" si="21"/>
        <v>156953129.30177221</v>
      </c>
      <c r="D237" s="64">
        <f t="shared" si="19"/>
        <v>2338347.0408905833</v>
      </c>
      <c r="E237" s="65">
        <f t="shared" si="23"/>
        <v>1820401.714194735</v>
      </c>
      <c r="F237" s="66">
        <f t="shared" si="20"/>
        <v>517945.32669584837</v>
      </c>
      <c r="G237" s="67">
        <f t="shared" si="22"/>
        <v>155132727.58757746</v>
      </c>
    </row>
    <row r="238" spans="2:7" x14ac:dyDescent="0.25">
      <c r="B238" s="50">
        <v>226</v>
      </c>
      <c r="C238" s="63">
        <f t="shared" si="21"/>
        <v>155132727.58757746</v>
      </c>
      <c r="D238" s="64">
        <f t="shared" si="19"/>
        <v>2338347.0408905833</v>
      </c>
      <c r="E238" s="65">
        <f t="shared" si="23"/>
        <v>1826409.0398515775</v>
      </c>
      <c r="F238" s="66">
        <f t="shared" si="20"/>
        <v>511938.0010390057</v>
      </c>
      <c r="G238" s="67">
        <f t="shared" si="22"/>
        <v>153306318.54772589</v>
      </c>
    </row>
    <row r="239" spans="2:7" x14ac:dyDescent="0.25">
      <c r="B239" s="50">
        <v>227</v>
      </c>
      <c r="C239" s="63">
        <f t="shared" si="21"/>
        <v>153306318.54772589</v>
      </c>
      <c r="D239" s="64">
        <f t="shared" si="19"/>
        <v>2338347.0408905833</v>
      </c>
      <c r="E239" s="65">
        <f t="shared" si="23"/>
        <v>1832436.1896830879</v>
      </c>
      <c r="F239" s="66">
        <f t="shared" si="20"/>
        <v>505910.85120749549</v>
      </c>
      <c r="G239" s="67">
        <f t="shared" si="22"/>
        <v>151473882.35804281</v>
      </c>
    </row>
    <row r="240" spans="2:7" x14ac:dyDescent="0.25">
      <c r="B240" s="50">
        <v>228</v>
      </c>
      <c r="C240" s="63">
        <f t="shared" si="21"/>
        <v>151473882.35804281</v>
      </c>
      <c r="D240" s="64">
        <f t="shared" si="19"/>
        <v>2338347.0408905833</v>
      </c>
      <c r="E240" s="65">
        <f t="shared" si="23"/>
        <v>1838483.2291090419</v>
      </c>
      <c r="F240" s="66">
        <f t="shared" si="20"/>
        <v>499863.81178154133</v>
      </c>
      <c r="G240" s="67">
        <f t="shared" si="22"/>
        <v>149635399.12893376</v>
      </c>
    </row>
    <row r="241" spans="2:7" x14ac:dyDescent="0.25">
      <c r="B241" s="50">
        <v>229</v>
      </c>
      <c r="C241" s="63">
        <f t="shared" si="21"/>
        <v>149635399.12893376</v>
      </c>
      <c r="D241" s="64">
        <f t="shared" si="19"/>
        <v>2338347.0408905833</v>
      </c>
      <c r="E241" s="65">
        <f t="shared" si="23"/>
        <v>1844550.2237651017</v>
      </c>
      <c r="F241" s="66">
        <f t="shared" si="20"/>
        <v>493796.81712548144</v>
      </c>
      <c r="G241" s="67">
        <f t="shared" si="22"/>
        <v>147790848.90516865</v>
      </c>
    </row>
    <row r="242" spans="2:7" x14ac:dyDescent="0.25">
      <c r="B242" s="50">
        <v>230</v>
      </c>
      <c r="C242" s="63">
        <f t="shared" si="21"/>
        <v>147790848.90516865</v>
      </c>
      <c r="D242" s="64">
        <f t="shared" si="19"/>
        <v>2338347.0408905833</v>
      </c>
      <c r="E242" s="65">
        <f t="shared" si="23"/>
        <v>1850637.2395035266</v>
      </c>
      <c r="F242" s="66">
        <f t="shared" si="20"/>
        <v>487709.80138705659</v>
      </c>
      <c r="G242" s="67">
        <f t="shared" si="22"/>
        <v>145940211.66566512</v>
      </c>
    </row>
    <row r="243" spans="2:7" x14ac:dyDescent="0.25">
      <c r="B243" s="50">
        <v>231</v>
      </c>
      <c r="C243" s="63">
        <f t="shared" si="21"/>
        <v>145940211.66566512</v>
      </c>
      <c r="D243" s="64">
        <f t="shared" si="19"/>
        <v>2338347.0408905833</v>
      </c>
      <c r="E243" s="65">
        <f t="shared" si="23"/>
        <v>1856744.3423938884</v>
      </c>
      <c r="F243" s="66">
        <f t="shared" si="20"/>
        <v>481602.69849669497</v>
      </c>
      <c r="G243" s="67">
        <f t="shared" si="22"/>
        <v>144083467.32327124</v>
      </c>
    </row>
    <row r="244" spans="2:7" x14ac:dyDescent="0.25">
      <c r="B244" s="50">
        <v>232</v>
      </c>
      <c r="C244" s="63">
        <f t="shared" si="21"/>
        <v>144083467.32327124</v>
      </c>
      <c r="D244" s="64">
        <f t="shared" si="19"/>
        <v>2338347.0408905833</v>
      </c>
      <c r="E244" s="65">
        <f t="shared" si="23"/>
        <v>1862871.5987237883</v>
      </c>
      <c r="F244" s="66">
        <f t="shared" si="20"/>
        <v>475475.44216679514</v>
      </c>
      <c r="G244" s="67">
        <f t="shared" si="22"/>
        <v>142220595.72454745</v>
      </c>
    </row>
    <row r="245" spans="2:7" x14ac:dyDescent="0.25">
      <c r="B245" s="50">
        <v>233</v>
      </c>
      <c r="C245" s="63">
        <f t="shared" si="21"/>
        <v>142220595.72454745</v>
      </c>
      <c r="D245" s="64">
        <f t="shared" si="19"/>
        <v>2338347.0408905833</v>
      </c>
      <c r="E245" s="65">
        <f t="shared" si="23"/>
        <v>1869019.0749995767</v>
      </c>
      <c r="F245" s="66">
        <f t="shared" si="20"/>
        <v>469327.96589100664</v>
      </c>
      <c r="G245" s="67">
        <f t="shared" si="22"/>
        <v>140351576.64954787</v>
      </c>
    </row>
    <row r="246" spans="2:7" x14ac:dyDescent="0.25">
      <c r="B246" s="50">
        <v>234</v>
      </c>
      <c r="C246" s="63">
        <f t="shared" si="21"/>
        <v>140351576.64954787</v>
      </c>
      <c r="D246" s="64">
        <f t="shared" si="19"/>
        <v>2338347.0408905833</v>
      </c>
      <c r="E246" s="65">
        <f t="shared" si="23"/>
        <v>1875186.8379470753</v>
      </c>
      <c r="F246" s="66">
        <f t="shared" si="20"/>
        <v>463160.20294350805</v>
      </c>
      <c r="G246" s="67">
        <f t="shared" si="22"/>
        <v>138476389.8116008</v>
      </c>
    </row>
    <row r="247" spans="2:7" x14ac:dyDescent="0.25">
      <c r="B247" s="50">
        <v>235</v>
      </c>
      <c r="C247" s="63">
        <f t="shared" si="21"/>
        <v>138476389.8116008</v>
      </c>
      <c r="D247" s="64">
        <f t="shared" si="19"/>
        <v>2338347.0408905833</v>
      </c>
      <c r="E247" s="65">
        <f t="shared" si="23"/>
        <v>1881374.9545123007</v>
      </c>
      <c r="F247" s="66">
        <f t="shared" si="20"/>
        <v>456972.08637828269</v>
      </c>
      <c r="G247" s="67">
        <f t="shared" si="22"/>
        <v>136595014.85708851</v>
      </c>
    </row>
    <row r="248" spans="2:7" x14ac:dyDescent="0.25">
      <c r="B248" s="50">
        <v>236</v>
      </c>
      <c r="C248" s="63">
        <f t="shared" si="21"/>
        <v>136595014.85708851</v>
      </c>
      <c r="D248" s="64">
        <f t="shared" si="19"/>
        <v>2338347.0408905833</v>
      </c>
      <c r="E248" s="65">
        <f t="shared" si="23"/>
        <v>1887583.4918621911</v>
      </c>
      <c r="F248" s="66">
        <f t="shared" si="20"/>
        <v>450763.54902839212</v>
      </c>
      <c r="G248" s="67">
        <f t="shared" si="22"/>
        <v>134707431.36522633</v>
      </c>
    </row>
    <row r="249" spans="2:7" x14ac:dyDescent="0.25">
      <c r="B249" s="50">
        <v>237</v>
      </c>
      <c r="C249" s="63">
        <f t="shared" si="21"/>
        <v>134707431.36522633</v>
      </c>
      <c r="D249" s="64">
        <f t="shared" si="19"/>
        <v>2338347.0408905833</v>
      </c>
      <c r="E249" s="65">
        <f t="shared" si="23"/>
        <v>1893812.5173853363</v>
      </c>
      <c r="F249" s="66">
        <f t="shared" si="20"/>
        <v>444534.52350524697</v>
      </c>
      <c r="G249" s="67">
        <f t="shared" si="22"/>
        <v>132813618.84784099</v>
      </c>
    </row>
    <row r="250" spans="2:7" x14ac:dyDescent="0.25">
      <c r="B250" s="50">
        <v>238</v>
      </c>
      <c r="C250" s="63">
        <f t="shared" si="21"/>
        <v>132813618.84784099</v>
      </c>
      <c r="D250" s="64">
        <f t="shared" si="19"/>
        <v>2338347.0408905833</v>
      </c>
      <c r="E250" s="65">
        <f t="shared" si="23"/>
        <v>1900062.098692708</v>
      </c>
      <c r="F250" s="66">
        <f t="shared" si="20"/>
        <v>438284.94219787535</v>
      </c>
      <c r="G250" s="67">
        <f t="shared" si="22"/>
        <v>130913556.74914828</v>
      </c>
    </row>
    <row r="251" spans="2:7" x14ac:dyDescent="0.25">
      <c r="B251" s="50">
        <v>239</v>
      </c>
      <c r="C251" s="63">
        <f t="shared" si="21"/>
        <v>130913556.74914828</v>
      </c>
      <c r="D251" s="64">
        <f t="shared" si="19"/>
        <v>2338347.0408905833</v>
      </c>
      <c r="E251" s="65">
        <f t="shared" si="23"/>
        <v>1906332.3036183938</v>
      </c>
      <c r="F251" s="66">
        <f t="shared" si="20"/>
        <v>432014.73727218935</v>
      </c>
      <c r="G251" s="67">
        <f t="shared" si="22"/>
        <v>129007224.44552988</v>
      </c>
    </row>
    <row r="252" spans="2:7" x14ac:dyDescent="0.25">
      <c r="B252" s="50">
        <v>240</v>
      </c>
      <c r="C252" s="63">
        <f t="shared" si="21"/>
        <v>129007224.44552988</v>
      </c>
      <c r="D252" s="64">
        <f t="shared" si="19"/>
        <v>2338347.0408905833</v>
      </c>
      <c r="E252" s="65">
        <f t="shared" si="23"/>
        <v>1912623.2002203346</v>
      </c>
      <c r="F252" s="66">
        <f t="shared" si="20"/>
        <v>425723.84067024867</v>
      </c>
      <c r="G252" s="67">
        <f t="shared" si="22"/>
        <v>127094601.24530955</v>
      </c>
    </row>
    <row r="253" spans="2:7" x14ac:dyDescent="0.25">
      <c r="B253" s="50">
        <v>241</v>
      </c>
      <c r="C253" s="63">
        <f t="shared" si="21"/>
        <v>127094601.24530955</v>
      </c>
      <c r="D253" s="64">
        <f t="shared" si="19"/>
        <v>2338347.0408905833</v>
      </c>
      <c r="E253" s="65">
        <f t="shared" si="23"/>
        <v>1918934.8567810617</v>
      </c>
      <c r="F253" s="66">
        <f t="shared" si="20"/>
        <v>419412.18410952156</v>
      </c>
      <c r="G253" s="67">
        <f t="shared" ref="G253" si="24">C253-E253</f>
        <v>125175666.38852848</v>
      </c>
    </row>
    <row r="254" spans="2:7" x14ac:dyDescent="0.25">
      <c r="B254" s="50">
        <v>242</v>
      </c>
      <c r="C254" s="63">
        <f t="shared" ref="C254:C312" si="25">G253</f>
        <v>125175666.38852848</v>
      </c>
      <c r="D254" s="64">
        <f t="shared" si="19"/>
        <v>2338347.0408905833</v>
      </c>
      <c r="E254" s="65">
        <f t="shared" si="23"/>
        <v>1925267.3418084392</v>
      </c>
      <c r="F254" s="66">
        <f t="shared" si="20"/>
        <v>413079.69908214401</v>
      </c>
      <c r="G254" s="67">
        <f t="shared" ref="G254:G312" si="26">C254-E254</f>
        <v>123250399.04672004</v>
      </c>
    </row>
    <row r="255" spans="2:7" x14ac:dyDescent="0.25">
      <c r="B255" s="50">
        <v>243</v>
      </c>
      <c r="C255" s="63">
        <f t="shared" si="25"/>
        <v>123250399.04672004</v>
      </c>
      <c r="D255" s="64">
        <f t="shared" si="19"/>
        <v>2338347.0408905833</v>
      </c>
      <c r="E255" s="65">
        <f t="shared" si="23"/>
        <v>1931620.7240364072</v>
      </c>
      <c r="F255" s="66">
        <f t="shared" si="20"/>
        <v>406726.31685417617</v>
      </c>
      <c r="G255" s="67">
        <f t="shared" si="26"/>
        <v>121318778.32268363</v>
      </c>
    </row>
    <row r="256" spans="2:7" x14ac:dyDescent="0.25">
      <c r="B256" s="50">
        <v>244</v>
      </c>
      <c r="C256" s="63">
        <f t="shared" si="25"/>
        <v>121318778.32268363</v>
      </c>
      <c r="D256" s="64">
        <f t="shared" si="19"/>
        <v>2338347.0408905833</v>
      </c>
      <c r="E256" s="65">
        <f t="shared" si="23"/>
        <v>1937995.0724257273</v>
      </c>
      <c r="F256" s="66">
        <f t="shared" si="20"/>
        <v>400351.96846485604</v>
      </c>
      <c r="G256" s="67">
        <f t="shared" si="26"/>
        <v>119380783.25025791</v>
      </c>
    </row>
    <row r="257" spans="2:7" x14ac:dyDescent="0.25">
      <c r="B257" s="50">
        <v>245</v>
      </c>
      <c r="C257" s="63">
        <f t="shared" si="25"/>
        <v>119380783.25025791</v>
      </c>
      <c r="D257" s="64">
        <f t="shared" si="19"/>
        <v>2338347.0408905833</v>
      </c>
      <c r="E257" s="65">
        <f t="shared" si="23"/>
        <v>1944390.4561647321</v>
      </c>
      <c r="F257" s="66">
        <f t="shared" si="20"/>
        <v>393956.58472585113</v>
      </c>
      <c r="G257" s="67">
        <f t="shared" si="26"/>
        <v>117436392.79409318</v>
      </c>
    </row>
    <row r="258" spans="2:7" x14ac:dyDescent="0.25">
      <c r="B258" s="50">
        <v>246</v>
      </c>
      <c r="C258" s="63">
        <f t="shared" si="25"/>
        <v>117436392.79409318</v>
      </c>
      <c r="D258" s="64">
        <f t="shared" ref="D258:D312" si="27">PMT($F$6,120,-$G$192)</f>
        <v>2338347.0408905833</v>
      </c>
      <c r="E258" s="65">
        <f t="shared" si="23"/>
        <v>1950806.9446700758</v>
      </c>
      <c r="F258" s="66">
        <f t="shared" ref="F258:F312" si="28">C258*$F$6</f>
        <v>387540.09622050752</v>
      </c>
      <c r="G258" s="67">
        <f t="shared" si="26"/>
        <v>115485585.8494231</v>
      </c>
    </row>
    <row r="259" spans="2:7" x14ac:dyDescent="0.25">
      <c r="B259" s="50">
        <v>247</v>
      </c>
      <c r="C259" s="63">
        <f t="shared" si="25"/>
        <v>115485585.8494231</v>
      </c>
      <c r="D259" s="64">
        <f t="shared" si="27"/>
        <v>2338347.0408905833</v>
      </c>
      <c r="E259" s="65">
        <f t="shared" si="23"/>
        <v>1957244.607587487</v>
      </c>
      <c r="F259" s="66">
        <f t="shared" si="28"/>
        <v>381102.43330309627</v>
      </c>
      <c r="G259" s="67">
        <f t="shared" si="26"/>
        <v>113528341.24183561</v>
      </c>
    </row>
    <row r="260" spans="2:7" x14ac:dyDescent="0.25">
      <c r="B260" s="50">
        <v>248</v>
      </c>
      <c r="C260" s="63">
        <f t="shared" si="25"/>
        <v>113528341.24183561</v>
      </c>
      <c r="D260" s="64">
        <f t="shared" si="27"/>
        <v>2338347.0408905833</v>
      </c>
      <c r="E260" s="65">
        <f t="shared" si="23"/>
        <v>1963703.5147925257</v>
      </c>
      <c r="F260" s="66">
        <f t="shared" si="28"/>
        <v>374643.52609805757</v>
      </c>
      <c r="G260" s="67">
        <f t="shared" si="26"/>
        <v>111564637.72704308</v>
      </c>
    </row>
    <row r="261" spans="2:7" x14ac:dyDescent="0.25">
      <c r="B261" s="50">
        <v>249</v>
      </c>
      <c r="C261" s="63">
        <f t="shared" si="25"/>
        <v>111564637.72704308</v>
      </c>
      <c r="D261" s="64">
        <f t="shared" si="27"/>
        <v>2338347.0408905833</v>
      </c>
      <c r="E261" s="65">
        <f t="shared" si="23"/>
        <v>1970183.7363913411</v>
      </c>
      <c r="F261" s="66">
        <f t="shared" si="28"/>
        <v>368163.30449924222</v>
      </c>
      <c r="G261" s="67">
        <f t="shared" si="26"/>
        <v>109594453.99065174</v>
      </c>
    </row>
    <row r="262" spans="2:7" x14ac:dyDescent="0.25">
      <c r="B262" s="50">
        <v>250</v>
      </c>
      <c r="C262" s="63">
        <f t="shared" si="25"/>
        <v>109594453.99065174</v>
      </c>
      <c r="D262" s="64">
        <f t="shared" si="27"/>
        <v>2338347.0408905833</v>
      </c>
      <c r="E262" s="65">
        <f t="shared" si="23"/>
        <v>1976685.3427214324</v>
      </c>
      <c r="F262" s="66">
        <f t="shared" si="28"/>
        <v>361661.6981691508</v>
      </c>
      <c r="G262" s="67">
        <f t="shared" si="26"/>
        <v>107617768.64793031</v>
      </c>
    </row>
    <row r="263" spans="2:7" x14ac:dyDescent="0.25">
      <c r="B263" s="50">
        <v>251</v>
      </c>
      <c r="C263" s="63">
        <f t="shared" si="25"/>
        <v>107617768.64793031</v>
      </c>
      <c r="D263" s="64">
        <f t="shared" si="27"/>
        <v>2338347.0408905833</v>
      </c>
      <c r="E263" s="65">
        <f t="shared" si="23"/>
        <v>1983208.4043524133</v>
      </c>
      <c r="F263" s="66">
        <f t="shared" si="28"/>
        <v>355138.63653817005</v>
      </c>
      <c r="G263" s="67">
        <f t="shared" si="26"/>
        <v>105634560.2435779</v>
      </c>
    </row>
    <row r="264" spans="2:7" x14ac:dyDescent="0.25">
      <c r="B264" s="50">
        <v>252</v>
      </c>
      <c r="C264" s="63">
        <f t="shared" si="25"/>
        <v>105634560.2435779</v>
      </c>
      <c r="D264" s="64">
        <f t="shared" si="27"/>
        <v>2338347.0408905833</v>
      </c>
      <c r="E264" s="65">
        <f t="shared" si="23"/>
        <v>1989752.9920867761</v>
      </c>
      <c r="F264" s="66">
        <f t="shared" si="28"/>
        <v>348594.04880380712</v>
      </c>
      <c r="G264" s="67">
        <f t="shared" si="26"/>
        <v>103644807.25149111</v>
      </c>
    </row>
    <row r="265" spans="2:7" x14ac:dyDescent="0.25">
      <c r="B265" s="50">
        <v>253</v>
      </c>
      <c r="C265" s="63">
        <f t="shared" si="25"/>
        <v>103644807.25149111</v>
      </c>
      <c r="D265" s="64">
        <f t="shared" si="27"/>
        <v>2338347.0408905833</v>
      </c>
      <c r="E265" s="65">
        <f t="shared" si="23"/>
        <v>1996319.1769606625</v>
      </c>
      <c r="F265" s="66">
        <f t="shared" si="28"/>
        <v>342027.86392992071</v>
      </c>
      <c r="G265" s="67">
        <f t="shared" si="26"/>
        <v>101648488.07453045</v>
      </c>
    </row>
    <row r="266" spans="2:7" x14ac:dyDescent="0.25">
      <c r="B266" s="50">
        <v>254</v>
      </c>
      <c r="C266" s="63">
        <f t="shared" si="25"/>
        <v>101648488.07453045</v>
      </c>
      <c r="D266" s="64">
        <f t="shared" si="27"/>
        <v>2338347.0408905833</v>
      </c>
      <c r="E266" s="65">
        <f t="shared" si="23"/>
        <v>2002907.0302446326</v>
      </c>
      <c r="F266" s="66">
        <f t="shared" si="28"/>
        <v>335440.01064595056</v>
      </c>
      <c r="G266" s="67">
        <f t="shared" si="26"/>
        <v>99645581.044285819</v>
      </c>
    </row>
    <row r="267" spans="2:7" x14ac:dyDescent="0.25">
      <c r="B267" s="50">
        <v>255</v>
      </c>
      <c r="C267" s="63">
        <f t="shared" si="25"/>
        <v>99645581.044285819</v>
      </c>
      <c r="D267" s="64">
        <f t="shared" si="27"/>
        <v>2338347.0408905833</v>
      </c>
      <c r="E267" s="65">
        <f t="shared" si="23"/>
        <v>2009516.6234444401</v>
      </c>
      <c r="F267" s="66">
        <f t="shared" si="28"/>
        <v>328830.41744614323</v>
      </c>
      <c r="G267" s="67">
        <f t="shared" si="26"/>
        <v>97636064.420841381</v>
      </c>
    </row>
    <row r="268" spans="2:7" x14ac:dyDescent="0.25">
      <c r="B268" s="50">
        <v>256</v>
      </c>
      <c r="C268" s="63">
        <f t="shared" si="25"/>
        <v>97636064.420841381</v>
      </c>
      <c r="D268" s="64">
        <f t="shared" si="27"/>
        <v>2338347.0408905833</v>
      </c>
      <c r="E268" s="65">
        <f t="shared" si="23"/>
        <v>2016148.0283018067</v>
      </c>
      <c r="F268" s="66">
        <f t="shared" si="28"/>
        <v>322199.01258877659</v>
      </c>
      <c r="G268" s="67">
        <f t="shared" si="26"/>
        <v>95619916.392539576</v>
      </c>
    </row>
    <row r="269" spans="2:7" x14ac:dyDescent="0.25">
      <c r="B269" s="50">
        <v>257</v>
      </c>
      <c r="C269" s="63">
        <f t="shared" si="25"/>
        <v>95619916.392539576</v>
      </c>
      <c r="D269" s="64">
        <f t="shared" si="27"/>
        <v>2338347.0408905833</v>
      </c>
      <c r="E269" s="65">
        <f t="shared" si="23"/>
        <v>2022801.3167952027</v>
      </c>
      <c r="F269" s="66">
        <f t="shared" si="28"/>
        <v>315545.72409538063</v>
      </c>
      <c r="G269" s="67">
        <f t="shared" si="26"/>
        <v>93597115.075744376</v>
      </c>
    </row>
    <row r="270" spans="2:7" x14ac:dyDescent="0.25">
      <c r="B270" s="50">
        <v>258</v>
      </c>
      <c r="C270" s="63">
        <f t="shared" si="25"/>
        <v>93597115.075744376</v>
      </c>
      <c r="D270" s="64">
        <f t="shared" si="27"/>
        <v>2338347.0408905833</v>
      </c>
      <c r="E270" s="65">
        <f t="shared" ref="E270:E312" si="29">D270-F270</f>
        <v>2029476.5611406269</v>
      </c>
      <c r="F270" s="66">
        <f t="shared" si="28"/>
        <v>308870.47974995646</v>
      </c>
      <c r="G270" s="67">
        <f t="shared" si="26"/>
        <v>91567638.514603749</v>
      </c>
    </row>
    <row r="271" spans="2:7" x14ac:dyDescent="0.25">
      <c r="B271" s="50">
        <v>259</v>
      </c>
      <c r="C271" s="63">
        <f t="shared" si="25"/>
        <v>91567638.514603749</v>
      </c>
      <c r="D271" s="64">
        <f t="shared" si="27"/>
        <v>2338347.0408905833</v>
      </c>
      <c r="E271" s="65">
        <f t="shared" si="29"/>
        <v>2036173.8337923908</v>
      </c>
      <c r="F271" s="66">
        <f t="shared" si="28"/>
        <v>302173.20709819242</v>
      </c>
      <c r="G271" s="67">
        <f t="shared" si="26"/>
        <v>89531464.68081136</v>
      </c>
    </row>
    <row r="272" spans="2:7" x14ac:dyDescent="0.25">
      <c r="B272" s="50">
        <v>260</v>
      </c>
      <c r="C272" s="63">
        <f t="shared" si="25"/>
        <v>89531464.68081136</v>
      </c>
      <c r="D272" s="64">
        <f t="shared" si="27"/>
        <v>2338347.0408905833</v>
      </c>
      <c r="E272" s="65">
        <f t="shared" si="29"/>
        <v>2042893.2074439058</v>
      </c>
      <c r="F272" s="66">
        <f t="shared" si="28"/>
        <v>295453.83344667754</v>
      </c>
      <c r="G272" s="67">
        <f t="shared" si="26"/>
        <v>87488571.473367453</v>
      </c>
    </row>
    <row r="273" spans="2:7" x14ac:dyDescent="0.25">
      <c r="B273" s="50">
        <v>261</v>
      </c>
      <c r="C273" s="63">
        <f t="shared" si="25"/>
        <v>87488571.473367453</v>
      </c>
      <c r="D273" s="64">
        <f t="shared" si="27"/>
        <v>2338347.0408905833</v>
      </c>
      <c r="E273" s="65">
        <f t="shared" si="29"/>
        <v>2049634.7550284707</v>
      </c>
      <c r="F273" s="66">
        <f t="shared" si="28"/>
        <v>288712.28586211265</v>
      </c>
      <c r="G273" s="67">
        <f t="shared" si="26"/>
        <v>85438936.718338981</v>
      </c>
    </row>
    <row r="274" spans="2:7" x14ac:dyDescent="0.25">
      <c r="B274" s="50">
        <v>262</v>
      </c>
      <c r="C274" s="63">
        <f t="shared" si="25"/>
        <v>85438936.718338981</v>
      </c>
      <c r="D274" s="64">
        <f t="shared" si="27"/>
        <v>2338347.0408905833</v>
      </c>
      <c r="E274" s="65">
        <f t="shared" si="29"/>
        <v>2056398.5497200647</v>
      </c>
      <c r="F274" s="66">
        <f t="shared" si="28"/>
        <v>281948.49117051868</v>
      </c>
      <c r="G274" s="67">
        <f t="shared" si="26"/>
        <v>83382538.168618917</v>
      </c>
    </row>
    <row r="275" spans="2:7" x14ac:dyDescent="0.25">
      <c r="B275" s="50">
        <v>263</v>
      </c>
      <c r="C275" s="63">
        <f t="shared" si="25"/>
        <v>83382538.168618917</v>
      </c>
      <c r="D275" s="64">
        <f t="shared" si="27"/>
        <v>2338347.0408905833</v>
      </c>
      <c r="E275" s="65">
        <f t="shared" si="29"/>
        <v>2063184.6649341409</v>
      </c>
      <c r="F275" s="66">
        <f t="shared" si="28"/>
        <v>275162.37595644244</v>
      </c>
      <c r="G275" s="67">
        <f t="shared" si="26"/>
        <v>81319353.503684774</v>
      </c>
    </row>
    <row r="276" spans="2:7" x14ac:dyDescent="0.25">
      <c r="B276" s="50">
        <v>264</v>
      </c>
      <c r="C276" s="63">
        <f t="shared" si="25"/>
        <v>81319353.503684774</v>
      </c>
      <c r="D276" s="64">
        <f t="shared" si="27"/>
        <v>2338347.0408905833</v>
      </c>
      <c r="E276" s="65">
        <f t="shared" si="29"/>
        <v>2069993.1743284236</v>
      </c>
      <c r="F276" s="66">
        <f t="shared" si="28"/>
        <v>268353.86656215979</v>
      </c>
      <c r="G276" s="67">
        <f t="shared" si="26"/>
        <v>79249360.329356357</v>
      </c>
    </row>
    <row r="277" spans="2:7" x14ac:dyDescent="0.25">
      <c r="B277" s="50">
        <v>265</v>
      </c>
      <c r="C277" s="63">
        <f t="shared" si="25"/>
        <v>79249360.329356357</v>
      </c>
      <c r="D277" s="64">
        <f t="shared" si="27"/>
        <v>2338347.0408905833</v>
      </c>
      <c r="E277" s="65">
        <f t="shared" si="29"/>
        <v>2076824.1518037072</v>
      </c>
      <c r="F277" s="66">
        <f t="shared" si="28"/>
        <v>261522.88908687601</v>
      </c>
      <c r="G277" s="67">
        <f t="shared" si="26"/>
        <v>77172536.177552655</v>
      </c>
    </row>
    <row r="278" spans="2:7" x14ac:dyDescent="0.25">
      <c r="B278" s="50">
        <v>266</v>
      </c>
      <c r="C278" s="63">
        <f t="shared" si="25"/>
        <v>77172536.177552655</v>
      </c>
      <c r="D278" s="64">
        <f t="shared" si="27"/>
        <v>2338347.0408905833</v>
      </c>
      <c r="E278" s="65">
        <f t="shared" si="29"/>
        <v>2083677.6715046596</v>
      </c>
      <c r="F278" s="66">
        <f t="shared" si="28"/>
        <v>254669.36938592378</v>
      </c>
      <c r="G278" s="67">
        <f t="shared" si="26"/>
        <v>75088858.506047994</v>
      </c>
    </row>
    <row r="279" spans="2:7" x14ac:dyDescent="0.25">
      <c r="B279" s="50">
        <v>267</v>
      </c>
      <c r="C279" s="63">
        <f t="shared" si="25"/>
        <v>75088858.506047994</v>
      </c>
      <c r="D279" s="64">
        <f t="shared" si="27"/>
        <v>2338347.0408905833</v>
      </c>
      <c r="E279" s="65">
        <f t="shared" si="29"/>
        <v>2090553.8078206249</v>
      </c>
      <c r="F279" s="66">
        <f t="shared" si="28"/>
        <v>247793.2330699584</v>
      </c>
      <c r="G279" s="67">
        <f t="shared" si="26"/>
        <v>72998304.698227376</v>
      </c>
    </row>
    <row r="280" spans="2:7" x14ac:dyDescent="0.25">
      <c r="B280" s="50">
        <v>268</v>
      </c>
      <c r="C280" s="63">
        <f t="shared" si="25"/>
        <v>72998304.698227376</v>
      </c>
      <c r="D280" s="64">
        <f t="shared" si="27"/>
        <v>2338347.0408905833</v>
      </c>
      <c r="E280" s="65">
        <f t="shared" si="29"/>
        <v>2097452.635386433</v>
      </c>
      <c r="F280" s="66">
        <f t="shared" si="28"/>
        <v>240894.40550415037</v>
      </c>
      <c r="G280" s="67">
        <f t="shared" si="26"/>
        <v>70900852.062840939</v>
      </c>
    </row>
    <row r="281" spans="2:7" x14ac:dyDescent="0.25">
      <c r="B281" s="50">
        <v>269</v>
      </c>
      <c r="C281" s="63">
        <f t="shared" si="25"/>
        <v>70900852.062840939</v>
      </c>
      <c r="D281" s="64">
        <f t="shared" si="27"/>
        <v>2338347.0408905833</v>
      </c>
      <c r="E281" s="65">
        <f t="shared" si="29"/>
        <v>2104374.2290832084</v>
      </c>
      <c r="F281" s="66">
        <f t="shared" si="28"/>
        <v>233972.81180737514</v>
      </c>
      <c r="G281" s="67">
        <f t="shared" si="26"/>
        <v>68796477.833757728</v>
      </c>
    </row>
    <row r="282" spans="2:7" x14ac:dyDescent="0.25">
      <c r="B282" s="50">
        <v>270</v>
      </c>
      <c r="C282" s="63">
        <f t="shared" si="25"/>
        <v>68796477.833757728</v>
      </c>
      <c r="D282" s="64">
        <f t="shared" si="27"/>
        <v>2338347.0408905833</v>
      </c>
      <c r="E282" s="65">
        <f t="shared" si="29"/>
        <v>2111318.6640391829</v>
      </c>
      <c r="F282" s="66">
        <f t="shared" si="28"/>
        <v>227028.37685140054</v>
      </c>
      <c r="G282" s="67">
        <f t="shared" si="26"/>
        <v>66685159.169718549</v>
      </c>
    </row>
    <row r="283" spans="2:7" x14ac:dyDescent="0.25">
      <c r="B283" s="50">
        <v>271</v>
      </c>
      <c r="C283" s="63">
        <f t="shared" si="25"/>
        <v>66685159.169718549</v>
      </c>
      <c r="D283" s="64">
        <f t="shared" si="27"/>
        <v>2338347.0408905833</v>
      </c>
      <c r="E283" s="65">
        <f t="shared" si="29"/>
        <v>2118286.015630512</v>
      </c>
      <c r="F283" s="66">
        <f t="shared" si="28"/>
        <v>220061.02526007124</v>
      </c>
      <c r="G283" s="67">
        <f t="shared" si="26"/>
        <v>64566873.154088035</v>
      </c>
    </row>
    <row r="284" spans="2:7" x14ac:dyDescent="0.25">
      <c r="B284" s="50">
        <v>272</v>
      </c>
      <c r="C284" s="63">
        <f t="shared" si="25"/>
        <v>64566873.154088035</v>
      </c>
      <c r="D284" s="64">
        <f t="shared" si="27"/>
        <v>2338347.0408905833</v>
      </c>
      <c r="E284" s="65">
        <f t="shared" si="29"/>
        <v>2125276.3594820928</v>
      </c>
      <c r="F284" s="66">
        <f t="shared" si="28"/>
        <v>213070.68140849055</v>
      </c>
      <c r="G284" s="67">
        <f t="shared" si="26"/>
        <v>62441596.794605941</v>
      </c>
    </row>
    <row r="285" spans="2:7" x14ac:dyDescent="0.25">
      <c r="B285" s="50">
        <v>273</v>
      </c>
      <c r="C285" s="63">
        <f t="shared" si="25"/>
        <v>62441596.794605941</v>
      </c>
      <c r="D285" s="64">
        <f t="shared" si="27"/>
        <v>2338347.0408905833</v>
      </c>
      <c r="E285" s="65">
        <f t="shared" si="29"/>
        <v>2132289.7714683837</v>
      </c>
      <c r="F285" s="66">
        <f t="shared" si="28"/>
        <v>206057.26942219964</v>
      </c>
      <c r="G285" s="67">
        <f t="shared" si="26"/>
        <v>60309307.023137555</v>
      </c>
    </row>
    <row r="286" spans="2:7" x14ac:dyDescent="0.25">
      <c r="B286" s="50">
        <v>274</v>
      </c>
      <c r="C286" s="63">
        <f t="shared" si="25"/>
        <v>60309307.023137555</v>
      </c>
      <c r="D286" s="64">
        <f t="shared" si="27"/>
        <v>2338347.0408905833</v>
      </c>
      <c r="E286" s="65">
        <f t="shared" si="29"/>
        <v>2139326.3277142295</v>
      </c>
      <c r="F286" s="66">
        <f t="shared" si="28"/>
        <v>199020.71317635395</v>
      </c>
      <c r="G286" s="67">
        <f t="shared" si="26"/>
        <v>58169980.695423327</v>
      </c>
    </row>
    <row r="287" spans="2:7" x14ac:dyDescent="0.25">
      <c r="B287" s="50">
        <v>275</v>
      </c>
      <c r="C287" s="63">
        <f t="shared" si="25"/>
        <v>58169980.695423327</v>
      </c>
      <c r="D287" s="64">
        <f t="shared" si="27"/>
        <v>2338347.0408905833</v>
      </c>
      <c r="E287" s="65">
        <f t="shared" si="29"/>
        <v>2146386.1045956863</v>
      </c>
      <c r="F287" s="66">
        <f t="shared" si="28"/>
        <v>191960.93629489699</v>
      </c>
      <c r="G287" s="67">
        <f t="shared" si="26"/>
        <v>56023594.590827644</v>
      </c>
    </row>
    <row r="288" spans="2:7" x14ac:dyDescent="0.25">
      <c r="B288" s="50">
        <v>276</v>
      </c>
      <c r="C288" s="63">
        <f t="shared" si="25"/>
        <v>56023594.590827644</v>
      </c>
      <c r="D288" s="64">
        <f t="shared" si="27"/>
        <v>2338347.0408905833</v>
      </c>
      <c r="E288" s="65">
        <f t="shared" si="29"/>
        <v>2153469.178740852</v>
      </c>
      <c r="F288" s="66">
        <f t="shared" si="28"/>
        <v>184877.86214973126</v>
      </c>
      <c r="G288" s="67">
        <f t="shared" si="26"/>
        <v>53870125.412086792</v>
      </c>
    </row>
    <row r="289" spans="2:7" x14ac:dyDescent="0.25">
      <c r="B289" s="50">
        <v>277</v>
      </c>
      <c r="C289" s="63">
        <f t="shared" si="25"/>
        <v>53870125.412086792</v>
      </c>
      <c r="D289" s="64">
        <f t="shared" si="27"/>
        <v>2338347.0408905833</v>
      </c>
      <c r="E289" s="65">
        <f t="shared" si="29"/>
        <v>2160575.6270306967</v>
      </c>
      <c r="F289" s="66">
        <f t="shared" si="28"/>
        <v>177771.41385988644</v>
      </c>
      <c r="G289" s="67">
        <f t="shared" si="26"/>
        <v>51709549.785056099</v>
      </c>
    </row>
    <row r="290" spans="2:7" x14ac:dyDescent="0.25">
      <c r="B290" s="50">
        <v>278</v>
      </c>
      <c r="C290" s="63">
        <f t="shared" si="25"/>
        <v>51709549.785056099</v>
      </c>
      <c r="D290" s="64">
        <f t="shared" si="27"/>
        <v>2338347.0408905833</v>
      </c>
      <c r="E290" s="65">
        <f t="shared" si="29"/>
        <v>2167705.526599898</v>
      </c>
      <c r="F290" s="66">
        <f t="shared" si="28"/>
        <v>170641.51429068515</v>
      </c>
      <c r="G290" s="67">
        <f t="shared" si="26"/>
        <v>49541844.2584562</v>
      </c>
    </row>
    <row r="291" spans="2:7" x14ac:dyDescent="0.25">
      <c r="B291" s="50">
        <v>279</v>
      </c>
      <c r="C291" s="63">
        <f t="shared" si="25"/>
        <v>49541844.2584562</v>
      </c>
      <c r="D291" s="64">
        <f t="shared" si="27"/>
        <v>2338347.0408905833</v>
      </c>
      <c r="E291" s="65">
        <f t="shared" si="29"/>
        <v>2174858.954837678</v>
      </c>
      <c r="F291" s="66">
        <f t="shared" si="28"/>
        <v>163488.08605290548</v>
      </c>
      <c r="G291" s="67">
        <f t="shared" si="26"/>
        <v>47366985.30361852</v>
      </c>
    </row>
    <row r="292" spans="2:7" x14ac:dyDescent="0.25">
      <c r="B292" s="50">
        <v>280</v>
      </c>
      <c r="C292" s="63">
        <f t="shared" si="25"/>
        <v>47366985.30361852</v>
      </c>
      <c r="D292" s="64">
        <f t="shared" si="27"/>
        <v>2338347.0408905833</v>
      </c>
      <c r="E292" s="65">
        <f t="shared" si="29"/>
        <v>2182035.9893886424</v>
      </c>
      <c r="F292" s="66">
        <f t="shared" si="28"/>
        <v>156311.05150194114</v>
      </c>
      <c r="G292" s="67">
        <f t="shared" si="26"/>
        <v>45184949.314229876</v>
      </c>
    </row>
    <row r="293" spans="2:7" x14ac:dyDescent="0.25">
      <c r="B293" s="50">
        <v>281</v>
      </c>
      <c r="C293" s="63">
        <f t="shared" si="25"/>
        <v>45184949.314229876</v>
      </c>
      <c r="D293" s="64">
        <f t="shared" si="27"/>
        <v>2338347.0408905833</v>
      </c>
      <c r="E293" s="65">
        <f t="shared" si="29"/>
        <v>2189236.7081536246</v>
      </c>
      <c r="F293" s="66">
        <f t="shared" si="28"/>
        <v>149110.3327369586</v>
      </c>
      <c r="G293" s="67">
        <f t="shared" si="26"/>
        <v>42995712.606076248</v>
      </c>
    </row>
    <row r="294" spans="2:7" x14ac:dyDescent="0.25">
      <c r="B294" s="50">
        <v>282</v>
      </c>
      <c r="C294" s="63">
        <f t="shared" si="25"/>
        <v>42995712.606076248</v>
      </c>
      <c r="D294" s="64">
        <f t="shared" si="27"/>
        <v>2338347.0408905833</v>
      </c>
      <c r="E294" s="65">
        <f t="shared" si="29"/>
        <v>2196461.1892905319</v>
      </c>
      <c r="F294" s="66">
        <f t="shared" si="28"/>
        <v>141885.85160005162</v>
      </c>
      <c r="G294" s="67">
        <f t="shared" si="26"/>
        <v>40799251.416785717</v>
      </c>
    </row>
    <row r="295" spans="2:7" x14ac:dyDescent="0.25">
      <c r="B295" s="50">
        <v>283</v>
      </c>
      <c r="C295" s="63">
        <f t="shared" si="25"/>
        <v>40799251.416785717</v>
      </c>
      <c r="D295" s="64">
        <f t="shared" si="27"/>
        <v>2338347.0408905833</v>
      </c>
      <c r="E295" s="65">
        <f t="shared" si="29"/>
        <v>2203709.5112151904</v>
      </c>
      <c r="F295" s="66">
        <f t="shared" si="28"/>
        <v>134637.52967539287</v>
      </c>
      <c r="G295" s="67">
        <f t="shared" si="26"/>
        <v>38595541.905570529</v>
      </c>
    </row>
    <row r="296" spans="2:7" x14ac:dyDescent="0.25">
      <c r="B296" s="50">
        <v>284</v>
      </c>
      <c r="C296" s="63">
        <f t="shared" si="25"/>
        <v>38595541.905570529</v>
      </c>
      <c r="D296" s="64">
        <f t="shared" si="27"/>
        <v>2338347.0408905833</v>
      </c>
      <c r="E296" s="65">
        <f t="shared" si="29"/>
        <v>2210981.7526022005</v>
      </c>
      <c r="F296" s="66">
        <f t="shared" si="28"/>
        <v>127365.28828838277</v>
      </c>
      <c r="G296" s="67">
        <f t="shared" si="26"/>
        <v>36384560.152968332</v>
      </c>
    </row>
    <row r="297" spans="2:7" x14ac:dyDescent="0.25">
      <c r="B297" s="50">
        <v>285</v>
      </c>
      <c r="C297" s="63">
        <f t="shared" si="25"/>
        <v>36384560.152968332</v>
      </c>
      <c r="D297" s="64">
        <f t="shared" si="27"/>
        <v>2338347.0408905833</v>
      </c>
      <c r="E297" s="65">
        <f t="shared" si="29"/>
        <v>2218277.9923857879</v>
      </c>
      <c r="F297" s="66">
        <f t="shared" si="28"/>
        <v>120069.04850479552</v>
      </c>
      <c r="G297" s="67">
        <f t="shared" si="26"/>
        <v>34166282.160582542</v>
      </c>
    </row>
    <row r="298" spans="2:7" x14ac:dyDescent="0.25">
      <c r="B298" s="50">
        <v>286</v>
      </c>
      <c r="C298" s="63">
        <f t="shared" si="25"/>
        <v>34166282.160582542</v>
      </c>
      <c r="D298" s="64">
        <f t="shared" si="27"/>
        <v>2338347.0408905833</v>
      </c>
      <c r="E298" s="65">
        <f t="shared" si="29"/>
        <v>2225598.3097606609</v>
      </c>
      <c r="F298" s="66">
        <f t="shared" si="28"/>
        <v>112748.73112992241</v>
      </c>
      <c r="G298" s="67">
        <f t="shared" si="26"/>
        <v>31940683.850821882</v>
      </c>
    </row>
    <row r="299" spans="2:7" x14ac:dyDescent="0.25">
      <c r="B299" s="50">
        <v>287</v>
      </c>
      <c r="C299" s="63">
        <f t="shared" si="25"/>
        <v>31940683.850821882</v>
      </c>
      <c r="D299" s="64">
        <f t="shared" si="27"/>
        <v>2338347.0408905833</v>
      </c>
      <c r="E299" s="65">
        <f t="shared" si="29"/>
        <v>2232942.7841828712</v>
      </c>
      <c r="F299" s="66">
        <f t="shared" si="28"/>
        <v>105404.25670771222</v>
      </c>
      <c r="G299" s="67">
        <f t="shared" si="26"/>
        <v>29707741.06663901</v>
      </c>
    </row>
    <row r="300" spans="2:7" x14ac:dyDescent="0.25">
      <c r="B300" s="50">
        <v>288</v>
      </c>
      <c r="C300" s="63">
        <f t="shared" si="25"/>
        <v>29707741.06663901</v>
      </c>
      <c r="D300" s="64">
        <f t="shared" si="27"/>
        <v>2338347.0408905833</v>
      </c>
      <c r="E300" s="65">
        <f t="shared" si="29"/>
        <v>2240311.4953706744</v>
      </c>
      <c r="F300" s="66">
        <f t="shared" si="28"/>
        <v>98035.545519908745</v>
      </c>
      <c r="G300" s="67">
        <f t="shared" si="26"/>
        <v>27467429.571268335</v>
      </c>
    </row>
    <row r="301" spans="2:7" x14ac:dyDescent="0.25">
      <c r="B301" s="50">
        <v>289</v>
      </c>
      <c r="C301" s="63">
        <f t="shared" si="25"/>
        <v>27467429.571268335</v>
      </c>
      <c r="D301" s="64">
        <f t="shared" si="27"/>
        <v>2338347.0408905833</v>
      </c>
      <c r="E301" s="65">
        <f t="shared" si="29"/>
        <v>2247704.5233053979</v>
      </c>
      <c r="F301" s="66">
        <f t="shared" si="28"/>
        <v>90642.517585185517</v>
      </c>
      <c r="G301" s="67">
        <f t="shared" si="26"/>
        <v>25219725.047962938</v>
      </c>
    </row>
    <row r="302" spans="2:7" x14ac:dyDescent="0.25">
      <c r="B302" s="50">
        <v>290</v>
      </c>
      <c r="C302" s="63">
        <f t="shared" si="25"/>
        <v>25219725.047962938</v>
      </c>
      <c r="D302" s="64">
        <f t="shared" si="27"/>
        <v>2338347.0408905833</v>
      </c>
      <c r="E302" s="65">
        <f t="shared" si="29"/>
        <v>2255121.9482323057</v>
      </c>
      <c r="F302" s="66">
        <f t="shared" si="28"/>
        <v>83225.092658277703</v>
      </c>
      <c r="G302" s="67">
        <f t="shared" si="26"/>
        <v>22964603.099730633</v>
      </c>
    </row>
    <row r="303" spans="2:7" x14ac:dyDescent="0.25">
      <c r="B303" s="50">
        <v>291</v>
      </c>
      <c r="C303" s="63">
        <f t="shared" si="25"/>
        <v>22964603.099730633</v>
      </c>
      <c r="D303" s="64">
        <f t="shared" si="27"/>
        <v>2338347.0408905833</v>
      </c>
      <c r="E303" s="65">
        <f t="shared" si="29"/>
        <v>2262563.8506614724</v>
      </c>
      <c r="F303" s="66">
        <f t="shared" si="28"/>
        <v>75783.190229111104</v>
      </c>
      <c r="G303" s="67">
        <f t="shared" si="26"/>
        <v>20702039.249069162</v>
      </c>
    </row>
    <row r="304" spans="2:7" x14ac:dyDescent="0.25">
      <c r="B304" s="50">
        <v>292</v>
      </c>
      <c r="C304" s="63">
        <f t="shared" si="25"/>
        <v>20702039.249069162</v>
      </c>
      <c r="D304" s="64">
        <f t="shared" si="27"/>
        <v>2338347.0408905833</v>
      </c>
      <c r="E304" s="65">
        <f t="shared" si="29"/>
        <v>2270030.3113686549</v>
      </c>
      <c r="F304" s="66">
        <f t="shared" si="28"/>
        <v>68316.729521928239</v>
      </c>
      <c r="G304" s="67">
        <f t="shared" si="26"/>
        <v>18432008.937700506</v>
      </c>
    </row>
    <row r="305" spans="2:7" x14ac:dyDescent="0.25">
      <c r="B305" s="50">
        <v>293</v>
      </c>
      <c r="C305" s="63">
        <f t="shared" si="25"/>
        <v>18432008.937700506</v>
      </c>
      <c r="D305" s="64">
        <f t="shared" si="27"/>
        <v>2338347.0408905833</v>
      </c>
      <c r="E305" s="65">
        <f t="shared" si="29"/>
        <v>2277521.4113961714</v>
      </c>
      <c r="F305" s="66">
        <f t="shared" si="28"/>
        <v>60825.629494411682</v>
      </c>
      <c r="G305" s="67">
        <f t="shared" si="26"/>
        <v>16154487.526304334</v>
      </c>
    </row>
    <row r="306" spans="2:7" x14ac:dyDescent="0.25">
      <c r="B306" s="50">
        <v>294</v>
      </c>
      <c r="C306" s="63">
        <f t="shared" si="25"/>
        <v>16154487.526304334</v>
      </c>
      <c r="D306" s="64">
        <f t="shared" si="27"/>
        <v>2338347.0408905833</v>
      </c>
      <c r="E306" s="65">
        <f t="shared" si="29"/>
        <v>2285037.2320537791</v>
      </c>
      <c r="F306" s="66">
        <f t="shared" si="28"/>
        <v>53309.80883680431</v>
      </c>
      <c r="G306" s="67">
        <f t="shared" si="26"/>
        <v>13869450.294250555</v>
      </c>
    </row>
    <row r="307" spans="2:7" x14ac:dyDescent="0.25">
      <c r="B307" s="50">
        <v>295</v>
      </c>
      <c r="C307" s="63">
        <f t="shared" si="25"/>
        <v>13869450.294250555</v>
      </c>
      <c r="D307" s="64">
        <f t="shared" si="27"/>
        <v>2338347.0408905833</v>
      </c>
      <c r="E307" s="65">
        <f t="shared" si="29"/>
        <v>2292577.8549195565</v>
      </c>
      <c r="F307" s="66">
        <f t="shared" si="28"/>
        <v>45769.18597102684</v>
      </c>
      <c r="G307" s="67">
        <f t="shared" si="26"/>
        <v>11576872.439330999</v>
      </c>
    </row>
    <row r="308" spans="2:7" x14ac:dyDescent="0.25">
      <c r="B308" s="50">
        <v>296</v>
      </c>
      <c r="C308" s="63">
        <f t="shared" si="25"/>
        <v>11576872.439330999</v>
      </c>
      <c r="D308" s="64">
        <f t="shared" si="27"/>
        <v>2338347.0408905833</v>
      </c>
      <c r="E308" s="65">
        <f t="shared" si="29"/>
        <v>2300143.3618407911</v>
      </c>
      <c r="F308" s="66">
        <f t="shared" si="28"/>
        <v>38203.679049792299</v>
      </c>
      <c r="G308" s="67">
        <f t="shared" si="26"/>
        <v>9276729.0774902068</v>
      </c>
    </row>
    <row r="309" spans="2:7" x14ac:dyDescent="0.25">
      <c r="B309" s="50">
        <v>297</v>
      </c>
      <c r="C309" s="63">
        <f t="shared" si="25"/>
        <v>9276729.0774902068</v>
      </c>
      <c r="D309" s="64">
        <f t="shared" si="27"/>
        <v>2338347.0408905833</v>
      </c>
      <c r="E309" s="65">
        <f t="shared" si="29"/>
        <v>2307733.8349348656</v>
      </c>
      <c r="F309" s="66">
        <f t="shared" si="28"/>
        <v>30613.205955717687</v>
      </c>
      <c r="G309" s="67">
        <f t="shared" si="26"/>
        <v>6968995.2425553408</v>
      </c>
    </row>
    <row r="310" spans="2:7" x14ac:dyDescent="0.25">
      <c r="B310" s="50">
        <v>298</v>
      </c>
      <c r="C310" s="63">
        <f t="shared" si="25"/>
        <v>6968995.2425553408</v>
      </c>
      <c r="D310" s="64">
        <f t="shared" si="27"/>
        <v>2338347.0408905833</v>
      </c>
      <c r="E310" s="65">
        <f t="shared" si="29"/>
        <v>2315349.3565901509</v>
      </c>
      <c r="F310" s="66">
        <f t="shared" si="28"/>
        <v>22997.684300432626</v>
      </c>
      <c r="G310" s="67">
        <f t="shared" si="26"/>
        <v>4653645.8859651899</v>
      </c>
    </row>
    <row r="311" spans="2:7" x14ac:dyDescent="0.25">
      <c r="B311" s="50">
        <v>299</v>
      </c>
      <c r="C311" s="63">
        <f t="shared" si="25"/>
        <v>4653645.8859651899</v>
      </c>
      <c r="D311" s="64">
        <f t="shared" si="27"/>
        <v>2338347.0408905833</v>
      </c>
      <c r="E311" s="65">
        <f t="shared" si="29"/>
        <v>2322990.0094668982</v>
      </c>
      <c r="F311" s="66">
        <f t="shared" si="28"/>
        <v>15357.031423685128</v>
      </c>
      <c r="G311" s="67">
        <f t="shared" si="26"/>
        <v>2330655.8764982917</v>
      </c>
    </row>
    <row r="312" spans="2:7" x14ac:dyDescent="0.25">
      <c r="B312" s="50">
        <v>300</v>
      </c>
      <c r="C312" s="63">
        <f t="shared" si="25"/>
        <v>2330655.8764982917</v>
      </c>
      <c r="D312" s="64">
        <f t="shared" si="27"/>
        <v>2338347.0408905833</v>
      </c>
      <c r="E312" s="65">
        <f t="shared" si="29"/>
        <v>2330655.876498139</v>
      </c>
      <c r="F312" s="66">
        <f t="shared" si="28"/>
        <v>7691.1643924443633</v>
      </c>
      <c r="G312" s="67">
        <f t="shared" si="26"/>
        <v>1.5273690223693848E-7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05D1-5F0C-4C86-9109-5A7D013E5A0C}">
  <dimension ref="C3:F36"/>
  <sheetViews>
    <sheetView topLeftCell="A2" workbookViewId="0">
      <selection activeCell="G40" sqref="G40"/>
    </sheetView>
  </sheetViews>
  <sheetFormatPr defaultRowHeight="15" x14ac:dyDescent="0.25"/>
  <cols>
    <col min="3" max="3" width="38.7109375" customWidth="1"/>
    <col min="4" max="4" width="14.85546875" bestFit="1" customWidth="1"/>
    <col min="5" max="5" width="18.42578125" customWidth="1"/>
    <col min="6" max="6" width="19.5703125" customWidth="1"/>
  </cols>
  <sheetData>
    <row r="3" spans="3:6" x14ac:dyDescent="0.25">
      <c r="C3" s="30" t="s">
        <v>70</v>
      </c>
      <c r="D3" s="30"/>
    </row>
    <row r="4" spans="3:6" x14ac:dyDescent="0.25">
      <c r="C4" s="30"/>
      <c r="D4" s="30"/>
    </row>
    <row r="5" spans="3:6" x14ac:dyDescent="0.25">
      <c r="C5" s="30" t="s">
        <v>20</v>
      </c>
      <c r="D5" s="48">
        <f>' Cost Basis of The Wind Farm'!E25</f>
        <v>659462471.31849098</v>
      </c>
    </row>
    <row r="6" spans="3:6" x14ac:dyDescent="0.25">
      <c r="C6" s="30" t="s">
        <v>110</v>
      </c>
      <c r="D6" s="48">
        <f>'Equivalent&amp;PerU Costs '!G6</f>
        <v>99754965.582189232</v>
      </c>
    </row>
    <row r="7" spans="3:6" x14ac:dyDescent="0.25">
      <c r="C7" s="30" t="s">
        <v>72</v>
      </c>
      <c r="D7" s="49">
        <v>25</v>
      </c>
    </row>
    <row r="8" spans="3:6" x14ac:dyDescent="0.25">
      <c r="C8" s="30" t="s">
        <v>109</v>
      </c>
      <c r="D8" s="48">
        <f>(D5-D6)/D7</f>
        <v>22388300.22945207</v>
      </c>
    </row>
    <row r="11" spans="3:6" x14ac:dyDescent="0.25">
      <c r="C11" s="39" t="s">
        <v>73</v>
      </c>
      <c r="D11" s="50" t="s">
        <v>74</v>
      </c>
      <c r="E11" s="52" t="s">
        <v>69</v>
      </c>
      <c r="F11" s="29" t="s">
        <v>75</v>
      </c>
    </row>
    <row r="12" spans="3:6" x14ac:dyDescent="0.25">
      <c r="C12" s="39">
        <v>1</v>
      </c>
      <c r="D12" s="51">
        <f>D5</f>
        <v>659462471.31849098</v>
      </c>
      <c r="E12" s="53">
        <f>$D$8</f>
        <v>22388300.22945207</v>
      </c>
      <c r="F12" s="54">
        <f>D12-E12</f>
        <v>637074171.08903897</v>
      </c>
    </row>
    <row r="13" spans="3:6" x14ac:dyDescent="0.25">
      <c r="C13" s="39">
        <v>2</v>
      </c>
      <c r="D13" s="51">
        <f>F12</f>
        <v>637074171.08903897</v>
      </c>
      <c r="E13" s="53">
        <f t="shared" ref="E13:E36" si="0">$D$8</f>
        <v>22388300.22945207</v>
      </c>
      <c r="F13" s="54">
        <f>D13-E13</f>
        <v>614685870.85958695</v>
      </c>
    </row>
    <row r="14" spans="3:6" x14ac:dyDescent="0.25">
      <c r="C14" s="39">
        <v>3</v>
      </c>
      <c r="D14" s="51">
        <f t="shared" ref="D14:D36" si="1">F13</f>
        <v>614685870.85958695</v>
      </c>
      <c r="E14" s="53">
        <f t="shared" si="0"/>
        <v>22388300.22945207</v>
      </c>
      <c r="F14" s="54">
        <f t="shared" ref="F14:F36" si="2">D14-E14</f>
        <v>592297570.63013494</v>
      </c>
    </row>
    <row r="15" spans="3:6" x14ac:dyDescent="0.25">
      <c r="C15" s="39">
        <v>4</v>
      </c>
      <c r="D15" s="51">
        <f t="shared" si="1"/>
        <v>592297570.63013494</v>
      </c>
      <c r="E15" s="53">
        <f t="shared" si="0"/>
        <v>22388300.22945207</v>
      </c>
      <c r="F15" s="54">
        <f t="shared" si="2"/>
        <v>569909270.40068293</v>
      </c>
    </row>
    <row r="16" spans="3:6" x14ac:dyDescent="0.25">
      <c r="C16" s="39">
        <v>5</v>
      </c>
      <c r="D16" s="51">
        <f t="shared" si="1"/>
        <v>569909270.40068293</v>
      </c>
      <c r="E16" s="53">
        <f t="shared" si="0"/>
        <v>22388300.22945207</v>
      </c>
      <c r="F16" s="54">
        <f t="shared" si="2"/>
        <v>547520970.17123091</v>
      </c>
    </row>
    <row r="17" spans="3:6" x14ac:dyDescent="0.25">
      <c r="C17" s="39">
        <v>6</v>
      </c>
      <c r="D17" s="51">
        <f t="shared" si="1"/>
        <v>547520970.17123091</v>
      </c>
      <c r="E17" s="53">
        <f t="shared" si="0"/>
        <v>22388300.22945207</v>
      </c>
      <c r="F17" s="54">
        <f t="shared" si="2"/>
        <v>525132669.94177884</v>
      </c>
    </row>
    <row r="18" spans="3:6" x14ac:dyDescent="0.25">
      <c r="C18" s="39">
        <v>7</v>
      </c>
      <c r="D18" s="51">
        <f t="shared" si="1"/>
        <v>525132669.94177884</v>
      </c>
      <c r="E18" s="53">
        <f t="shared" si="0"/>
        <v>22388300.22945207</v>
      </c>
      <c r="F18" s="54">
        <f t="shared" si="2"/>
        <v>502744369.71232677</v>
      </c>
    </row>
    <row r="19" spans="3:6" x14ac:dyDescent="0.25">
      <c r="C19" s="39">
        <v>8</v>
      </c>
      <c r="D19" s="51">
        <f t="shared" si="1"/>
        <v>502744369.71232677</v>
      </c>
      <c r="E19" s="53">
        <f t="shared" si="0"/>
        <v>22388300.22945207</v>
      </c>
      <c r="F19" s="54">
        <f t="shared" si="2"/>
        <v>480356069.48287469</v>
      </c>
    </row>
    <row r="20" spans="3:6" x14ac:dyDescent="0.25">
      <c r="C20" s="39">
        <v>9</v>
      </c>
      <c r="D20" s="51">
        <f t="shared" si="1"/>
        <v>480356069.48287469</v>
      </c>
      <c r="E20" s="53">
        <f t="shared" si="0"/>
        <v>22388300.22945207</v>
      </c>
      <c r="F20" s="54">
        <f t="shared" si="2"/>
        <v>457967769.25342262</v>
      </c>
    </row>
    <row r="21" spans="3:6" x14ac:dyDescent="0.25">
      <c r="C21" s="39">
        <v>10</v>
      </c>
      <c r="D21" s="51">
        <f t="shared" si="1"/>
        <v>457967769.25342262</v>
      </c>
      <c r="E21" s="53">
        <f t="shared" si="0"/>
        <v>22388300.22945207</v>
      </c>
      <c r="F21" s="54">
        <f t="shared" si="2"/>
        <v>435579469.02397054</v>
      </c>
    </row>
    <row r="22" spans="3:6" x14ac:dyDescent="0.25">
      <c r="C22" s="39">
        <v>11</v>
      </c>
      <c r="D22" s="51">
        <f t="shared" si="1"/>
        <v>435579469.02397054</v>
      </c>
      <c r="E22" s="53">
        <f t="shared" si="0"/>
        <v>22388300.22945207</v>
      </c>
      <c r="F22" s="54">
        <f t="shared" si="2"/>
        <v>413191168.79451847</v>
      </c>
    </row>
    <row r="23" spans="3:6" x14ac:dyDescent="0.25">
      <c r="C23" s="39">
        <v>12</v>
      </c>
      <c r="D23" s="51">
        <f t="shared" si="1"/>
        <v>413191168.79451847</v>
      </c>
      <c r="E23" s="53">
        <f t="shared" si="0"/>
        <v>22388300.22945207</v>
      </c>
      <c r="F23" s="54">
        <f t="shared" si="2"/>
        <v>390802868.5650664</v>
      </c>
    </row>
    <row r="24" spans="3:6" x14ac:dyDescent="0.25">
      <c r="C24" s="39">
        <v>13</v>
      </c>
      <c r="D24" s="51">
        <f t="shared" si="1"/>
        <v>390802868.5650664</v>
      </c>
      <c r="E24" s="53">
        <f t="shared" si="0"/>
        <v>22388300.22945207</v>
      </c>
      <c r="F24" s="54">
        <f t="shared" si="2"/>
        <v>368414568.33561432</v>
      </c>
    </row>
    <row r="25" spans="3:6" x14ac:dyDescent="0.25">
      <c r="C25" s="39">
        <v>14</v>
      </c>
      <c r="D25" s="51">
        <f t="shared" si="1"/>
        <v>368414568.33561432</v>
      </c>
      <c r="E25" s="53">
        <f t="shared" si="0"/>
        <v>22388300.22945207</v>
      </c>
      <c r="F25" s="54">
        <f t="shared" si="2"/>
        <v>346026268.10616225</v>
      </c>
    </row>
    <row r="26" spans="3:6" x14ac:dyDescent="0.25">
      <c r="C26" s="39">
        <v>15</v>
      </c>
      <c r="D26" s="51">
        <f t="shared" si="1"/>
        <v>346026268.10616225</v>
      </c>
      <c r="E26" s="53">
        <f t="shared" si="0"/>
        <v>22388300.22945207</v>
      </c>
      <c r="F26" s="54">
        <f t="shared" si="2"/>
        <v>323637967.87671018</v>
      </c>
    </row>
    <row r="27" spans="3:6" x14ac:dyDescent="0.25">
      <c r="C27" s="39">
        <v>16</v>
      </c>
      <c r="D27" s="51">
        <f t="shared" si="1"/>
        <v>323637967.87671018</v>
      </c>
      <c r="E27" s="53">
        <f t="shared" si="0"/>
        <v>22388300.22945207</v>
      </c>
      <c r="F27" s="54">
        <f t="shared" si="2"/>
        <v>301249667.6472581</v>
      </c>
    </row>
    <row r="28" spans="3:6" x14ac:dyDescent="0.25">
      <c r="C28" s="39">
        <v>17</v>
      </c>
      <c r="D28" s="51">
        <f t="shared" si="1"/>
        <v>301249667.6472581</v>
      </c>
      <c r="E28" s="53">
        <f t="shared" si="0"/>
        <v>22388300.22945207</v>
      </c>
      <c r="F28" s="54">
        <f t="shared" si="2"/>
        <v>278861367.41780603</v>
      </c>
    </row>
    <row r="29" spans="3:6" x14ac:dyDescent="0.25">
      <c r="C29" s="39">
        <v>18</v>
      </c>
      <c r="D29" s="51">
        <f t="shared" si="1"/>
        <v>278861367.41780603</v>
      </c>
      <c r="E29" s="53">
        <f t="shared" si="0"/>
        <v>22388300.22945207</v>
      </c>
      <c r="F29" s="54">
        <f t="shared" si="2"/>
        <v>256473067.18835396</v>
      </c>
    </row>
    <row r="30" spans="3:6" x14ac:dyDescent="0.25">
      <c r="C30" s="39">
        <v>19</v>
      </c>
      <c r="D30" s="51">
        <f t="shared" si="1"/>
        <v>256473067.18835396</v>
      </c>
      <c r="E30" s="53">
        <f t="shared" si="0"/>
        <v>22388300.22945207</v>
      </c>
      <c r="F30" s="54">
        <f t="shared" si="2"/>
        <v>234084766.95890188</v>
      </c>
    </row>
    <row r="31" spans="3:6" x14ac:dyDescent="0.25">
      <c r="C31" s="39">
        <v>20</v>
      </c>
      <c r="D31" s="51">
        <f t="shared" si="1"/>
        <v>234084766.95890188</v>
      </c>
      <c r="E31" s="53">
        <f t="shared" si="0"/>
        <v>22388300.22945207</v>
      </c>
      <c r="F31" s="54">
        <f t="shared" si="2"/>
        <v>211696466.72944981</v>
      </c>
    </row>
    <row r="32" spans="3:6" x14ac:dyDescent="0.25">
      <c r="C32" s="39">
        <v>21</v>
      </c>
      <c r="D32" s="51">
        <f t="shared" si="1"/>
        <v>211696466.72944981</v>
      </c>
      <c r="E32" s="53">
        <f t="shared" si="0"/>
        <v>22388300.22945207</v>
      </c>
      <c r="F32" s="54">
        <f t="shared" si="2"/>
        <v>189308166.49999774</v>
      </c>
    </row>
    <row r="33" spans="3:6" x14ac:dyDescent="0.25">
      <c r="C33" s="39">
        <v>22</v>
      </c>
      <c r="D33" s="51">
        <f t="shared" si="1"/>
        <v>189308166.49999774</v>
      </c>
      <c r="E33" s="53">
        <f t="shared" si="0"/>
        <v>22388300.22945207</v>
      </c>
      <c r="F33" s="54">
        <f t="shared" si="2"/>
        <v>166919866.27054566</v>
      </c>
    </row>
    <row r="34" spans="3:6" x14ac:dyDescent="0.25">
      <c r="C34" s="39">
        <v>23</v>
      </c>
      <c r="D34" s="51">
        <f t="shared" si="1"/>
        <v>166919866.27054566</v>
      </c>
      <c r="E34" s="53">
        <f t="shared" si="0"/>
        <v>22388300.22945207</v>
      </c>
      <c r="F34" s="54">
        <f t="shared" si="2"/>
        <v>144531566.04109359</v>
      </c>
    </row>
    <row r="35" spans="3:6" x14ac:dyDescent="0.25">
      <c r="C35" s="39">
        <v>24</v>
      </c>
      <c r="D35" s="51">
        <f t="shared" si="1"/>
        <v>144531566.04109359</v>
      </c>
      <c r="E35" s="53">
        <f t="shared" si="0"/>
        <v>22388300.22945207</v>
      </c>
      <c r="F35" s="54">
        <f t="shared" si="2"/>
        <v>122143265.81164151</v>
      </c>
    </row>
    <row r="36" spans="3:6" x14ac:dyDescent="0.25">
      <c r="C36" s="39">
        <v>25</v>
      </c>
      <c r="D36" s="51">
        <f t="shared" si="1"/>
        <v>122143265.81164151</v>
      </c>
      <c r="E36" s="53">
        <f t="shared" si="0"/>
        <v>22388300.22945207</v>
      </c>
      <c r="F36" s="54">
        <f t="shared" si="2"/>
        <v>99754965.582189441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B92-EB4F-4E65-9C14-F831E32B086C}">
  <dimension ref="E1:J39"/>
  <sheetViews>
    <sheetView zoomScaleNormal="100" workbookViewId="0">
      <selection activeCell="C20" sqref="C20"/>
    </sheetView>
  </sheetViews>
  <sheetFormatPr defaultRowHeight="15" x14ac:dyDescent="0.25"/>
  <cols>
    <col min="4" max="4" width="9.140625" customWidth="1"/>
    <col min="5" max="5" width="28.140625" customWidth="1"/>
    <col min="6" max="6" width="41.42578125" customWidth="1"/>
    <col min="7" max="7" width="23" customWidth="1"/>
    <col min="8" max="8" width="45" customWidth="1"/>
    <col min="9" max="9" width="31.28515625" customWidth="1"/>
    <col min="10" max="10" width="13" customWidth="1"/>
  </cols>
  <sheetData>
    <row r="1" spans="5:10" x14ac:dyDescent="0.25">
      <c r="F1" s="30" t="s">
        <v>135</v>
      </c>
      <c r="G1" s="41">
        <v>0.1</v>
      </c>
    </row>
    <row r="2" spans="5:10" x14ac:dyDescent="0.25">
      <c r="F2" s="30" t="s">
        <v>60</v>
      </c>
      <c r="G2" s="42">
        <f>1.2*' Cost Basis of The Wind Farm'!$E$11</f>
        <v>58754965.582189225</v>
      </c>
    </row>
    <row r="3" spans="5:10" x14ac:dyDescent="0.25">
      <c r="F3" s="30" t="s">
        <v>61</v>
      </c>
      <c r="G3" s="42">
        <v>200000</v>
      </c>
    </row>
    <row r="4" spans="5:10" x14ac:dyDescent="0.25">
      <c r="F4" s="30" t="s">
        <v>62</v>
      </c>
      <c r="G4" s="42">
        <f>200000*200</f>
        <v>40000000</v>
      </c>
    </row>
    <row r="5" spans="5:10" x14ac:dyDescent="0.25">
      <c r="F5" s="30" t="s">
        <v>63</v>
      </c>
      <c r="G5" s="42">
        <v>1000000</v>
      </c>
    </row>
    <row r="6" spans="5:10" x14ac:dyDescent="0.25">
      <c r="F6" s="30" t="s">
        <v>64</v>
      </c>
      <c r="G6" s="42">
        <f>G4+G2+G5</f>
        <v>99754965.582189232</v>
      </c>
    </row>
    <row r="7" spans="5:10" x14ac:dyDescent="0.25">
      <c r="F7" s="30" t="s">
        <v>58</v>
      </c>
      <c r="G7" s="42">
        <f>' Cost Basis of The Wind Farm'!E25</f>
        <v>659462471.31849098</v>
      </c>
    </row>
    <row r="8" spans="5:10" x14ac:dyDescent="0.25">
      <c r="F8" s="30" t="s">
        <v>59</v>
      </c>
      <c r="G8" s="42">
        <f>PMT(0.1,25,'Equivalent&amp;PerU Costs '!G6-'Equivalent&amp;PerU Costs '!G7)+0.1*'Equivalent&amp;PerU Costs '!G6</f>
        <v>71637393.455472335</v>
      </c>
    </row>
    <row r="10" spans="5:10" x14ac:dyDescent="0.25">
      <c r="E10" s="4" t="s">
        <v>38</v>
      </c>
      <c r="F10" s="14" t="s">
        <v>144</v>
      </c>
      <c r="G10" s="43" t="s">
        <v>56</v>
      </c>
      <c r="H10" s="10" t="s">
        <v>57</v>
      </c>
      <c r="I10" s="45" t="s">
        <v>54</v>
      </c>
      <c r="J10" s="37" t="s">
        <v>65</v>
      </c>
    </row>
    <row r="11" spans="5:10" x14ac:dyDescent="0.25">
      <c r="E11" s="4">
        <v>0</v>
      </c>
      <c r="F11" s="15"/>
      <c r="G11" s="44"/>
      <c r="H11" s="12"/>
      <c r="I11" s="46"/>
      <c r="J11" s="47"/>
    </row>
    <row r="12" spans="5:10" x14ac:dyDescent="0.25">
      <c r="E12" s="4">
        <v>1</v>
      </c>
      <c r="F12" s="15" cm="1">
        <f t="array" ref="F12:F36">TRANSPOSE('Net Income Statement'!D8:AB8)</f>
        <v>13612472.131285809</v>
      </c>
      <c r="G12" s="44">
        <f>'Annual O&amp;M Payments'!$D$11</f>
        <v>16148123.565924551</v>
      </c>
      <c r="H12" s="12">
        <f>G8</f>
        <v>71637393.455472335</v>
      </c>
      <c r="I12" s="46">
        <f t="shared" ref="I12:I36" si="0">G12+H12+F12</f>
        <v>101397989.15268269</v>
      </c>
      <c r="J12" s="47">
        <f>I12/'Investment Needed for Wind Turb'!$E$9</f>
        <v>9.6459274308107579E-2</v>
      </c>
    </row>
    <row r="13" spans="5:10" x14ac:dyDescent="0.25">
      <c r="E13" s="4">
        <v>2</v>
      </c>
      <c r="F13" s="15">
        <v>13231256.651233939</v>
      </c>
      <c r="G13" s="44">
        <f>'Annual O&amp;M Payments'!$D$11</f>
        <v>16148123.565924551</v>
      </c>
      <c r="H13" s="12">
        <f>H12</f>
        <v>71637393.455472335</v>
      </c>
      <c r="I13" s="46">
        <f t="shared" si="0"/>
        <v>101016773.67263083</v>
      </c>
      <c r="J13" s="47">
        <f>I13/'Investment Needed for Wind Turb'!$E$9</f>
        <v>9.6096626400904522E-2</v>
      </c>
    </row>
    <row r="14" spans="5:10" x14ac:dyDescent="0.25">
      <c r="E14" s="4">
        <v>3</v>
      </c>
      <c r="F14" s="15">
        <v>12838446.137566049</v>
      </c>
      <c r="G14" s="44">
        <f>'Annual O&amp;M Payments'!$D$11</f>
        <v>16148123.565924551</v>
      </c>
      <c r="H14" s="12">
        <f t="shared" ref="H14:H36" si="1">H13</f>
        <v>71637393.455472335</v>
      </c>
      <c r="I14" s="46">
        <f t="shared" si="0"/>
        <v>100623963.15896294</v>
      </c>
      <c r="J14" s="47">
        <f>I14/'Investment Needed for Wind Turb'!$E$9</f>
        <v>9.572294821058118E-2</v>
      </c>
    </row>
    <row r="15" spans="5:10" x14ac:dyDescent="0.25">
      <c r="E15" s="4">
        <v>4</v>
      </c>
      <c r="F15" s="15">
        <v>12433687.916239267</v>
      </c>
      <c r="G15" s="44">
        <f>'Annual O&amp;M Payments'!$D$11</f>
        <v>16148123.565924551</v>
      </c>
      <c r="H15" s="12">
        <f t="shared" si="1"/>
        <v>71637393.455472335</v>
      </c>
      <c r="I15" s="46">
        <f t="shared" si="0"/>
        <v>100219204.93763615</v>
      </c>
      <c r="J15" s="47">
        <f>I15/'Investment Needed for Wind Turb'!$E$9</f>
        <v>9.5337904240521451E-2</v>
      </c>
    </row>
    <row r="16" spans="5:10" x14ac:dyDescent="0.25">
      <c r="E16" s="4">
        <v>5</v>
      </c>
      <c r="F16" s="15">
        <v>12016618.586292218</v>
      </c>
      <c r="G16" s="44">
        <f>'Annual O&amp;M Payments'!$D$11</f>
        <v>16148123.565924551</v>
      </c>
      <c r="H16" s="12">
        <f t="shared" si="1"/>
        <v>71637393.455472335</v>
      </c>
      <c r="I16" s="46">
        <f t="shared" si="0"/>
        <v>99802135.607689112</v>
      </c>
      <c r="J16" s="47">
        <f>I16/'Investment Needed for Wind Turb'!$E$9</f>
        <v>9.4941148789658592E-2</v>
      </c>
    </row>
    <row r="17" spans="5:10" x14ac:dyDescent="0.25">
      <c r="E17" s="4">
        <v>6</v>
      </c>
      <c r="F17" s="15">
        <v>13530135.026505658</v>
      </c>
      <c r="G17" s="44">
        <f>'Annual O&amp;M Payments'!$D$11</f>
        <v>16148123.565924551</v>
      </c>
      <c r="H17" s="12">
        <f t="shared" si="1"/>
        <v>71637393.455472335</v>
      </c>
      <c r="I17" s="46">
        <f t="shared" si="0"/>
        <v>101315652.04790255</v>
      </c>
      <c r="J17" s="47">
        <f>I17/'Investment Needed for Wind Turb'!$E$9</f>
        <v>9.6380947534153882E-2</v>
      </c>
    </row>
    <row r="18" spans="5:10" x14ac:dyDescent="0.25">
      <c r="E18" s="4">
        <v>7</v>
      </c>
      <c r="F18" s="15">
        <v>13038905.267779699</v>
      </c>
      <c r="G18" s="44">
        <f>'Annual O&amp;M Payments'!$D$11</f>
        <v>16148123.565924551</v>
      </c>
      <c r="H18" s="12">
        <f t="shared" si="1"/>
        <v>71637393.455472335</v>
      </c>
      <c r="I18" s="46">
        <f t="shared" si="0"/>
        <v>100824422.28917658</v>
      </c>
      <c r="J18" s="47">
        <f>I18/'Investment Needed for Wind Turb'!$E$9</f>
        <v>9.5913643730190817E-2</v>
      </c>
    </row>
    <row r="19" spans="5:10" x14ac:dyDescent="0.25">
      <c r="E19" s="4">
        <v>8</v>
      </c>
      <c r="F19" s="15">
        <v>12530203.96333947</v>
      </c>
      <c r="G19" s="44">
        <f>'Annual O&amp;M Payments'!$D$11</f>
        <v>16148123.565924551</v>
      </c>
      <c r="H19" s="12">
        <f t="shared" si="1"/>
        <v>71637393.455472335</v>
      </c>
      <c r="I19" s="46">
        <f t="shared" si="0"/>
        <v>100315720.98473635</v>
      </c>
      <c r="J19" s="47">
        <f>I19/'Investment Needed for Wind Turb'!$E$9</f>
        <v>9.5429719353820733E-2</v>
      </c>
    </row>
    <row r="20" spans="5:10" x14ac:dyDescent="0.25">
      <c r="E20" s="4">
        <v>9</v>
      </c>
      <c r="F20" s="15">
        <v>12003409.703540662</v>
      </c>
      <c r="G20" s="44">
        <f>'Annual O&amp;M Payments'!$D$11</f>
        <v>16148123.565924551</v>
      </c>
      <c r="H20" s="12">
        <f t="shared" si="1"/>
        <v>71637393.455472335</v>
      </c>
      <c r="I20" s="46">
        <f t="shared" si="0"/>
        <v>99788926.724937558</v>
      </c>
      <c r="J20" s="47">
        <f>I20/'Investment Needed for Wind Turb'!$E$9</f>
        <v>9.4928583261926908E-2</v>
      </c>
    </row>
    <row r="21" spans="5:10" x14ac:dyDescent="0.25">
      <c r="E21" s="4">
        <v>10</v>
      </c>
      <c r="F21" s="15">
        <v>11457878.977091385</v>
      </c>
      <c r="G21" s="44">
        <f>'Annual O&amp;M Payments'!$D$11</f>
        <v>16148123.565924551</v>
      </c>
      <c r="H21" s="12">
        <f t="shared" si="1"/>
        <v>71637393.455472335</v>
      </c>
      <c r="I21" s="46">
        <f t="shared" si="0"/>
        <v>99243395.998488277</v>
      </c>
      <c r="J21" s="47">
        <f>I21/'Investment Needed for Wind Turb'!$E$9</f>
        <v>9.4409623286233146E-2</v>
      </c>
    </row>
    <row r="22" spans="5:10" x14ac:dyDescent="0.25">
      <c r="E22" s="4">
        <v>11</v>
      </c>
      <c r="F22" s="15">
        <v>11519704.058916904</v>
      </c>
      <c r="G22" s="44">
        <f>'Annual O&amp;M Payments'!$D$11</f>
        <v>16148123.565924551</v>
      </c>
      <c r="H22" s="12">
        <f t="shared" si="1"/>
        <v>71637393.455472335</v>
      </c>
      <c r="I22" s="46">
        <f t="shared" si="0"/>
        <v>99305221.080313802</v>
      </c>
      <c r="J22" s="47">
        <f>I22/'Investment Needed for Wind Turb'!$E$9</f>
        <v>9.4468437100755143E-2</v>
      </c>
    </row>
    <row r="23" spans="5:10" x14ac:dyDescent="0.25">
      <c r="E23" s="4">
        <v>12</v>
      </c>
      <c r="F23" s="15">
        <v>10910070.943007203</v>
      </c>
      <c r="G23" s="44">
        <f>'Annual O&amp;M Payments'!$D$11</f>
        <v>16148123.565924551</v>
      </c>
      <c r="H23" s="12">
        <f t="shared" si="1"/>
        <v>71637393.455472335</v>
      </c>
      <c r="I23" s="46">
        <f t="shared" si="0"/>
        <v>98695587.964404091</v>
      </c>
      <c r="J23" s="47">
        <f>I23/'Investment Needed for Wind Turb'!$E$9</f>
        <v>9.3888496921997799E-2</v>
      </c>
    </row>
    <row r="24" spans="5:10" x14ac:dyDescent="0.25">
      <c r="E24" s="4">
        <v>13</v>
      </c>
      <c r="F24" s="15">
        <v>10277494.92357135</v>
      </c>
      <c r="G24" s="44">
        <f>'Annual O&amp;M Payments'!$D$11</f>
        <v>16148123.565924551</v>
      </c>
      <c r="H24" s="12">
        <f t="shared" si="1"/>
        <v>71637393.455472335</v>
      </c>
      <c r="I24" s="46">
        <f t="shared" si="0"/>
        <v>98063011.944968238</v>
      </c>
      <c r="J24" s="47">
        <f>I24/'Investment Needed for Wind Turb'!$E$9</f>
        <v>9.328673130229094E-2</v>
      </c>
    </row>
    <row r="25" spans="5:10" x14ac:dyDescent="0.25">
      <c r="E25" s="4">
        <v>14</v>
      </c>
      <c r="F25" s="15">
        <v>9621112.5684753787</v>
      </c>
      <c r="G25" s="44">
        <f>'Annual O&amp;M Payments'!$D$11</f>
        <v>16148123.565924551</v>
      </c>
      <c r="H25" s="12">
        <f t="shared" si="1"/>
        <v>71637393.455472335</v>
      </c>
      <c r="I25" s="46">
        <f t="shared" si="0"/>
        <v>97406629.589872271</v>
      </c>
      <c r="J25" s="47">
        <f>I25/'Investment Needed for Wind Turb'!$E$9</f>
        <v>9.2662318864033741E-2</v>
      </c>
    </row>
    <row r="26" spans="5:10" x14ac:dyDescent="0.25">
      <c r="E26" s="4">
        <v>15</v>
      </c>
      <c r="F26" s="15">
        <v>8940027.9512216728</v>
      </c>
      <c r="G26" s="44">
        <f>'Annual O&amp;M Payments'!$D$11</f>
        <v>16148123.565924551</v>
      </c>
      <c r="H26" s="12">
        <f t="shared" si="1"/>
        <v>71637393.455472335</v>
      </c>
      <c r="I26" s="46">
        <f t="shared" si="0"/>
        <v>96725544.972618565</v>
      </c>
      <c r="J26" s="47">
        <f>I26/'Investment Needed for Wind Turb'!$E$9</f>
        <v>9.2014407317940042E-2</v>
      </c>
    </row>
    <row r="27" spans="5:10" x14ac:dyDescent="0.25">
      <c r="E27" s="4">
        <v>16</v>
      </c>
      <c r="F27" s="15">
        <v>8816388.3136764318</v>
      </c>
      <c r="G27" s="44">
        <f>'Annual O&amp;M Payments'!$D$11</f>
        <v>16148123.565924551</v>
      </c>
      <c r="H27" s="12">
        <f t="shared" si="1"/>
        <v>71637393.455472335</v>
      </c>
      <c r="I27" s="46">
        <f t="shared" si="0"/>
        <v>96601905.335073322</v>
      </c>
      <c r="J27" s="47">
        <f>I27/'Investment Needed for Wind Turb'!$E$9</f>
        <v>9.189678970231481E-2</v>
      </c>
    </row>
    <row r="28" spans="5:10" x14ac:dyDescent="0.25">
      <c r="E28" s="4">
        <v>17</v>
      </c>
      <c r="F28" s="15">
        <v>8040350.2257319679</v>
      </c>
      <c r="G28" s="44">
        <f>'Annual O&amp;M Payments'!$D$11</f>
        <v>16148123.565924551</v>
      </c>
      <c r="H28" s="12">
        <f t="shared" si="1"/>
        <v>71637393.455472335</v>
      </c>
      <c r="I28" s="46">
        <f t="shared" si="0"/>
        <v>95825867.247128859</v>
      </c>
      <c r="J28" s="47">
        <f>I28/'Investment Needed for Wind Turb'!$E$9</f>
        <v>9.1158549512108888E-2</v>
      </c>
    </row>
    <row r="29" spans="5:10" x14ac:dyDescent="0.25">
      <c r="E29" s="4">
        <v>18</v>
      </c>
      <c r="F29" s="15">
        <v>7233017.0786265079</v>
      </c>
      <c r="G29" s="44">
        <f>'Annual O&amp;M Payments'!$D$11</f>
        <v>16148123.565924551</v>
      </c>
      <c r="H29" s="12">
        <f t="shared" si="1"/>
        <v>71637393.455472335</v>
      </c>
      <c r="I29" s="46">
        <f t="shared" si="0"/>
        <v>95018534.100023404</v>
      </c>
      <c r="J29" s="47">
        <f>I29/'Investment Needed for Wind Turb'!$E$9</f>
        <v>9.0390538527419517E-2</v>
      </c>
    </row>
    <row r="30" spans="5:10" x14ac:dyDescent="0.25">
      <c r="E30" s="4">
        <v>19</v>
      </c>
      <c r="F30" s="15">
        <v>6393126.845736484</v>
      </c>
      <c r="G30" s="44">
        <f>'Annual O&amp;M Payments'!$D$11</f>
        <v>16148123.565924551</v>
      </c>
      <c r="H30" s="12">
        <f t="shared" si="1"/>
        <v>71637393.455472335</v>
      </c>
      <c r="I30" s="46">
        <f t="shared" si="0"/>
        <v>94178643.867133379</v>
      </c>
      <c r="J30" s="47">
        <f>I30/'Investment Needed for Wind Turb'!$E$9</f>
        <v>8.9591556190195376E-2</v>
      </c>
    </row>
    <row r="31" spans="5:10" x14ac:dyDescent="0.25">
      <c r="E31" s="4">
        <v>20</v>
      </c>
      <c r="F31" s="15">
        <v>5519366.6070627766</v>
      </c>
      <c r="G31" s="44">
        <f>'Annual O&amp;M Payments'!$D$11</f>
        <v>16148123.565924551</v>
      </c>
      <c r="H31" s="12">
        <f t="shared" si="1"/>
        <v>71637393.455472335</v>
      </c>
      <c r="I31" s="46">
        <f t="shared" si="0"/>
        <v>93304883.628459662</v>
      </c>
      <c r="J31" s="47">
        <f>I31/'Investment Needed for Wind Turb'!$E$9</f>
        <v>8.876035352783454E-2</v>
      </c>
    </row>
    <row r="32" spans="5:10" x14ac:dyDescent="0.25">
      <c r="E32" s="4">
        <v>21</v>
      </c>
      <c r="F32" s="15">
        <v>4610370.4968685806</v>
      </c>
      <c r="G32" s="44">
        <f>'Annual O&amp;M Payments'!$D$11</f>
        <v>16148123.565924551</v>
      </c>
      <c r="H32" s="12">
        <f t="shared" si="1"/>
        <v>71637393.455472335</v>
      </c>
      <c r="I32" s="46">
        <f t="shared" si="0"/>
        <v>92395887.518265471</v>
      </c>
      <c r="J32" s="47">
        <f>I32/'Investment Needed for Wind Turb'!$E$9</f>
        <v>8.7895631200785265E-2</v>
      </c>
    </row>
    <row r="33" spans="5:10" x14ac:dyDescent="0.25">
      <c r="E33" s="4">
        <v>22</v>
      </c>
      <c r="F33" s="15">
        <v>3664717.5685522314</v>
      </c>
      <c r="G33" s="44">
        <f>'Annual O&amp;M Payments'!$D$11</f>
        <v>16148123.565924551</v>
      </c>
      <c r="H33" s="12">
        <f t="shared" si="1"/>
        <v>71637393.455472335</v>
      </c>
      <c r="I33" s="46">
        <f t="shared" si="0"/>
        <v>91450234.589949116</v>
      </c>
      <c r="J33" s="47">
        <f>I33/'Investment Needed for Wind Turb'!$E$9</f>
        <v>8.6996037471412782E-2</v>
      </c>
    </row>
    <row r="34" spans="5:10" x14ac:dyDescent="0.25">
      <c r="E34" s="4">
        <v>23</v>
      </c>
      <c r="F34" s="15">
        <v>2680929.5734174279</v>
      </c>
      <c r="G34" s="44">
        <f>'Annual O&amp;M Payments'!$D$11</f>
        <v>16148123.565924551</v>
      </c>
      <c r="H34" s="12">
        <f t="shared" si="1"/>
        <v>71637393.455472335</v>
      </c>
      <c r="I34" s="46">
        <f t="shared" si="0"/>
        <v>90466446.594814315</v>
      </c>
      <c r="J34" s="47">
        <f>I34/'Investment Needed for Wind Turb'!$E$9</f>
        <v>8.6060166090957305E-2</v>
      </c>
    </row>
    <row r="35" spans="5:10" x14ac:dyDescent="0.25">
      <c r="E35" s="4">
        <v>24</v>
      </c>
      <c r="F35" s="15">
        <v>1657468.649868543</v>
      </c>
      <c r="G35" s="44">
        <f>'Annual O&amp;M Payments'!$D$11</f>
        <v>16148123.565924551</v>
      </c>
      <c r="H35" s="12">
        <f t="shared" si="1"/>
        <v>71637393.455472335</v>
      </c>
      <c r="I35" s="46">
        <f t="shared" si="0"/>
        <v>89442985.671265438</v>
      </c>
      <c r="J35" s="47">
        <f>I35/'Investment Needed for Wind Turb'!$E$9</f>
        <v>8.508655410127991E-2</v>
      </c>
    </row>
    <row r="36" spans="5:10" x14ac:dyDescent="0.25">
      <c r="E36" s="4">
        <v>25</v>
      </c>
      <c r="F36" s="15">
        <v>592734.91941881762</v>
      </c>
      <c r="G36" s="44">
        <f>'Annual O&amp;M Payments'!$D$11</f>
        <v>16148123.565924551</v>
      </c>
      <c r="H36" s="12">
        <f t="shared" si="1"/>
        <v>71637393.455472335</v>
      </c>
      <c r="I36" s="46">
        <f t="shared" si="0"/>
        <v>88378251.940815702</v>
      </c>
      <c r="J36" s="47">
        <f>I36/'Investment Needed for Wind Turb'!$E$9</f>
        <v>8.4073679547960148E-2</v>
      </c>
    </row>
    <row r="39" spans="5:10" x14ac:dyDescent="0.25">
      <c r="E39" s="39" t="s">
        <v>67</v>
      </c>
      <c r="F39" s="40">
        <v>0.08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9FEB-64CE-4A1D-AF53-F4E334E01230}">
  <dimension ref="H3:AM31"/>
  <sheetViews>
    <sheetView zoomScaleNormal="100" workbookViewId="0">
      <selection activeCell="AN39" sqref="AN39"/>
    </sheetView>
  </sheetViews>
  <sheetFormatPr defaultRowHeight="15" x14ac:dyDescent="0.25"/>
  <cols>
    <col min="8" max="8" width="16.85546875" customWidth="1"/>
    <col min="9" max="10" width="16.42578125" customWidth="1"/>
    <col min="11" max="11" width="16.42578125" hidden="1" customWidth="1"/>
    <col min="12" max="12" width="2" hidden="1" customWidth="1"/>
    <col min="13" max="13" width="16.5703125" hidden="1" customWidth="1"/>
    <col min="14" max="38" width="14.85546875" hidden="1" customWidth="1"/>
    <col min="39" max="39" width="16.85546875" hidden="1" customWidth="1"/>
  </cols>
  <sheetData>
    <row r="3" spans="8:39" x14ac:dyDescent="0.25">
      <c r="H3" s="37" t="s">
        <v>66</v>
      </c>
      <c r="I3" s="38">
        <v>0.08</v>
      </c>
    </row>
    <row r="5" spans="8:39" x14ac:dyDescent="0.25">
      <c r="H5" s="29" t="s">
        <v>38</v>
      </c>
      <c r="I5" s="29" t="s">
        <v>68</v>
      </c>
    </row>
    <row r="6" spans="8:39" x14ac:dyDescent="0.25">
      <c r="H6" s="29">
        <v>0</v>
      </c>
      <c r="I6" s="29">
        <f>0.08*'Investment Needed for Wind Turb'!$E$9</f>
        <v>84096000</v>
      </c>
    </row>
    <row r="7" spans="8:39" x14ac:dyDescent="0.25">
      <c r="H7" s="29">
        <v>1</v>
      </c>
      <c r="I7" s="29">
        <f>0.08*'Investment Needed for Wind Turb'!$E$9</f>
        <v>84096000</v>
      </c>
    </row>
    <row r="8" spans="8:39" x14ac:dyDescent="0.25">
      <c r="H8" s="29">
        <v>2</v>
      </c>
      <c r="I8" s="29">
        <f>0.08*'Investment Needed for Wind Turb'!$E$9</f>
        <v>84096000</v>
      </c>
    </row>
    <row r="9" spans="8:39" x14ac:dyDescent="0.25">
      <c r="H9" s="29">
        <v>3</v>
      </c>
      <c r="I9" s="29">
        <f>0.08*'Investment Needed for Wind Turb'!$E$9</f>
        <v>84096000</v>
      </c>
    </row>
    <row r="10" spans="8:39" x14ac:dyDescent="0.25">
      <c r="H10" s="29">
        <v>4</v>
      </c>
      <c r="I10" s="29">
        <f>0.08*'Investment Needed for Wind Turb'!$E$9</f>
        <v>84096000</v>
      </c>
    </row>
    <row r="11" spans="8:39" x14ac:dyDescent="0.25">
      <c r="H11" s="29">
        <v>5</v>
      </c>
      <c r="I11" s="29">
        <f>0.08*'Investment Needed for Wind Turb'!$E$9</f>
        <v>84096000</v>
      </c>
    </row>
    <row r="12" spans="8:39" x14ac:dyDescent="0.25">
      <c r="H12" s="29">
        <v>6</v>
      </c>
      <c r="I12" s="29">
        <f>0.08*'Investment Needed for Wind Turb'!$E$9</f>
        <v>84096000</v>
      </c>
    </row>
    <row r="13" spans="8:39" x14ac:dyDescent="0.25">
      <c r="H13" s="29">
        <v>7</v>
      </c>
      <c r="I13" s="29">
        <f>0.08*'Investment Needed for Wind Turb'!$E$9</f>
        <v>84096000</v>
      </c>
    </row>
    <row r="14" spans="8:39" x14ac:dyDescent="0.25">
      <c r="H14" s="29">
        <v>8</v>
      </c>
      <c r="I14" s="29">
        <f>0.08*'Investment Needed for Wind Turb'!$E$9</f>
        <v>84096000</v>
      </c>
    </row>
    <row r="15" spans="8:39" x14ac:dyDescent="0.25">
      <c r="H15" s="29">
        <v>9</v>
      </c>
      <c r="I15" s="29">
        <f>0.08*'Investment Needed for Wind Turb'!$E$9</f>
        <v>84096000</v>
      </c>
      <c r="K15" s="2" t="str" cm="1">
        <f t="array" ref="K15:AM16">TRANSPOSE(H3:I31)</f>
        <v>Charge per KWH=</v>
      </c>
      <c r="L15" s="2">
        <v>0</v>
      </c>
      <c r="M15" s="2" t="str">
        <v>N</v>
      </c>
      <c r="N15" s="2">
        <v>0</v>
      </c>
      <c r="O15" s="2">
        <v>1</v>
      </c>
      <c r="P15" s="2">
        <v>2</v>
      </c>
      <c r="Q15" s="2">
        <v>3</v>
      </c>
      <c r="R15" s="2">
        <v>4</v>
      </c>
      <c r="S15" s="2">
        <v>5</v>
      </c>
      <c r="T15" s="2">
        <v>6</v>
      </c>
      <c r="U15" s="2">
        <v>7</v>
      </c>
      <c r="V15" s="2">
        <v>8</v>
      </c>
      <c r="W15" s="2">
        <v>9</v>
      </c>
      <c r="X15" s="2">
        <v>10</v>
      </c>
      <c r="Y15" s="2">
        <v>11</v>
      </c>
      <c r="Z15" s="2">
        <v>12</v>
      </c>
      <c r="AA15" s="2">
        <v>13</v>
      </c>
      <c r="AB15" s="2">
        <v>14</v>
      </c>
      <c r="AC15" s="2">
        <v>15</v>
      </c>
      <c r="AD15" s="2">
        <v>16</v>
      </c>
      <c r="AE15" s="2">
        <v>17</v>
      </c>
      <c r="AF15" s="2">
        <v>18</v>
      </c>
      <c r="AG15" s="2">
        <v>19</v>
      </c>
      <c r="AH15" s="2">
        <v>20</v>
      </c>
      <c r="AI15" s="2">
        <v>21</v>
      </c>
      <c r="AJ15" s="2">
        <v>22</v>
      </c>
      <c r="AK15" s="2">
        <v>23</v>
      </c>
      <c r="AL15" s="2">
        <v>24</v>
      </c>
      <c r="AM15" s="2">
        <v>25</v>
      </c>
    </row>
    <row r="16" spans="8:39" x14ac:dyDescent="0.25">
      <c r="H16" s="29">
        <v>10</v>
      </c>
      <c r="I16" s="29">
        <f>0.08*'Investment Needed for Wind Turb'!$E$9</f>
        <v>84096000</v>
      </c>
      <c r="K16" s="68">
        <v>0.08</v>
      </c>
      <c r="L16" s="2">
        <v>0</v>
      </c>
      <c r="M16" s="2" t="str">
        <v>Annual Revenues</v>
      </c>
      <c r="N16" s="68">
        <v>84096000</v>
      </c>
      <c r="O16" s="68">
        <v>84096000</v>
      </c>
      <c r="P16" s="68">
        <v>84096000</v>
      </c>
      <c r="Q16" s="68">
        <v>84096000</v>
      </c>
      <c r="R16" s="68">
        <v>84096000</v>
      </c>
      <c r="S16" s="68">
        <v>84096000</v>
      </c>
      <c r="T16" s="68">
        <v>84096000</v>
      </c>
      <c r="U16" s="68">
        <v>84096000</v>
      </c>
      <c r="V16" s="68">
        <v>84096000</v>
      </c>
      <c r="W16" s="68">
        <v>84096000</v>
      </c>
      <c r="X16" s="68">
        <v>84096000</v>
      </c>
      <c r="Y16" s="68">
        <v>84096000</v>
      </c>
      <c r="Z16" s="68">
        <v>84096000</v>
      </c>
      <c r="AA16" s="68">
        <v>84096000</v>
      </c>
      <c r="AB16" s="68">
        <v>84096000</v>
      </c>
      <c r="AC16" s="68">
        <v>84096000</v>
      </c>
      <c r="AD16" s="68">
        <v>84096000</v>
      </c>
      <c r="AE16" s="68">
        <v>84096000</v>
      </c>
      <c r="AF16" s="68">
        <v>84096000</v>
      </c>
      <c r="AG16" s="68">
        <v>84096000</v>
      </c>
      <c r="AH16" s="68">
        <v>84096000</v>
      </c>
      <c r="AI16" s="68">
        <v>84096000</v>
      </c>
      <c r="AJ16" s="68">
        <v>84096000</v>
      </c>
      <c r="AK16" s="68">
        <v>84096000</v>
      </c>
      <c r="AL16" s="68">
        <v>84096000</v>
      </c>
      <c r="AM16" s="68">
        <v>84096000</v>
      </c>
    </row>
    <row r="17" spans="8:9" x14ac:dyDescent="0.25">
      <c r="H17" s="29">
        <v>11</v>
      </c>
      <c r="I17" s="29">
        <f>0.08*'Investment Needed for Wind Turb'!$E$9</f>
        <v>84096000</v>
      </c>
    </row>
    <row r="18" spans="8:9" x14ac:dyDescent="0.25">
      <c r="H18" s="29">
        <v>12</v>
      </c>
      <c r="I18" s="29">
        <f>0.08*'Investment Needed for Wind Turb'!$E$9</f>
        <v>84096000</v>
      </c>
    </row>
    <row r="19" spans="8:9" x14ac:dyDescent="0.25">
      <c r="H19" s="29">
        <v>13</v>
      </c>
      <c r="I19" s="29">
        <f>0.08*'Investment Needed for Wind Turb'!$E$9</f>
        <v>84096000</v>
      </c>
    </row>
    <row r="20" spans="8:9" x14ac:dyDescent="0.25">
      <c r="H20" s="29">
        <v>14</v>
      </c>
      <c r="I20" s="29">
        <f>0.08*'Investment Needed for Wind Turb'!$E$9</f>
        <v>84096000</v>
      </c>
    </row>
    <row r="21" spans="8:9" x14ac:dyDescent="0.25">
      <c r="H21" s="29">
        <v>15</v>
      </c>
      <c r="I21" s="29">
        <f>0.08*'Investment Needed for Wind Turb'!$E$9</f>
        <v>84096000</v>
      </c>
    </row>
    <row r="22" spans="8:9" x14ac:dyDescent="0.25">
      <c r="H22" s="29">
        <v>16</v>
      </c>
      <c r="I22" s="29">
        <f>0.08*'Investment Needed for Wind Turb'!$E$9</f>
        <v>84096000</v>
      </c>
    </row>
    <row r="23" spans="8:9" x14ac:dyDescent="0.25">
      <c r="H23" s="29">
        <v>17</v>
      </c>
      <c r="I23" s="29">
        <f>0.08*'Investment Needed for Wind Turb'!$E$9</f>
        <v>84096000</v>
      </c>
    </row>
    <row r="24" spans="8:9" x14ac:dyDescent="0.25">
      <c r="H24" s="29">
        <v>18</v>
      </c>
      <c r="I24" s="29">
        <f>0.08*'Investment Needed for Wind Turb'!$E$9</f>
        <v>84096000</v>
      </c>
    </row>
    <row r="25" spans="8:9" x14ac:dyDescent="0.25">
      <c r="H25" s="29">
        <v>19</v>
      </c>
      <c r="I25" s="29">
        <f>0.08*'Investment Needed for Wind Turb'!$E$9</f>
        <v>84096000</v>
      </c>
    </row>
    <row r="26" spans="8:9" x14ac:dyDescent="0.25">
      <c r="H26" s="29">
        <v>20</v>
      </c>
      <c r="I26" s="29">
        <f>0.08*'Investment Needed for Wind Turb'!$E$9</f>
        <v>84096000</v>
      </c>
    </row>
    <row r="27" spans="8:9" x14ac:dyDescent="0.25">
      <c r="H27" s="29">
        <v>21</v>
      </c>
      <c r="I27" s="29">
        <f>0.08*'Investment Needed for Wind Turb'!$E$9</f>
        <v>84096000</v>
      </c>
    </row>
    <row r="28" spans="8:9" x14ac:dyDescent="0.25">
      <c r="H28" s="29">
        <v>22</v>
      </c>
      <c r="I28" s="29">
        <f>0.08*'Investment Needed for Wind Turb'!$E$9</f>
        <v>84096000</v>
      </c>
    </row>
    <row r="29" spans="8:9" x14ac:dyDescent="0.25">
      <c r="H29" s="29">
        <v>23</v>
      </c>
      <c r="I29" s="29">
        <f>0.08*'Investment Needed for Wind Turb'!$E$9</f>
        <v>84096000</v>
      </c>
    </row>
    <row r="30" spans="8:9" x14ac:dyDescent="0.25">
      <c r="H30" s="29">
        <v>24</v>
      </c>
      <c r="I30" s="29">
        <f>0.08*'Investment Needed for Wind Turb'!$E$9</f>
        <v>84096000</v>
      </c>
    </row>
    <row r="31" spans="8:9" x14ac:dyDescent="0.25">
      <c r="H31" s="29">
        <v>25</v>
      </c>
      <c r="I31" s="29">
        <f>0.08*'Investment Needed for Wind Turb'!$E$9</f>
        <v>84096000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2E81-B222-4B20-86EF-56FAE47DD30C}">
  <dimension ref="B1:AB14"/>
  <sheetViews>
    <sheetView workbookViewId="0">
      <selection activeCell="G39" sqref="G39"/>
    </sheetView>
  </sheetViews>
  <sheetFormatPr defaultRowHeight="15" x14ac:dyDescent="0.25"/>
  <cols>
    <col min="2" max="2" width="20.42578125" customWidth="1"/>
    <col min="4" max="4" width="16.28515625" bestFit="1" customWidth="1"/>
    <col min="5" max="5" width="16.5703125" customWidth="1"/>
    <col min="6" max="6" width="15.85546875" customWidth="1"/>
    <col min="7" max="7" width="22.42578125" customWidth="1"/>
    <col min="8" max="8" width="16.85546875" customWidth="1"/>
    <col min="9" max="9" width="18.28515625" customWidth="1"/>
    <col min="10" max="10" width="16.28515625" customWidth="1"/>
    <col min="11" max="11" width="18.28515625" customWidth="1"/>
    <col min="12" max="12" width="17.5703125" customWidth="1"/>
    <col min="13" max="13" width="21.28515625" customWidth="1"/>
    <col min="14" max="14" width="19.42578125" customWidth="1"/>
    <col min="15" max="15" width="20.28515625" customWidth="1"/>
    <col min="16" max="16" width="18" customWidth="1"/>
    <col min="17" max="17" width="17.42578125" customWidth="1"/>
    <col min="18" max="18" width="18.28515625" customWidth="1"/>
    <col min="19" max="19" width="17.140625" customWidth="1"/>
    <col min="20" max="20" width="18.140625" customWidth="1"/>
    <col min="21" max="21" width="19.28515625" customWidth="1"/>
    <col min="22" max="22" width="18.140625" customWidth="1"/>
    <col min="23" max="23" width="18.42578125" customWidth="1"/>
    <col min="24" max="24" width="16.7109375" customWidth="1"/>
    <col min="25" max="25" width="16.85546875" customWidth="1"/>
    <col min="26" max="27" width="17" customWidth="1"/>
    <col min="28" max="28" width="18.140625" customWidth="1"/>
  </cols>
  <sheetData>
    <row r="1" spans="2:28" s="6" customFormat="1" x14ac:dyDescent="0.25">
      <c r="B1" s="8" t="s">
        <v>111</v>
      </c>
      <c r="C1" s="22">
        <v>0.17</v>
      </c>
    </row>
    <row r="2" spans="2:28" ht="14.25" customHeight="1" x14ac:dyDescent="0.25"/>
    <row r="3" spans="2:28" x14ac:dyDescent="0.25">
      <c r="B3" s="3"/>
      <c r="C3" s="3" t="s">
        <v>79</v>
      </c>
      <c r="D3" s="50" t="s">
        <v>77</v>
      </c>
      <c r="E3" s="50" t="s">
        <v>80</v>
      </c>
      <c r="F3" s="50" t="s">
        <v>81</v>
      </c>
      <c r="G3" s="50" t="s">
        <v>82</v>
      </c>
      <c r="H3" s="50" t="s">
        <v>83</v>
      </c>
      <c r="I3" s="50" t="s">
        <v>84</v>
      </c>
      <c r="J3" s="50" t="s">
        <v>85</v>
      </c>
      <c r="K3" s="50" t="s">
        <v>86</v>
      </c>
      <c r="L3" s="50" t="s">
        <v>87</v>
      </c>
      <c r="M3" s="50" t="s">
        <v>88</v>
      </c>
      <c r="N3" s="50" t="s">
        <v>89</v>
      </c>
      <c r="O3" s="50" t="s">
        <v>90</v>
      </c>
      <c r="P3" s="50" t="s">
        <v>91</v>
      </c>
      <c r="Q3" s="50" t="s">
        <v>92</v>
      </c>
      <c r="R3" s="50" t="s">
        <v>93</v>
      </c>
      <c r="S3" s="50" t="s">
        <v>94</v>
      </c>
      <c r="T3" s="50" t="s">
        <v>95</v>
      </c>
      <c r="U3" s="50" t="s">
        <v>96</v>
      </c>
      <c r="V3" s="50" t="s">
        <v>97</v>
      </c>
      <c r="W3" s="50" t="s">
        <v>98</v>
      </c>
      <c r="X3" s="50" t="s">
        <v>99</v>
      </c>
      <c r="Y3" s="50" t="s">
        <v>100</v>
      </c>
      <c r="Z3" s="50" t="s">
        <v>101</v>
      </c>
      <c r="AA3" s="50" t="s">
        <v>102</v>
      </c>
      <c r="AB3" s="50" t="s">
        <v>103</v>
      </c>
    </row>
    <row r="4" spans="2:28" x14ac:dyDescent="0.25">
      <c r="B4" s="3" t="s">
        <v>104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x14ac:dyDescent="0.25">
      <c r="B5" s="8" t="s">
        <v>76</v>
      </c>
      <c r="C5" s="2"/>
      <c r="D5" s="23">
        <f>'Annual Revenues'!$I$15</f>
        <v>84096000</v>
      </c>
      <c r="E5" s="23">
        <f>'Annual Revenues'!$I$15</f>
        <v>84096000</v>
      </c>
      <c r="F5" s="23">
        <f>'Annual Revenues'!$I$15</f>
        <v>84096000</v>
      </c>
      <c r="G5" s="23">
        <f>'Annual Revenues'!$I$15</f>
        <v>84096000</v>
      </c>
      <c r="H5" s="23">
        <f>'Annual Revenues'!$I$15</f>
        <v>84096000</v>
      </c>
      <c r="I5" s="23">
        <f>'Annual Revenues'!$I$15</f>
        <v>84096000</v>
      </c>
      <c r="J5" s="23">
        <f>'Annual Revenues'!$I$15</f>
        <v>84096000</v>
      </c>
      <c r="K5" s="23">
        <f>'Annual Revenues'!$I$15</f>
        <v>84096000</v>
      </c>
      <c r="L5" s="23">
        <f>'Annual Revenues'!$I$15</f>
        <v>84096000</v>
      </c>
      <c r="M5" s="23">
        <f>'Annual Revenues'!$I$15</f>
        <v>84096000</v>
      </c>
      <c r="N5" s="23">
        <f>'Annual Revenues'!$I$15</f>
        <v>84096000</v>
      </c>
      <c r="O5" s="23">
        <f>'Annual Revenues'!$I$15</f>
        <v>84096000</v>
      </c>
      <c r="P5" s="23">
        <f>'Annual Revenues'!$I$15</f>
        <v>84096000</v>
      </c>
      <c r="Q5" s="23">
        <f>'Annual Revenues'!$I$15</f>
        <v>84096000</v>
      </c>
      <c r="R5" s="23">
        <f>'Annual Revenues'!$I$15</f>
        <v>84096000</v>
      </c>
      <c r="S5" s="23">
        <f>'Annual Revenues'!$I$15</f>
        <v>84096000</v>
      </c>
      <c r="T5" s="23">
        <f>'Annual Revenues'!$I$15</f>
        <v>84096000</v>
      </c>
      <c r="U5" s="23">
        <f>'Annual Revenues'!$I$15</f>
        <v>84096000</v>
      </c>
      <c r="V5" s="23">
        <f>'Annual Revenues'!$I$15</f>
        <v>84096000</v>
      </c>
      <c r="W5" s="23">
        <f>'Annual Revenues'!$I$15</f>
        <v>84096000</v>
      </c>
      <c r="X5" s="23">
        <f>'Annual Revenues'!$I$15</f>
        <v>84096000</v>
      </c>
      <c r="Y5" s="23">
        <f>'Annual Revenues'!$I$15</f>
        <v>84096000</v>
      </c>
      <c r="Z5" s="23">
        <f>'Annual Revenues'!$I$15</f>
        <v>84096000</v>
      </c>
      <c r="AA5" s="23">
        <f>'Annual Revenues'!$I$15</f>
        <v>84096000</v>
      </c>
      <c r="AB5" s="23">
        <f>'Annual Revenues'!$I$15</f>
        <v>84096000</v>
      </c>
    </row>
    <row r="6" spans="2:28" x14ac:dyDescent="0.25">
      <c r="B6" s="8" t="s">
        <v>105</v>
      </c>
      <c r="C6" s="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2:28" x14ac:dyDescent="0.25">
      <c r="B7" s="3" t="s">
        <v>106</v>
      </c>
      <c r="C7" s="2"/>
      <c r="D7" s="24">
        <f>'Annual O&amp;M Payments'!$D$11</f>
        <v>16148123.565924551</v>
      </c>
      <c r="E7" s="24">
        <f>'Annual O&amp;M Payments'!$D$11</f>
        <v>16148123.565924551</v>
      </c>
      <c r="F7" s="24">
        <f>'Annual O&amp;M Payments'!$D$11</f>
        <v>16148123.565924551</v>
      </c>
      <c r="G7" s="24">
        <f>'Annual O&amp;M Payments'!$D$11</f>
        <v>16148123.565924551</v>
      </c>
      <c r="H7" s="24">
        <f>'Annual O&amp;M Payments'!$D$11</f>
        <v>16148123.565924551</v>
      </c>
      <c r="I7" s="24">
        <f>'Annual O&amp;M Payments'!$D$11</f>
        <v>16148123.565924551</v>
      </c>
      <c r="J7" s="24">
        <f>'Annual O&amp;M Payments'!$D$11</f>
        <v>16148123.565924551</v>
      </c>
      <c r="K7" s="24">
        <f>'Annual O&amp;M Payments'!$D$11</f>
        <v>16148123.565924551</v>
      </c>
      <c r="L7" s="24">
        <f>'Annual O&amp;M Payments'!$D$11</f>
        <v>16148123.565924551</v>
      </c>
      <c r="M7" s="24">
        <f>'Annual O&amp;M Payments'!$D$11</f>
        <v>16148123.565924551</v>
      </c>
      <c r="N7" s="24">
        <f>'Annual O&amp;M Payments'!$D$11</f>
        <v>16148123.565924551</v>
      </c>
      <c r="O7" s="24">
        <f>'Annual O&amp;M Payments'!$D$11</f>
        <v>16148123.565924551</v>
      </c>
      <c r="P7" s="24">
        <f>'Annual O&amp;M Payments'!$D$11</f>
        <v>16148123.565924551</v>
      </c>
      <c r="Q7" s="24">
        <f>'Annual O&amp;M Payments'!$D$11</f>
        <v>16148123.565924551</v>
      </c>
      <c r="R7" s="24">
        <f>'Annual O&amp;M Payments'!$D$11</f>
        <v>16148123.565924551</v>
      </c>
      <c r="S7" s="24">
        <f>'Annual O&amp;M Payments'!$D$11</f>
        <v>16148123.565924551</v>
      </c>
      <c r="T7" s="24">
        <f>'Annual O&amp;M Payments'!$D$11</f>
        <v>16148123.565924551</v>
      </c>
      <c r="U7" s="24">
        <f>'Annual O&amp;M Payments'!$D$11</f>
        <v>16148123.565924551</v>
      </c>
      <c r="V7" s="24">
        <f>'Annual O&amp;M Payments'!$D$11</f>
        <v>16148123.565924551</v>
      </c>
      <c r="W7" s="24">
        <f>'Annual O&amp;M Payments'!$D$11</f>
        <v>16148123.565924551</v>
      </c>
      <c r="X7" s="24">
        <f>'Annual O&amp;M Payments'!$D$11</f>
        <v>16148123.565924551</v>
      </c>
      <c r="Y7" s="24">
        <f>'Annual O&amp;M Payments'!$D$11</f>
        <v>16148123.565924551</v>
      </c>
      <c r="Z7" s="24">
        <f>'Annual O&amp;M Payments'!$D$11</f>
        <v>16148123.565924551</v>
      </c>
      <c r="AA7" s="24">
        <f>'Annual O&amp;M Payments'!$D$11</f>
        <v>16148123.565924551</v>
      </c>
      <c r="AB7" s="24">
        <f>'Annual O&amp;M Payments'!$D$11</f>
        <v>16148123.565924551</v>
      </c>
    </row>
    <row r="8" spans="2:28" x14ac:dyDescent="0.25">
      <c r="B8" s="3" t="s">
        <v>107</v>
      </c>
      <c r="C8" s="2"/>
      <c r="D8" s="24">
        <f>SUM('Bank Loan &amp; Payment Plan'!F13:F24)</f>
        <v>13612472.131285809</v>
      </c>
      <c r="E8" s="24">
        <f>SUM('Bank Loan &amp; Payment Plan'!F25:F36)</f>
        <v>13231256.651233939</v>
      </c>
      <c r="F8" s="24">
        <f>SUM('Bank Loan &amp; Payment Plan'!F37:F48)</f>
        <v>12838446.137566049</v>
      </c>
      <c r="G8" s="24">
        <f>SUM('Bank Loan &amp; Payment Plan'!F49:F60)</f>
        <v>12433687.916239267</v>
      </c>
      <c r="H8" s="24">
        <f>SUM('Bank Loan &amp; Payment Plan'!F61:F72)</f>
        <v>12016618.586292218</v>
      </c>
      <c r="I8" s="25">
        <f>SUM('Bank Loan &amp; Payment Plan'!F73:F84)</f>
        <v>13530135.026505658</v>
      </c>
      <c r="J8" s="25">
        <f>SUM('Bank Loan &amp; Payment Plan'!F85:F96)</f>
        <v>13038905.267779699</v>
      </c>
      <c r="K8" s="25">
        <f>SUM('Bank Loan &amp; Payment Plan'!F97:F108)</f>
        <v>12530203.96333947</v>
      </c>
      <c r="L8" s="25">
        <f>SUM('Bank Loan &amp; Payment Plan'!F109:F120)</f>
        <v>12003409.703540662</v>
      </c>
      <c r="M8" s="25">
        <f>SUM('Bank Loan &amp; Payment Plan'!F121:F132)</f>
        <v>11457878.977091385</v>
      </c>
      <c r="N8" s="25">
        <f>SUM('Bank Loan &amp; Payment Plan'!F133:F144)</f>
        <v>11519704.058916904</v>
      </c>
      <c r="O8" s="25">
        <f>SUM('Bank Loan &amp; Payment Plan'!F145:F156)</f>
        <v>10910070.943007203</v>
      </c>
      <c r="P8" s="25">
        <f>SUM('Bank Loan &amp; Payment Plan'!F157:F168)</f>
        <v>10277494.92357135</v>
      </c>
      <c r="Q8" s="25">
        <f>SUM('Bank Loan &amp; Payment Plan'!F169:F180)</f>
        <v>9621112.5684753787</v>
      </c>
      <c r="R8" s="25">
        <f>SUM('Bank Loan &amp; Payment Plan'!F181:F192)</f>
        <v>8940027.9512216728</v>
      </c>
      <c r="S8" s="25">
        <f>SUM('Bank Loan &amp; Payment Plan'!F193:F204)</f>
        <v>8816388.3136764318</v>
      </c>
      <c r="T8" s="25">
        <f>SUM('Bank Loan &amp; Payment Plan'!F205:F216)</f>
        <v>8040350.2257319679</v>
      </c>
      <c r="U8" s="25">
        <f>SUM('Bank Loan &amp; Payment Plan'!F217:F228)</f>
        <v>7233017.0786265079</v>
      </c>
      <c r="V8" s="25">
        <f>SUM('Bank Loan &amp; Payment Plan'!F229:F240)</f>
        <v>6393126.845736484</v>
      </c>
      <c r="W8" s="25">
        <f>SUM('Bank Loan &amp; Payment Plan'!F241:F252)</f>
        <v>5519366.6070627766</v>
      </c>
      <c r="X8" s="25">
        <f>SUM('Bank Loan &amp; Payment Plan'!F253:F264)</f>
        <v>4610370.4968685806</v>
      </c>
      <c r="Y8" s="25">
        <f>SUM('Bank Loan &amp; Payment Plan'!F265:F276)</f>
        <v>3664717.5685522314</v>
      </c>
      <c r="Z8" s="25">
        <f>SUM('Bank Loan &amp; Payment Plan'!F277:F288)</f>
        <v>2680929.5734174279</v>
      </c>
      <c r="AA8" s="25">
        <f>SUM('Bank Loan &amp; Payment Plan'!F289:F300)</f>
        <v>1657468.649868543</v>
      </c>
      <c r="AB8" s="25">
        <f>SUM('Bank Loan &amp; Payment Plan'!F301:F312)</f>
        <v>592734.91941881762</v>
      </c>
    </row>
    <row r="9" spans="2:28" s="6" customFormat="1" x14ac:dyDescent="0.25">
      <c r="B9" s="3" t="s">
        <v>69</v>
      </c>
      <c r="C9" s="2"/>
      <c r="D9" s="24">
        <f>Depreciation!$E$12</f>
        <v>22388300.22945207</v>
      </c>
      <c r="E9" s="24">
        <f>Depreciation!$E$12</f>
        <v>22388300.22945207</v>
      </c>
      <c r="F9" s="24">
        <f>Depreciation!$E$12</f>
        <v>22388300.22945207</v>
      </c>
      <c r="G9" s="24">
        <f>Depreciation!$E$12</f>
        <v>22388300.22945207</v>
      </c>
      <c r="H9" s="24">
        <f>Depreciation!$E$12</f>
        <v>22388300.22945207</v>
      </c>
      <c r="I9" s="24">
        <f>Depreciation!$E$12</f>
        <v>22388300.22945207</v>
      </c>
      <c r="J9" s="24">
        <f>Depreciation!$E$12</f>
        <v>22388300.22945207</v>
      </c>
      <c r="K9" s="24">
        <f>Depreciation!$E$12</f>
        <v>22388300.22945207</v>
      </c>
      <c r="L9" s="24">
        <f>Depreciation!$E$12</f>
        <v>22388300.22945207</v>
      </c>
      <c r="M9" s="24">
        <f>Depreciation!$E$12</f>
        <v>22388300.22945207</v>
      </c>
      <c r="N9" s="24">
        <f>Depreciation!$E$12</f>
        <v>22388300.22945207</v>
      </c>
      <c r="O9" s="24">
        <f>Depreciation!$E$12</f>
        <v>22388300.22945207</v>
      </c>
      <c r="P9" s="24">
        <f>Depreciation!$E$12</f>
        <v>22388300.22945207</v>
      </c>
      <c r="Q9" s="24">
        <f>Depreciation!$E$12</f>
        <v>22388300.22945207</v>
      </c>
      <c r="R9" s="24">
        <f>Depreciation!$E$12</f>
        <v>22388300.22945207</v>
      </c>
      <c r="S9" s="24">
        <f>Depreciation!$E$12</f>
        <v>22388300.22945207</v>
      </c>
      <c r="T9" s="24">
        <f>Depreciation!$E$12</f>
        <v>22388300.22945207</v>
      </c>
      <c r="U9" s="24">
        <f>Depreciation!$E$12</f>
        <v>22388300.22945207</v>
      </c>
      <c r="V9" s="24">
        <f>Depreciation!$E$12</f>
        <v>22388300.22945207</v>
      </c>
      <c r="W9" s="24">
        <f>Depreciation!$E$12</f>
        <v>22388300.22945207</v>
      </c>
      <c r="X9" s="24">
        <f>Depreciation!$E$12</f>
        <v>22388300.22945207</v>
      </c>
      <c r="Y9" s="24">
        <f>Depreciation!$E$12</f>
        <v>22388300.22945207</v>
      </c>
      <c r="Z9" s="24">
        <f>Depreciation!$E$12</f>
        <v>22388300.22945207</v>
      </c>
      <c r="AA9" s="24">
        <f>Depreciation!$E$12</f>
        <v>22388300.22945207</v>
      </c>
      <c r="AB9" s="24">
        <f>Depreciation!$E$12</f>
        <v>22388300.22945207</v>
      </c>
    </row>
    <row r="10" spans="2:28" x14ac:dyDescent="0.25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x14ac:dyDescent="0.25">
      <c r="B11" s="3" t="s">
        <v>108</v>
      </c>
      <c r="C11" s="2"/>
      <c r="D11" s="26">
        <f t="shared" ref="D11:AB11" si="0">D5-SUM(D7:D9)</f>
        <v>31947104.07333757</v>
      </c>
      <c r="E11" s="26">
        <f t="shared" si="0"/>
        <v>32328319.553389445</v>
      </c>
      <c r="F11" s="26">
        <f t="shared" si="0"/>
        <v>32721130.067057326</v>
      </c>
      <c r="G11" s="26">
        <f t="shared" si="0"/>
        <v>33125888.28838411</v>
      </c>
      <c r="H11" s="26">
        <f t="shared" si="0"/>
        <v>33542957.618331164</v>
      </c>
      <c r="I11" s="26">
        <f t="shared" si="0"/>
        <v>32029441.178117722</v>
      </c>
      <c r="J11" s="26">
        <f t="shared" si="0"/>
        <v>32520670.936843678</v>
      </c>
      <c r="K11" s="26">
        <f t="shared" si="0"/>
        <v>33029372.241283908</v>
      </c>
      <c r="L11" s="26">
        <f t="shared" si="0"/>
        <v>33556166.501082718</v>
      </c>
      <c r="M11" s="26">
        <f t="shared" si="0"/>
        <v>34101697.227531999</v>
      </c>
      <c r="N11" s="26">
        <f t="shared" si="0"/>
        <v>34039872.145706475</v>
      </c>
      <c r="O11" s="26">
        <f t="shared" si="0"/>
        <v>34649505.26161617</v>
      </c>
      <c r="P11" s="26">
        <f t="shared" si="0"/>
        <v>35282081.281052023</v>
      </c>
      <c r="Q11" s="26">
        <f t="shared" si="0"/>
        <v>35938463.636148006</v>
      </c>
      <c r="R11" s="26">
        <f t="shared" si="0"/>
        <v>36619548.253401712</v>
      </c>
      <c r="S11" s="26">
        <f t="shared" si="0"/>
        <v>36743187.890946947</v>
      </c>
      <c r="T11" s="26">
        <f t="shared" si="0"/>
        <v>37519225.97889141</v>
      </c>
      <c r="U11" s="26">
        <f t="shared" si="0"/>
        <v>38326559.125996873</v>
      </c>
      <c r="V11" s="26">
        <f t="shared" si="0"/>
        <v>39166449.358886898</v>
      </c>
      <c r="W11" s="26">
        <f t="shared" si="0"/>
        <v>40040209.597560599</v>
      </c>
      <c r="X11" s="26">
        <f t="shared" si="0"/>
        <v>40949205.707754798</v>
      </c>
      <c r="Y11" s="26">
        <f t="shared" si="0"/>
        <v>41894858.636071146</v>
      </c>
      <c r="Z11" s="26">
        <f t="shared" si="0"/>
        <v>42878646.631205946</v>
      </c>
      <c r="AA11" s="26">
        <f t="shared" si="0"/>
        <v>43902107.554754838</v>
      </c>
      <c r="AB11" s="26">
        <f t="shared" si="0"/>
        <v>44966841.28520456</v>
      </c>
    </row>
    <row r="12" spans="2:28" x14ac:dyDescent="0.25">
      <c r="B12" s="3" t="s">
        <v>112</v>
      </c>
      <c r="C12" s="2"/>
      <c r="D12" s="26">
        <f>D11*0.17</f>
        <v>5431007.6924673868</v>
      </c>
      <c r="E12" s="26">
        <f t="shared" ref="E12:AB12" si="1">E11*0.17</f>
        <v>5495814.3240762064</v>
      </c>
      <c r="F12" s="26">
        <f t="shared" si="1"/>
        <v>5562592.1113997456</v>
      </c>
      <c r="G12" s="26">
        <f t="shared" si="1"/>
        <v>5631401.009025299</v>
      </c>
      <c r="H12" s="26">
        <f t="shared" si="1"/>
        <v>5702302.7951162979</v>
      </c>
      <c r="I12" s="26">
        <f t="shared" si="1"/>
        <v>5445005.0002800133</v>
      </c>
      <c r="J12" s="26">
        <f t="shared" si="1"/>
        <v>5528514.0592634259</v>
      </c>
      <c r="K12" s="26">
        <f t="shared" si="1"/>
        <v>5614993.2810182646</v>
      </c>
      <c r="L12" s="26">
        <f t="shared" si="1"/>
        <v>5704548.3051840626</v>
      </c>
      <c r="M12" s="26">
        <f t="shared" si="1"/>
        <v>5797288.52868044</v>
      </c>
      <c r="N12" s="26">
        <f t="shared" si="1"/>
        <v>5786778.2647701008</v>
      </c>
      <c r="O12" s="26">
        <f t="shared" si="1"/>
        <v>5890415.8944747495</v>
      </c>
      <c r="P12" s="26">
        <f t="shared" si="1"/>
        <v>5997953.8177788444</v>
      </c>
      <c r="Q12" s="26">
        <f t="shared" si="1"/>
        <v>6109538.8181451615</v>
      </c>
      <c r="R12" s="26">
        <f t="shared" si="1"/>
        <v>6225323.2030782914</v>
      </c>
      <c r="S12" s="26">
        <f t="shared" si="1"/>
        <v>6246341.941460981</v>
      </c>
      <c r="T12" s="26">
        <f t="shared" si="1"/>
        <v>6378268.4164115405</v>
      </c>
      <c r="U12" s="26">
        <f t="shared" si="1"/>
        <v>6515515.0514194686</v>
      </c>
      <c r="V12" s="26">
        <f t="shared" si="1"/>
        <v>6658296.3910107734</v>
      </c>
      <c r="W12" s="26">
        <f t="shared" si="1"/>
        <v>6806835.6315853028</v>
      </c>
      <c r="X12" s="26">
        <f t="shared" si="1"/>
        <v>6961364.9703183165</v>
      </c>
      <c r="Y12" s="26">
        <f t="shared" si="1"/>
        <v>7122125.9681320954</v>
      </c>
      <c r="Z12" s="26">
        <f t="shared" si="1"/>
        <v>7289369.9273050111</v>
      </c>
      <c r="AA12" s="26">
        <f t="shared" si="1"/>
        <v>7463358.2843083227</v>
      </c>
      <c r="AB12" s="26">
        <f t="shared" si="1"/>
        <v>7644363.0184847759</v>
      </c>
    </row>
    <row r="13" spans="2:28" x14ac:dyDescent="0.25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x14ac:dyDescent="0.25">
      <c r="B14" s="3" t="s">
        <v>113</v>
      </c>
      <c r="C14" s="2"/>
      <c r="D14" s="11">
        <f>D11-D12</f>
        <v>26516096.380870182</v>
      </c>
      <c r="E14" s="11">
        <f t="shared" ref="E14:AB14" si="2">E11-E12</f>
        <v>26832505.229313239</v>
      </c>
      <c r="F14" s="11">
        <f t="shared" si="2"/>
        <v>27158537.955657579</v>
      </c>
      <c r="G14" s="11">
        <f t="shared" si="2"/>
        <v>27494487.279358812</v>
      </c>
      <c r="H14" s="11">
        <f t="shared" si="2"/>
        <v>27840654.823214866</v>
      </c>
      <c r="I14" s="11">
        <f t="shared" si="2"/>
        <v>26584436.177837707</v>
      </c>
      <c r="J14" s="11">
        <f t="shared" si="2"/>
        <v>26992156.877580252</v>
      </c>
      <c r="K14" s="11">
        <f t="shared" si="2"/>
        <v>27414378.960265644</v>
      </c>
      <c r="L14" s="11">
        <f t="shared" si="2"/>
        <v>27851618.195898656</v>
      </c>
      <c r="M14" s="11">
        <f t="shared" si="2"/>
        <v>28304408.698851559</v>
      </c>
      <c r="N14" s="11">
        <f t="shared" si="2"/>
        <v>28253093.880936373</v>
      </c>
      <c r="O14" s="11">
        <f t="shared" si="2"/>
        <v>28759089.367141422</v>
      </c>
      <c r="P14" s="11">
        <f t="shared" si="2"/>
        <v>29284127.463273179</v>
      </c>
      <c r="Q14" s="11">
        <f t="shared" si="2"/>
        <v>29828924.818002842</v>
      </c>
      <c r="R14" s="11">
        <f t="shared" si="2"/>
        <v>30394225.050323419</v>
      </c>
      <c r="S14" s="11">
        <f t="shared" si="2"/>
        <v>30496845.949485965</v>
      </c>
      <c r="T14" s="11">
        <f t="shared" si="2"/>
        <v>31140957.562479869</v>
      </c>
      <c r="U14" s="11">
        <f t="shared" si="2"/>
        <v>31811044.074577406</v>
      </c>
      <c r="V14" s="11">
        <f t="shared" si="2"/>
        <v>32508152.967876125</v>
      </c>
      <c r="W14" s="11">
        <f t="shared" si="2"/>
        <v>33233373.965975296</v>
      </c>
      <c r="X14" s="11">
        <f t="shared" si="2"/>
        <v>33987840.737436481</v>
      </c>
      <c r="Y14" s="11">
        <f t="shared" si="2"/>
        <v>34772732.667939052</v>
      </c>
      <c r="Z14" s="11">
        <f t="shared" si="2"/>
        <v>35589276.703900933</v>
      </c>
      <c r="AA14" s="11">
        <f t="shared" si="2"/>
        <v>36438749.270446517</v>
      </c>
      <c r="AB14" s="11">
        <f t="shared" si="2"/>
        <v>37322478.266719781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A5C1-9015-464E-8675-896FCCEC0645}">
  <dimension ref="D3:AD21"/>
  <sheetViews>
    <sheetView workbookViewId="0">
      <selection activeCell="W28" sqref="W28"/>
    </sheetView>
  </sheetViews>
  <sheetFormatPr defaultRowHeight="15" x14ac:dyDescent="0.25"/>
  <cols>
    <col min="4" max="4" width="22.7109375" customWidth="1"/>
    <col min="5" max="5" width="20.140625" customWidth="1"/>
    <col min="6" max="6" width="16.28515625" bestFit="1" customWidth="1"/>
    <col min="7" max="7" width="16.140625" customWidth="1"/>
    <col min="8" max="8" width="16.42578125" customWidth="1"/>
    <col min="9" max="9" width="15.42578125" customWidth="1"/>
    <col min="10" max="30" width="15.7109375" customWidth="1"/>
  </cols>
  <sheetData>
    <row r="3" spans="4:30" x14ac:dyDescent="0.25">
      <c r="D3" s="3" t="s">
        <v>78</v>
      </c>
      <c r="E3" s="3" t="s">
        <v>79</v>
      </c>
      <c r="F3" s="3" t="s">
        <v>77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 t="s">
        <v>89</v>
      </c>
      <c r="Q3" s="3" t="s">
        <v>90</v>
      </c>
      <c r="R3" s="3" t="s">
        <v>91</v>
      </c>
      <c r="S3" s="3" t="s">
        <v>92</v>
      </c>
      <c r="T3" s="3" t="s">
        <v>93</v>
      </c>
      <c r="U3" s="3" t="s">
        <v>94</v>
      </c>
      <c r="V3" s="3" t="s">
        <v>95</v>
      </c>
      <c r="W3" s="3" t="s">
        <v>96</v>
      </c>
      <c r="X3" s="3" t="s">
        <v>97</v>
      </c>
      <c r="Y3" s="3" t="s">
        <v>98</v>
      </c>
      <c r="Z3" s="3" t="s">
        <v>99</v>
      </c>
      <c r="AA3" s="3" t="s">
        <v>100</v>
      </c>
      <c r="AB3" s="3" t="s">
        <v>101</v>
      </c>
      <c r="AC3" s="3" t="s">
        <v>102</v>
      </c>
      <c r="AD3" s="3" t="s">
        <v>103</v>
      </c>
    </row>
    <row r="4" spans="4:30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4:30" s="6" customFormat="1" x14ac:dyDescent="0.25">
      <c r="D5" s="8" t="s">
        <v>114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4:30" s="6" customFormat="1" x14ac:dyDescent="0.25"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4:30" x14ac:dyDescent="0.25">
      <c r="D7" s="2" t="s">
        <v>113</v>
      </c>
      <c r="E7" s="10"/>
      <c r="F7" s="11">
        <f>'Net Income Statement'!D14</f>
        <v>26516096.380870182</v>
      </c>
      <c r="G7" s="11">
        <f>'Net Income Statement'!E14</f>
        <v>26832505.229313239</v>
      </c>
      <c r="H7" s="11">
        <f>'Net Income Statement'!F14</f>
        <v>27158537.955657579</v>
      </c>
      <c r="I7" s="11">
        <f>'Net Income Statement'!G14</f>
        <v>27494487.279358812</v>
      </c>
      <c r="J7" s="11">
        <f>'Net Income Statement'!H14</f>
        <v>27840654.823214866</v>
      </c>
      <c r="K7" s="11">
        <f>'Net Income Statement'!I14</f>
        <v>26584436.177837707</v>
      </c>
      <c r="L7" s="11">
        <f>'Net Income Statement'!J14</f>
        <v>26992156.877580252</v>
      </c>
      <c r="M7" s="11">
        <f>'Net Income Statement'!K14</f>
        <v>27414378.960265644</v>
      </c>
      <c r="N7" s="11">
        <f>'Net Income Statement'!L14</f>
        <v>27851618.195898656</v>
      </c>
      <c r="O7" s="11">
        <f>'Net Income Statement'!M14</f>
        <v>28304408.698851559</v>
      </c>
      <c r="P7" s="11">
        <f>'Net Income Statement'!N14</f>
        <v>28253093.880936373</v>
      </c>
      <c r="Q7" s="11">
        <f>'Net Income Statement'!O14</f>
        <v>28759089.367141422</v>
      </c>
      <c r="R7" s="11">
        <f>'Net Income Statement'!P14</f>
        <v>29284127.463273179</v>
      </c>
      <c r="S7" s="11">
        <f>'Net Income Statement'!Q14</f>
        <v>29828924.818002842</v>
      </c>
      <c r="T7" s="11">
        <f>'Net Income Statement'!R14</f>
        <v>30394225.050323419</v>
      </c>
      <c r="U7" s="11">
        <f>'Net Income Statement'!S14</f>
        <v>30496845.949485965</v>
      </c>
      <c r="V7" s="11">
        <f>'Net Income Statement'!T14</f>
        <v>31140957.562479869</v>
      </c>
      <c r="W7" s="11">
        <f>'Net Income Statement'!U14</f>
        <v>31811044.074577406</v>
      </c>
      <c r="X7" s="11">
        <f>'Net Income Statement'!V14</f>
        <v>32508152.967876125</v>
      </c>
      <c r="Y7" s="11">
        <f>'Net Income Statement'!W14</f>
        <v>33233373.965975296</v>
      </c>
      <c r="Z7" s="11">
        <f>'Net Income Statement'!X14</f>
        <v>33987840.737436481</v>
      </c>
      <c r="AA7" s="11">
        <f>'Net Income Statement'!Y14</f>
        <v>34772732.667939052</v>
      </c>
      <c r="AB7" s="11">
        <f>'Net Income Statement'!Z14</f>
        <v>35589276.703900933</v>
      </c>
      <c r="AC7" s="11">
        <f>'Net Income Statement'!AA14</f>
        <v>36438749.270446517</v>
      </c>
      <c r="AD7" s="11">
        <f>'Net Income Statement'!AB14</f>
        <v>37322478.266719781</v>
      </c>
    </row>
    <row r="8" spans="4:30" x14ac:dyDescent="0.25">
      <c r="D8" s="2" t="s">
        <v>69</v>
      </c>
      <c r="E8" s="10"/>
      <c r="F8" s="12">
        <f>Depreciation!$D$8</f>
        <v>22388300.22945207</v>
      </c>
      <c r="G8" s="12">
        <f>Depreciation!$D$8</f>
        <v>22388300.22945207</v>
      </c>
      <c r="H8" s="12">
        <f>Depreciation!$D$8</f>
        <v>22388300.22945207</v>
      </c>
      <c r="I8" s="12">
        <f>Depreciation!$D$8</f>
        <v>22388300.22945207</v>
      </c>
      <c r="J8" s="12">
        <f>Depreciation!$D$8</f>
        <v>22388300.22945207</v>
      </c>
      <c r="K8" s="12">
        <f>Depreciation!$D$8</f>
        <v>22388300.22945207</v>
      </c>
      <c r="L8" s="12">
        <f>Depreciation!$D$8</f>
        <v>22388300.22945207</v>
      </c>
      <c r="M8" s="12">
        <f>Depreciation!$D$8</f>
        <v>22388300.22945207</v>
      </c>
      <c r="N8" s="12">
        <f>Depreciation!$D$8</f>
        <v>22388300.22945207</v>
      </c>
      <c r="O8" s="12">
        <f>Depreciation!$D$8</f>
        <v>22388300.22945207</v>
      </c>
      <c r="P8" s="12">
        <f>Depreciation!$D$8</f>
        <v>22388300.22945207</v>
      </c>
      <c r="Q8" s="12">
        <f>Depreciation!$D$8</f>
        <v>22388300.22945207</v>
      </c>
      <c r="R8" s="12">
        <f>Depreciation!$D$8</f>
        <v>22388300.22945207</v>
      </c>
      <c r="S8" s="12">
        <f>Depreciation!$D$8</f>
        <v>22388300.22945207</v>
      </c>
      <c r="T8" s="12">
        <f>Depreciation!$D$8</f>
        <v>22388300.22945207</v>
      </c>
      <c r="U8" s="12">
        <f>Depreciation!$D$8</f>
        <v>22388300.22945207</v>
      </c>
      <c r="V8" s="12">
        <f>Depreciation!$D$8</f>
        <v>22388300.22945207</v>
      </c>
      <c r="W8" s="12">
        <f>Depreciation!$D$8</f>
        <v>22388300.22945207</v>
      </c>
      <c r="X8" s="12">
        <f>Depreciation!$D$8</f>
        <v>22388300.22945207</v>
      </c>
      <c r="Y8" s="12">
        <f>Depreciation!$D$8</f>
        <v>22388300.22945207</v>
      </c>
      <c r="Z8" s="12">
        <f>Depreciation!$D$8</f>
        <v>22388300.22945207</v>
      </c>
      <c r="AA8" s="12">
        <f>Depreciation!$D$8</f>
        <v>22388300.22945207</v>
      </c>
      <c r="AB8" s="12">
        <f>Depreciation!$D$8</f>
        <v>22388300.22945207</v>
      </c>
      <c r="AC8" s="12">
        <f>Depreciation!$D$8</f>
        <v>22388300.22945207</v>
      </c>
      <c r="AD8" s="12">
        <f>Depreciation!$D$8</f>
        <v>22388300.22945207</v>
      </c>
    </row>
    <row r="9" spans="4:30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4:30" x14ac:dyDescent="0.25">
      <c r="D10" s="8" t="s">
        <v>115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4:30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4:30" x14ac:dyDescent="0.25">
      <c r="D12" s="2" t="s">
        <v>117</v>
      </c>
      <c r="E12" s="13">
        <f>-' Cost Basis of The Wind Farm'!E25</f>
        <v>-659462471.31849098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4:30" x14ac:dyDescent="0.25">
      <c r="D13" s="2" t="s">
        <v>71</v>
      </c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5">
        <f>Depreciation!D6</f>
        <v>99754965.582189232</v>
      </c>
    </row>
    <row r="14" spans="4:30" x14ac:dyDescent="0.25">
      <c r="D14" s="2" t="s">
        <v>116</v>
      </c>
      <c r="E14" s="13">
        <v>-100000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5">
        <v>100000</v>
      </c>
    </row>
    <row r="15" spans="4:30" x14ac:dyDescent="0.25">
      <c r="D15" s="2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4:30" s="6" customFormat="1" x14ac:dyDescent="0.25">
      <c r="D16" s="8" t="s">
        <v>122</v>
      </c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4:30" x14ac:dyDescent="0.25">
      <c r="D17" s="2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4:30" x14ac:dyDescent="0.25">
      <c r="D18" s="2" t="s">
        <v>119</v>
      </c>
      <c r="E18" s="17">
        <f>'Bank Loan &amp; Payment Plan'!C2</f>
        <v>459462471.31849098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4:30" x14ac:dyDescent="0.25">
      <c r="D19" s="2" t="s">
        <v>118</v>
      </c>
      <c r="E19" s="18"/>
      <c r="F19" s="19">
        <f>-SUM('Bank Loan &amp; Payment Plan'!E13:E24)</f>
        <v>-12533404.131782396</v>
      </c>
      <c r="G19" s="19">
        <f>-SUM('Bank Loan &amp; Payment Plan'!E25:E36)</f>
        <v>-12914619.611834267</v>
      </c>
      <c r="H19" s="19">
        <f>-SUM('Bank Loan &amp; Payment Plan'!E37:E48)</f>
        <v>-13307430.125502158</v>
      </c>
      <c r="I19" s="19">
        <f>-SUM('Bank Loan &amp; Payment Plan'!E49:E60)</f>
        <v>-13712188.346828939</v>
      </c>
      <c r="J19" s="19">
        <f>-SUM('Bank Loan &amp; Payment Plan'!E61:E72)</f>
        <v>-14129257.676775986</v>
      </c>
      <c r="K19" s="19">
        <f>-SUM('Bank Loan &amp; Payment Plan'!E73:E84)</f>
        <v>-13811409.694616901</v>
      </c>
      <c r="L19" s="19">
        <f>-SUM('Bank Loan &amp; Payment Plan'!E85:E96)</f>
        <v>-14302639.453342862</v>
      </c>
      <c r="M19" s="19">
        <f>-SUM('Bank Loan &amp; Payment Plan'!E97:E108)</f>
        <v>-14811340.757783094</v>
      </c>
      <c r="N19" s="19">
        <f>-SUM('Bank Loan &amp; Payment Plan'!E109:E120)</f>
        <v>-15338135.017581897</v>
      </c>
      <c r="O19" s="19">
        <f>-SUM('Bank Loan &amp; Payment Plan'!E121:E132)</f>
        <v>-15883665.744031174</v>
      </c>
      <c r="P19" s="19">
        <f>-SUM('Bank Loan &amp; Payment Plan'!E133:E144)</f>
        <v>-16199019.256221719</v>
      </c>
      <c r="Q19" s="19">
        <f>-SUM('Bank Loan &amp; Payment Plan'!E145:E156)</f>
        <v>-16808652.372131418</v>
      </c>
      <c r="R19" s="19">
        <f>-SUM('Bank Loan &amp; Payment Plan'!E157:E168)</f>
        <v>-17441228.391567271</v>
      </c>
      <c r="S19" s="19">
        <f>-SUM('Bank Loan &amp; Payment Plan'!E169:E180)</f>
        <v>-18097610.746663246</v>
      </c>
      <c r="T19" s="19">
        <f>-SUM('Bank Loan &amp; Payment Plan'!E181:E192)</f>
        <v>-18778695.363916952</v>
      </c>
      <c r="U19" s="19">
        <f>-SUM('Bank Loan &amp; Payment Plan'!E193:E204)</f>
        <v>-19243776.17701057</v>
      </c>
      <c r="V19" s="19">
        <f>-SUM('Bank Loan &amp; Payment Plan'!E205:E216)</f>
        <v>-20019814.264955029</v>
      </c>
      <c r="W19" s="19">
        <f>-SUM('Bank Loan &amp; Payment Plan'!E217:E228)</f>
        <v>-20827147.412060488</v>
      </c>
      <c r="X19" s="19">
        <f>-SUM('Bank Loan &amp; Payment Plan'!E229:E240)</f>
        <v>-21667037.644950513</v>
      </c>
      <c r="Y19" s="19">
        <f>-SUM('Bank Loan &amp; Payment Plan'!E241:E252)</f>
        <v>-22540797.883624222</v>
      </c>
      <c r="Z19" s="19">
        <f>-SUM('Bank Loan &amp; Payment Plan'!E253:E264)</f>
        <v>-23449793.993818417</v>
      </c>
      <c r="AA19" s="19">
        <f>-SUM('Bank Loan &amp; Payment Plan'!E265:E276)</f>
        <v>-24395446.922134764</v>
      </c>
      <c r="AB19" s="19">
        <f>-SUM('Bank Loan &amp; Payment Plan'!E277:E288)</f>
        <v>-25379234.917269573</v>
      </c>
      <c r="AC19" s="19">
        <f>-SUM('Bank Loan &amp; Payment Plan'!E289:E300)</f>
        <v>-26402695.840818457</v>
      </c>
      <c r="AD19" s="19">
        <f>-SUM('Bank Loan &amp; Payment Plan'!E301:E312)</f>
        <v>-27467429.571268182</v>
      </c>
    </row>
    <row r="20" spans="4:30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4:30" x14ac:dyDescent="0.25">
      <c r="D21" s="8" t="s">
        <v>120</v>
      </c>
      <c r="E21" s="20">
        <f t="shared" ref="E21:AC21" si="0">SUM(E7:E8,E12:E14,E18:E19)</f>
        <v>-200100000</v>
      </c>
      <c r="F21" s="20">
        <f t="shared" si="0"/>
        <v>36370992.478539854</v>
      </c>
      <c r="G21" s="21">
        <f t="shared" si="0"/>
        <v>36306185.846931048</v>
      </c>
      <c r="H21" s="21">
        <f t="shared" si="0"/>
        <v>36239408.059607491</v>
      </c>
      <c r="I21" s="21">
        <f t="shared" si="0"/>
        <v>36170599.16198194</v>
      </c>
      <c r="J21" s="21">
        <f t="shared" si="0"/>
        <v>36099697.375890948</v>
      </c>
      <c r="K21" s="21">
        <f t="shared" si="0"/>
        <v>35161326.712672874</v>
      </c>
      <c r="L21" s="21">
        <f t="shared" si="0"/>
        <v>35077817.653689459</v>
      </c>
      <c r="M21" s="21">
        <f t="shared" si="0"/>
        <v>34991338.431934617</v>
      </c>
      <c r="N21" s="21">
        <f t="shared" si="0"/>
        <v>34901783.407768831</v>
      </c>
      <c r="O21" s="21">
        <f t="shared" si="0"/>
        <v>34809043.184272453</v>
      </c>
      <c r="P21" s="21">
        <f t="shared" si="0"/>
        <v>34442374.854166724</v>
      </c>
      <c r="Q21" s="21">
        <f t="shared" si="0"/>
        <v>34338737.224462077</v>
      </c>
      <c r="R21" s="21">
        <f t="shared" si="0"/>
        <v>34231199.301157981</v>
      </c>
      <c r="S21" s="21">
        <f t="shared" si="0"/>
        <v>34119614.300791666</v>
      </c>
      <c r="T21" s="21">
        <f t="shared" si="0"/>
        <v>34003829.915858537</v>
      </c>
      <c r="U21" s="21">
        <f t="shared" si="0"/>
        <v>33641370.001927465</v>
      </c>
      <c r="V21" s="21">
        <f t="shared" si="0"/>
        <v>33509443.526976913</v>
      </c>
      <c r="W21" s="21">
        <f t="shared" si="0"/>
        <v>33372196.891968992</v>
      </c>
      <c r="X21" s="21">
        <f t="shared" si="0"/>
        <v>33229415.552377682</v>
      </c>
      <c r="Y21" s="21">
        <f t="shared" si="0"/>
        <v>33080876.311803143</v>
      </c>
      <c r="Z21" s="21">
        <f t="shared" si="0"/>
        <v>32926346.97307013</v>
      </c>
      <c r="AA21" s="21">
        <f t="shared" si="0"/>
        <v>32765585.975256361</v>
      </c>
      <c r="AB21" s="21">
        <f t="shared" si="0"/>
        <v>32598342.016083434</v>
      </c>
      <c r="AC21" s="21">
        <f t="shared" si="0"/>
        <v>32424353.659080125</v>
      </c>
      <c r="AD21" s="21">
        <f>SUM(AD7:AD8,AD12:AD13,AD18:AD19)</f>
        <v>131998314.50709291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8C5E-ABDD-4BA9-8497-B6FF0CFE82F2}">
  <dimension ref="B1:L29"/>
  <sheetViews>
    <sheetView zoomScale="115" zoomScaleNormal="115" workbookViewId="0">
      <selection activeCell="J4" sqref="J4"/>
    </sheetView>
  </sheetViews>
  <sheetFormatPr defaultRowHeight="15" x14ac:dyDescent="0.25"/>
  <cols>
    <col min="1" max="1" width="13.85546875" customWidth="1"/>
    <col min="2" max="2" width="14.7109375" customWidth="1"/>
    <col min="3" max="3" width="20" customWidth="1"/>
    <col min="4" max="4" width="21.5703125" customWidth="1"/>
    <col min="7" max="7" width="15.5703125" bestFit="1" customWidth="1"/>
    <col min="9" max="9" width="17" customWidth="1"/>
    <col min="10" max="10" width="17.5703125" customWidth="1"/>
    <col min="11" max="11" width="18.85546875" customWidth="1"/>
    <col min="14" max="14" width="26.5703125" customWidth="1"/>
  </cols>
  <sheetData>
    <row r="1" spans="2:12" x14ac:dyDescent="0.25">
      <c r="B1" s="57" t="s">
        <v>123</v>
      </c>
      <c r="C1" s="58">
        <v>0.1</v>
      </c>
      <c r="I1" s="30" t="s">
        <v>128</v>
      </c>
      <c r="J1" s="30" t="s">
        <v>129</v>
      </c>
      <c r="K1" s="30" t="s">
        <v>127</v>
      </c>
      <c r="L1" s="30" t="s">
        <v>130</v>
      </c>
    </row>
    <row r="2" spans="2:12" x14ac:dyDescent="0.25">
      <c r="I2" s="30" t="s">
        <v>124</v>
      </c>
      <c r="J2" s="59">
        <f>IRR(C4:C29)</f>
        <v>0.17585687147682649</v>
      </c>
      <c r="K2" s="30" t="s">
        <v>131</v>
      </c>
      <c r="L2" s="30" t="s">
        <v>132</v>
      </c>
    </row>
    <row r="3" spans="2:12" x14ac:dyDescent="0.25">
      <c r="B3" s="3" t="s">
        <v>73</v>
      </c>
      <c r="C3" s="50" t="s">
        <v>120</v>
      </c>
      <c r="D3" s="43" t="s">
        <v>121</v>
      </c>
      <c r="G3" s="7"/>
      <c r="I3" s="30" t="s">
        <v>125</v>
      </c>
      <c r="J3" s="60">
        <f>NPV(C1,C4:C29)</f>
        <v>116053052.44225712</v>
      </c>
      <c r="K3" s="30" t="s">
        <v>126</v>
      </c>
      <c r="L3" s="30" t="s">
        <v>132</v>
      </c>
    </row>
    <row r="4" spans="2:12" x14ac:dyDescent="0.25">
      <c r="B4" s="3">
        <v>0</v>
      </c>
      <c r="C4" s="55" cm="1">
        <f t="array" ref="C4:C29">TRANSPOSE('Cash Flow Statement'!E21:AD21)</f>
        <v>-200100000</v>
      </c>
      <c r="D4" s="56">
        <f>C4</f>
        <v>-200100000</v>
      </c>
      <c r="I4" s="30" t="s">
        <v>133</v>
      </c>
      <c r="J4" s="60">
        <f>PMT(C1,25,-J3)</f>
        <v>12785341.059330858</v>
      </c>
      <c r="K4" s="30" t="s">
        <v>134</v>
      </c>
      <c r="L4" s="30" t="s">
        <v>132</v>
      </c>
    </row>
    <row r="5" spans="2:12" x14ac:dyDescent="0.25">
      <c r="B5" s="3">
        <v>1</v>
      </c>
      <c r="C5" s="55">
        <v>36370992.478539854</v>
      </c>
      <c r="D5" s="56">
        <f>D4+C5</f>
        <v>-163729007.52146015</v>
      </c>
      <c r="I5" s="30" t="s">
        <v>136</v>
      </c>
      <c r="J5" s="60" t="s">
        <v>142</v>
      </c>
      <c r="K5" s="30" t="s">
        <v>137</v>
      </c>
      <c r="L5" s="30" t="s">
        <v>132</v>
      </c>
    </row>
    <row r="6" spans="2:12" x14ac:dyDescent="0.25">
      <c r="B6" s="3">
        <v>2</v>
      </c>
      <c r="C6" s="55">
        <v>36306185.846931048</v>
      </c>
      <c r="D6" s="56">
        <f>D5+C6</f>
        <v>-127422821.67452911</v>
      </c>
      <c r="E6" s="72"/>
    </row>
    <row r="7" spans="2:12" x14ac:dyDescent="0.25">
      <c r="B7" s="3">
        <v>3</v>
      </c>
      <c r="C7" s="55">
        <v>36239408.059607491</v>
      </c>
      <c r="D7" s="56">
        <f t="shared" ref="D7:D29" si="0">D6+C7</f>
        <v>-91183413.614921615</v>
      </c>
    </row>
    <row r="8" spans="2:12" x14ac:dyDescent="0.25">
      <c r="B8" s="3">
        <v>4</v>
      </c>
      <c r="C8" s="55">
        <v>36170599.16198194</v>
      </c>
      <c r="D8" s="56">
        <f t="shared" si="0"/>
        <v>-55012814.452939674</v>
      </c>
    </row>
    <row r="9" spans="2:12" x14ac:dyDescent="0.25">
      <c r="B9" s="3">
        <v>5</v>
      </c>
      <c r="C9" s="55">
        <v>36099697.375890948</v>
      </c>
      <c r="D9" s="56">
        <f t="shared" si="0"/>
        <v>-18913117.077048726</v>
      </c>
    </row>
    <row r="10" spans="2:12" x14ac:dyDescent="0.25">
      <c r="B10" s="3">
        <v>6</v>
      </c>
      <c r="C10" s="55">
        <v>35161326.712672874</v>
      </c>
      <c r="D10" s="56">
        <f t="shared" si="0"/>
        <v>16248209.635624148</v>
      </c>
    </row>
    <row r="11" spans="2:12" x14ac:dyDescent="0.25">
      <c r="B11" s="3">
        <v>7</v>
      </c>
      <c r="C11" s="55">
        <v>35077817.653689459</v>
      </c>
      <c r="D11" s="56">
        <f t="shared" si="0"/>
        <v>51326027.289313607</v>
      </c>
    </row>
    <row r="12" spans="2:12" x14ac:dyDescent="0.25">
      <c r="B12" s="3">
        <v>8</v>
      </c>
      <c r="C12" s="55">
        <v>34991338.431934617</v>
      </c>
      <c r="D12" s="56">
        <f t="shared" si="0"/>
        <v>86317365.721248224</v>
      </c>
    </row>
    <row r="13" spans="2:12" x14ac:dyDescent="0.25">
      <c r="B13" s="3">
        <v>9</v>
      </c>
      <c r="C13" s="55">
        <v>34901783.407768831</v>
      </c>
      <c r="D13" s="56">
        <f t="shared" si="0"/>
        <v>121219149.12901706</v>
      </c>
    </row>
    <row r="14" spans="2:12" x14ac:dyDescent="0.25">
      <c r="B14" s="3">
        <v>10</v>
      </c>
      <c r="C14" s="55">
        <v>34809043.184272453</v>
      </c>
      <c r="D14" s="56">
        <f t="shared" si="0"/>
        <v>156028192.31328952</v>
      </c>
    </row>
    <row r="15" spans="2:12" x14ac:dyDescent="0.25">
      <c r="B15" s="3">
        <v>11</v>
      </c>
      <c r="C15" s="55">
        <v>34442374.854166724</v>
      </c>
      <c r="D15" s="56">
        <f t="shared" si="0"/>
        <v>190470567.16745624</v>
      </c>
    </row>
    <row r="16" spans="2:12" x14ac:dyDescent="0.25">
      <c r="B16" s="3">
        <v>12</v>
      </c>
      <c r="C16" s="55">
        <v>34338737.224462077</v>
      </c>
      <c r="D16" s="56">
        <f t="shared" si="0"/>
        <v>224809304.3919183</v>
      </c>
      <c r="G16" s="5"/>
    </row>
    <row r="17" spans="2:4" x14ac:dyDescent="0.25">
      <c r="B17" s="3">
        <v>13</v>
      </c>
      <c r="C17" s="55">
        <v>34231199.301157981</v>
      </c>
      <c r="D17" s="56">
        <f t="shared" si="0"/>
        <v>259040503.69307628</v>
      </c>
    </row>
    <row r="18" spans="2:4" x14ac:dyDescent="0.25">
      <c r="B18" s="3">
        <v>14</v>
      </c>
      <c r="C18" s="55">
        <v>34119614.300791666</v>
      </c>
      <c r="D18" s="56">
        <f t="shared" si="0"/>
        <v>293160117.99386793</v>
      </c>
    </row>
    <row r="19" spans="2:4" x14ac:dyDescent="0.25">
      <c r="B19" s="3">
        <v>15</v>
      </c>
      <c r="C19" s="55">
        <v>34003829.915858537</v>
      </c>
      <c r="D19" s="56">
        <f t="shared" si="0"/>
        <v>327163947.9097265</v>
      </c>
    </row>
    <row r="20" spans="2:4" x14ac:dyDescent="0.25">
      <c r="B20" s="3">
        <v>16</v>
      </c>
      <c r="C20" s="55">
        <v>33641370.001927465</v>
      </c>
      <c r="D20" s="56">
        <f t="shared" si="0"/>
        <v>360805317.911654</v>
      </c>
    </row>
    <row r="21" spans="2:4" x14ac:dyDescent="0.25">
      <c r="B21" s="3">
        <v>17</v>
      </c>
      <c r="C21" s="55">
        <v>33509443.526976913</v>
      </c>
      <c r="D21" s="56">
        <f t="shared" si="0"/>
        <v>394314761.43863094</v>
      </c>
    </row>
    <row r="22" spans="2:4" x14ac:dyDescent="0.25">
      <c r="B22" s="3">
        <v>18</v>
      </c>
      <c r="C22" s="55">
        <v>33372196.891968992</v>
      </c>
      <c r="D22" s="56">
        <f t="shared" si="0"/>
        <v>427686958.3305999</v>
      </c>
    </row>
    <row r="23" spans="2:4" x14ac:dyDescent="0.25">
      <c r="B23" s="3">
        <v>19</v>
      </c>
      <c r="C23" s="55">
        <v>33229415.552377682</v>
      </c>
      <c r="D23" s="56">
        <f t="shared" si="0"/>
        <v>460916373.8829776</v>
      </c>
    </row>
    <row r="24" spans="2:4" x14ac:dyDescent="0.25">
      <c r="B24" s="3">
        <v>20</v>
      </c>
      <c r="C24" s="55">
        <v>33080876.311803143</v>
      </c>
      <c r="D24" s="56">
        <f t="shared" si="0"/>
        <v>493997250.19478077</v>
      </c>
    </row>
    <row r="25" spans="2:4" x14ac:dyDescent="0.25">
      <c r="B25" s="3">
        <v>21</v>
      </c>
      <c r="C25" s="55">
        <v>32926346.97307013</v>
      </c>
      <c r="D25" s="56">
        <f t="shared" si="0"/>
        <v>526923597.16785091</v>
      </c>
    </row>
    <row r="26" spans="2:4" x14ac:dyDescent="0.25">
      <c r="B26" s="3">
        <v>22</v>
      </c>
      <c r="C26" s="55">
        <v>32765585.975256361</v>
      </c>
      <c r="D26" s="56">
        <f t="shared" si="0"/>
        <v>559689183.1431073</v>
      </c>
    </row>
    <row r="27" spans="2:4" x14ac:dyDescent="0.25">
      <c r="B27" s="3">
        <v>23</v>
      </c>
      <c r="C27" s="55">
        <v>32598342.016083434</v>
      </c>
      <c r="D27" s="56">
        <f t="shared" si="0"/>
        <v>592287525.15919077</v>
      </c>
    </row>
    <row r="28" spans="2:4" x14ac:dyDescent="0.25">
      <c r="B28" s="3">
        <v>24</v>
      </c>
      <c r="C28" s="55">
        <v>32424353.659080125</v>
      </c>
      <c r="D28" s="56">
        <f t="shared" si="0"/>
        <v>624711878.81827092</v>
      </c>
    </row>
    <row r="29" spans="2:4" x14ac:dyDescent="0.25">
      <c r="B29" s="3">
        <v>25</v>
      </c>
      <c r="C29" s="55">
        <v>131998314.50709291</v>
      </c>
      <c r="D29" s="56">
        <f t="shared" si="0"/>
        <v>756710193.32536387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3C4-8D8B-4146-B4DE-438B406188BC}">
  <dimension ref="C15:AC58"/>
  <sheetViews>
    <sheetView tabSelected="1" topLeftCell="B13" zoomScaleNormal="100" workbookViewId="0"/>
  </sheetViews>
  <sheetFormatPr defaultRowHeight="15" x14ac:dyDescent="0.25"/>
  <cols>
    <col min="3" max="3" width="21.28515625" customWidth="1"/>
    <col min="4" max="4" width="15.5703125" bestFit="1" customWidth="1"/>
    <col min="5" max="5" width="16.28515625" bestFit="1" customWidth="1"/>
    <col min="6" max="6" width="18.85546875" customWidth="1"/>
    <col min="7" max="29" width="16.28515625" bestFit="1" customWidth="1"/>
  </cols>
  <sheetData>
    <row r="15" spans="3:29" x14ac:dyDescent="0.25">
      <c r="C15" s="3"/>
      <c r="D15" s="3" t="s">
        <v>79</v>
      </c>
      <c r="E15" s="50" t="s">
        <v>77</v>
      </c>
      <c r="F15" s="50" t="s">
        <v>80</v>
      </c>
      <c r="G15" s="50" t="s">
        <v>81</v>
      </c>
      <c r="H15" s="50" t="s">
        <v>82</v>
      </c>
      <c r="I15" s="50" t="s">
        <v>83</v>
      </c>
      <c r="J15" s="50" t="s">
        <v>84</v>
      </c>
      <c r="K15" s="50" t="s">
        <v>85</v>
      </c>
      <c r="L15" s="50" t="s">
        <v>86</v>
      </c>
      <c r="M15" s="50" t="s">
        <v>87</v>
      </c>
      <c r="N15" s="50" t="s">
        <v>88</v>
      </c>
      <c r="O15" s="50" t="s">
        <v>89</v>
      </c>
      <c r="P15" s="50" t="s">
        <v>90</v>
      </c>
      <c r="Q15" s="50" t="s">
        <v>91</v>
      </c>
      <c r="R15" s="50" t="s">
        <v>92</v>
      </c>
      <c r="S15" s="50" t="s">
        <v>93</v>
      </c>
      <c r="T15" s="50" t="s">
        <v>94</v>
      </c>
      <c r="U15" s="50" t="s">
        <v>95</v>
      </c>
      <c r="V15" s="50" t="s">
        <v>96</v>
      </c>
      <c r="W15" s="50" t="s">
        <v>97</v>
      </c>
      <c r="X15" s="50" t="s">
        <v>98</v>
      </c>
      <c r="Y15" s="50" t="s">
        <v>99</v>
      </c>
      <c r="Z15" s="50" t="s">
        <v>100</v>
      </c>
      <c r="AA15" s="50" t="s">
        <v>101</v>
      </c>
      <c r="AB15" s="50" t="s">
        <v>102</v>
      </c>
      <c r="AC15" s="50" t="s">
        <v>103</v>
      </c>
    </row>
    <row r="16" spans="3:29" x14ac:dyDescent="0.25">
      <c r="C16" s="8" t="s">
        <v>76</v>
      </c>
      <c r="D16" s="68">
        <v>459462471.31999999</v>
      </c>
      <c r="E16" s="23">
        <f>'Annual Revenues'!$I$15</f>
        <v>84096000</v>
      </c>
      <c r="F16" s="23">
        <f>'Annual Revenues'!$I$15</f>
        <v>84096000</v>
      </c>
      <c r="G16" s="23">
        <f>'Annual Revenues'!$I$15</f>
        <v>84096000</v>
      </c>
      <c r="H16" s="23">
        <f>'Annual Revenues'!$I$15</f>
        <v>84096000</v>
      </c>
      <c r="I16" s="23">
        <f>'Annual Revenues'!$I$15</f>
        <v>84096000</v>
      </c>
      <c r="J16" s="23">
        <f>'Annual Revenues'!$I$15</f>
        <v>84096000</v>
      </c>
      <c r="K16" s="23">
        <f>'Annual Revenues'!$I$15</f>
        <v>84096000</v>
      </c>
      <c r="L16" s="23">
        <f>'Annual Revenues'!$I$15</f>
        <v>84096000</v>
      </c>
      <c r="M16" s="23">
        <f>'Annual Revenues'!$I$15</f>
        <v>84096000</v>
      </c>
      <c r="N16" s="23">
        <f>'Annual Revenues'!$I$15</f>
        <v>84096000</v>
      </c>
      <c r="O16" s="23">
        <f>'Annual Revenues'!$I$15</f>
        <v>84096000</v>
      </c>
      <c r="P16" s="23">
        <f>'Annual Revenues'!$I$15</f>
        <v>84096000</v>
      </c>
      <c r="Q16" s="23">
        <f>'Annual Revenues'!$I$15</f>
        <v>84096000</v>
      </c>
      <c r="R16" s="23">
        <f>'Annual Revenues'!$I$15</f>
        <v>84096000</v>
      </c>
      <c r="S16" s="23">
        <f>'Annual Revenues'!$I$15</f>
        <v>84096000</v>
      </c>
      <c r="T16" s="23">
        <f>'Annual Revenues'!$I$15</f>
        <v>84096000</v>
      </c>
      <c r="U16" s="23">
        <f>'Annual Revenues'!$I$15</f>
        <v>84096000</v>
      </c>
      <c r="V16" s="23">
        <f>'Annual Revenues'!$I$15</f>
        <v>84096000</v>
      </c>
      <c r="W16" s="23">
        <f>'Annual Revenues'!$I$15</f>
        <v>84096000</v>
      </c>
      <c r="X16" s="23">
        <f>'Annual Revenues'!$I$15</f>
        <v>84096000</v>
      </c>
      <c r="Y16" s="23">
        <f>'Annual Revenues'!$I$15</f>
        <v>84096000</v>
      </c>
      <c r="Z16" s="23">
        <f>'Annual Revenues'!$I$15</f>
        <v>84096000</v>
      </c>
      <c r="AA16" s="23">
        <f>'Annual Revenues'!$I$15</f>
        <v>84096000</v>
      </c>
      <c r="AB16" s="23">
        <f>'Annual Revenues'!$I$15</f>
        <v>84096000</v>
      </c>
      <c r="AC16" s="23">
        <f>'Annual Revenues'!$I$15+'Cash Flow Statement'!AD13+'Cash Flow Statement'!AD14</f>
        <v>183950965.58218923</v>
      </c>
    </row>
    <row r="17" spans="3:29" s="6" customFormat="1" hidden="1" x14ac:dyDescent="0.25">
      <c r="C17" s="69" t="str" cm="1">
        <f t="array" ref="C17:AC17">TRANSPOSE(F32:F58)</f>
        <v>Bank Loan Payments</v>
      </c>
      <c r="D17" s="68">
        <v>0</v>
      </c>
      <c r="E17" s="16">
        <v>26145876.263068207</v>
      </c>
      <c r="F17" s="16">
        <v>26145876.263068207</v>
      </c>
      <c r="G17" s="16">
        <v>26145876.263068207</v>
      </c>
      <c r="H17" s="16">
        <v>26145876.263068207</v>
      </c>
      <c r="I17" s="16">
        <v>26145876.263068207</v>
      </c>
      <c r="J17" s="16">
        <v>27341544.721122563</v>
      </c>
      <c r="K17" s="16">
        <v>27341544.721122563</v>
      </c>
      <c r="L17" s="16">
        <v>27341544.721122563</v>
      </c>
      <c r="M17" s="16">
        <v>27341544.721122563</v>
      </c>
      <c r="N17" s="16">
        <v>27341544.721122563</v>
      </c>
      <c r="O17" s="16">
        <v>27718723.315138623</v>
      </c>
      <c r="P17" s="16">
        <v>27718723.315138623</v>
      </c>
      <c r="Q17" s="16">
        <v>27718723.315138623</v>
      </c>
      <c r="R17" s="16">
        <v>27718723.315138623</v>
      </c>
      <c r="S17" s="16">
        <v>27718723.315138623</v>
      </c>
      <c r="T17" s="16">
        <v>28060164.490686998</v>
      </c>
      <c r="U17" s="16">
        <v>28060164.490686998</v>
      </c>
      <c r="V17" s="16">
        <v>28060164.490686998</v>
      </c>
      <c r="W17" s="16">
        <v>28060164.490686998</v>
      </c>
      <c r="X17" s="16">
        <v>28060164.490686998</v>
      </c>
      <c r="Y17" s="16">
        <v>28060164.490686998</v>
      </c>
      <c r="Z17" s="16">
        <v>28060164.490686998</v>
      </c>
      <c r="AA17" s="16">
        <v>28060164.490686998</v>
      </c>
      <c r="AB17" s="16">
        <v>28060164.490686998</v>
      </c>
      <c r="AC17" s="16">
        <v>28060164.490686998</v>
      </c>
    </row>
    <row r="18" spans="3:29" s="6" customFormat="1" hidden="1" x14ac:dyDescent="0.25">
      <c r="C18" s="3" t="s">
        <v>112</v>
      </c>
      <c r="D18" s="68"/>
      <c r="E18" s="26">
        <v>14485343.692467382</v>
      </c>
      <c r="F18" s="26">
        <v>14550150.324076202</v>
      </c>
      <c r="G18" s="26">
        <v>14616928.111399742</v>
      </c>
      <c r="H18" s="26">
        <v>14685737.009025294</v>
      </c>
      <c r="I18" s="26">
        <v>14756638.795116294</v>
      </c>
      <c r="J18" s="26">
        <v>14499341.00028001</v>
      </c>
      <c r="K18" s="26">
        <v>14582850.059263421</v>
      </c>
      <c r="L18" s="26">
        <v>14669329.281018261</v>
      </c>
      <c r="M18" s="26">
        <v>14758884.305184059</v>
      </c>
      <c r="N18" s="26">
        <v>14851624.528680436</v>
      </c>
      <c r="O18" s="26">
        <v>14841114.264770096</v>
      </c>
      <c r="P18" s="26">
        <v>14944751.894474745</v>
      </c>
      <c r="Q18" s="26">
        <v>15052289.817778841</v>
      </c>
      <c r="R18" s="26">
        <v>15163874.818145158</v>
      </c>
      <c r="S18" s="26">
        <v>15279659.203078287</v>
      </c>
      <c r="T18" s="26">
        <v>15300677.941460978</v>
      </c>
      <c r="U18" s="26">
        <v>15432604.416411534</v>
      </c>
      <c r="V18" s="26">
        <v>15569851.051419465</v>
      </c>
      <c r="W18" s="26">
        <v>15712632.391010769</v>
      </c>
      <c r="X18" s="26">
        <v>15861171.631585298</v>
      </c>
      <c r="Y18" s="26">
        <v>16015700.97031831</v>
      </c>
      <c r="Z18" s="26">
        <v>16176461.968132092</v>
      </c>
      <c r="AA18" s="26">
        <v>16343705.927305007</v>
      </c>
      <c r="AB18" s="26">
        <v>16517694.284308318</v>
      </c>
      <c r="AC18" s="26">
        <v>16698699.018484771</v>
      </c>
    </row>
    <row r="19" spans="3:29" hidden="1" x14ac:dyDescent="0.25">
      <c r="C19" s="3" t="s">
        <v>106</v>
      </c>
      <c r="D19" s="68"/>
      <c r="E19" s="24">
        <f>-'Annual O&amp;M Payments'!$D$11</f>
        <v>-16148123.565924551</v>
      </c>
      <c r="F19" s="24">
        <f>-'Annual O&amp;M Payments'!$D$11</f>
        <v>-16148123.565924551</v>
      </c>
      <c r="G19" s="24">
        <f>-'Annual O&amp;M Payments'!$D$11</f>
        <v>-16148123.565924551</v>
      </c>
      <c r="H19" s="24">
        <f>-'Annual O&amp;M Payments'!$D$11</f>
        <v>-16148123.565924551</v>
      </c>
      <c r="I19" s="24">
        <f>-'Annual O&amp;M Payments'!$D$11</f>
        <v>-16148123.565924551</v>
      </c>
      <c r="J19" s="24">
        <f>-'Annual O&amp;M Payments'!$D$11</f>
        <v>-16148123.565924551</v>
      </c>
      <c r="K19" s="24">
        <f>-'Annual O&amp;M Payments'!$D$11</f>
        <v>-16148123.565924551</v>
      </c>
      <c r="L19" s="24">
        <f>-'Annual O&amp;M Payments'!$D$11</f>
        <v>-16148123.565924551</v>
      </c>
      <c r="M19" s="24">
        <f>-'Annual O&amp;M Payments'!$D$11</f>
        <v>-16148123.565924551</v>
      </c>
      <c r="N19" s="24">
        <f>-'Annual O&amp;M Payments'!$D$11</f>
        <v>-16148123.565924551</v>
      </c>
      <c r="O19" s="24">
        <f>-'Annual O&amp;M Payments'!$D$11</f>
        <v>-16148123.565924551</v>
      </c>
      <c r="P19" s="24">
        <f>-'Annual O&amp;M Payments'!$D$11</f>
        <v>-16148123.565924551</v>
      </c>
      <c r="Q19" s="24">
        <f>-'Annual O&amp;M Payments'!$D$11</f>
        <v>-16148123.565924551</v>
      </c>
      <c r="R19" s="24">
        <f>-'Annual O&amp;M Payments'!$D$11</f>
        <v>-16148123.565924551</v>
      </c>
      <c r="S19" s="24">
        <f>-'Annual O&amp;M Payments'!$D$11</f>
        <v>-16148123.565924551</v>
      </c>
      <c r="T19" s="24">
        <f>-'Annual O&amp;M Payments'!$D$11</f>
        <v>-16148123.565924551</v>
      </c>
      <c r="U19" s="24">
        <f>-'Annual O&amp;M Payments'!$D$11</f>
        <v>-16148123.565924551</v>
      </c>
      <c r="V19" s="24">
        <f>-'Annual O&amp;M Payments'!$D$11</f>
        <v>-16148123.565924551</v>
      </c>
      <c r="W19" s="24">
        <f>-'Annual O&amp;M Payments'!$D$11</f>
        <v>-16148123.565924551</v>
      </c>
      <c r="X19" s="24">
        <f>-'Annual O&amp;M Payments'!$D$11</f>
        <v>-16148123.565924551</v>
      </c>
      <c r="Y19" s="24">
        <f>-'Annual O&amp;M Payments'!$D$11</f>
        <v>-16148123.565924551</v>
      </c>
      <c r="Z19" s="24">
        <f>-'Annual O&amp;M Payments'!$D$11</f>
        <v>-16148123.565924551</v>
      </c>
      <c r="AA19" s="24">
        <f>-'Annual O&amp;M Payments'!$D$11</f>
        <v>-16148123.565924551</v>
      </c>
      <c r="AB19" s="24">
        <f>-'Annual O&amp;M Payments'!$D$11</f>
        <v>-16148123.565924551</v>
      </c>
      <c r="AC19" s="24">
        <f>-'Annual O&amp;M Payments'!$D$11</f>
        <v>-16148123.565924551</v>
      </c>
    </row>
    <row r="20" spans="3:29" ht="16.5" customHeight="1" x14ac:dyDescent="0.25">
      <c r="C20" s="70" t="s">
        <v>139</v>
      </c>
      <c r="D20" s="73">
        <f>-' Cost Basis of The Wind Farm'!E25+'Cash Flow Statement'!E14</f>
        <v>-659562471.31849098</v>
      </c>
      <c r="E20" s="71">
        <f>-SUM(E17:E18)+E19</f>
        <v>-56779343.521460146</v>
      </c>
      <c r="F20" s="71">
        <f t="shared" ref="F20:AC20" si="0">-SUM(F17:F18)+F19</f>
        <v>-56844150.15306896</v>
      </c>
      <c r="G20" s="71">
        <f t="shared" si="0"/>
        <v>-56910927.940392494</v>
      </c>
      <c r="H20" s="71">
        <f t="shared" si="0"/>
        <v>-56979736.83801806</v>
      </c>
      <c r="I20" s="71">
        <f t="shared" si="0"/>
        <v>-57050638.62410906</v>
      </c>
      <c r="J20" s="71">
        <f t="shared" si="0"/>
        <v>-57989009.287327126</v>
      </c>
      <c r="K20" s="71">
        <f t="shared" si="0"/>
        <v>-58072518.346310541</v>
      </c>
      <c r="L20" s="71">
        <f t="shared" si="0"/>
        <v>-58158997.568065375</v>
      </c>
      <c r="M20" s="71">
        <f t="shared" si="0"/>
        <v>-58248552.592231169</v>
      </c>
      <c r="N20" s="71">
        <f t="shared" si="0"/>
        <v>-58341292.815727547</v>
      </c>
      <c r="O20" s="71">
        <f t="shared" si="0"/>
        <v>-58707961.145833269</v>
      </c>
      <c r="P20" s="71">
        <f t="shared" si="0"/>
        <v>-58811598.775537923</v>
      </c>
      <c r="Q20" s="71">
        <f t="shared" si="0"/>
        <v>-58919136.698842019</v>
      </c>
      <c r="R20" s="71">
        <f t="shared" si="0"/>
        <v>-59030721.699208334</v>
      </c>
      <c r="S20" s="71">
        <f t="shared" si="0"/>
        <v>-59146506.084141463</v>
      </c>
      <c r="T20" s="71">
        <f t="shared" si="0"/>
        <v>-59508965.998072535</v>
      </c>
      <c r="U20" s="71">
        <f t="shared" si="0"/>
        <v>-59640892.473023087</v>
      </c>
      <c r="V20" s="71">
        <f t="shared" si="0"/>
        <v>-59778139.10803102</v>
      </c>
      <c r="W20" s="71">
        <f t="shared" si="0"/>
        <v>-59920920.447622314</v>
      </c>
      <c r="X20" s="71">
        <f t="shared" si="0"/>
        <v>-60069459.688196853</v>
      </c>
      <c r="Y20" s="71">
        <f t="shared" si="0"/>
        <v>-60223989.026929855</v>
      </c>
      <c r="Z20" s="71">
        <f t="shared" si="0"/>
        <v>-60384750.024743646</v>
      </c>
      <c r="AA20" s="71">
        <f t="shared" si="0"/>
        <v>-60551993.983916551</v>
      </c>
      <c r="AB20" s="71">
        <f t="shared" si="0"/>
        <v>-60725982.340919867</v>
      </c>
      <c r="AC20" s="71">
        <f t="shared" si="0"/>
        <v>-60906987.075096324</v>
      </c>
    </row>
    <row r="21" spans="3:29" x14ac:dyDescent="0.25">
      <c r="C21" s="70" t="s">
        <v>143</v>
      </c>
      <c r="D21" s="73">
        <f>SUM(D16+D20)</f>
        <v>-200099999.99849099</v>
      </c>
      <c r="E21" s="73">
        <f t="shared" ref="E21:AC21" si="1">SUM(E16+E20)</f>
        <v>27316656.478539854</v>
      </c>
      <c r="F21" s="73">
        <f t="shared" si="1"/>
        <v>27251849.84693104</v>
      </c>
      <c r="G21" s="73">
        <f t="shared" si="1"/>
        <v>27185072.059607506</v>
      </c>
      <c r="H21" s="73">
        <f t="shared" si="1"/>
        <v>27116263.16198194</v>
      </c>
      <c r="I21" s="73">
        <f t="shared" si="1"/>
        <v>27045361.37589094</v>
      </c>
      <c r="J21" s="73">
        <f t="shared" si="1"/>
        <v>26106990.712672874</v>
      </c>
      <c r="K21" s="73">
        <f t="shared" si="1"/>
        <v>26023481.653689459</v>
      </c>
      <c r="L21" s="73">
        <f t="shared" si="1"/>
        <v>25937002.431934625</v>
      </c>
      <c r="M21" s="73">
        <f t="shared" si="1"/>
        <v>25847447.407768831</v>
      </c>
      <c r="N21" s="73">
        <f t="shared" si="1"/>
        <v>25754707.184272453</v>
      </c>
      <c r="O21" s="73">
        <f t="shared" si="1"/>
        <v>25388038.854166731</v>
      </c>
      <c r="P21" s="73">
        <f t="shared" si="1"/>
        <v>25284401.224462077</v>
      </c>
      <c r="Q21" s="73">
        <f t="shared" si="1"/>
        <v>25176863.301157981</v>
      </c>
      <c r="R21" s="73">
        <f t="shared" si="1"/>
        <v>25065278.300791666</v>
      </c>
      <c r="S21" s="73">
        <f t="shared" si="1"/>
        <v>24949493.915858537</v>
      </c>
      <c r="T21" s="73">
        <f t="shared" si="1"/>
        <v>24587034.001927465</v>
      </c>
      <c r="U21" s="73">
        <f t="shared" si="1"/>
        <v>24455107.526976913</v>
      </c>
      <c r="V21" s="73">
        <f t="shared" si="1"/>
        <v>24317860.89196898</v>
      </c>
      <c r="W21" s="73">
        <f t="shared" si="1"/>
        <v>24175079.552377686</v>
      </c>
      <c r="X21" s="73">
        <f t="shared" si="1"/>
        <v>24026540.311803147</v>
      </c>
      <c r="Y21" s="73">
        <f t="shared" si="1"/>
        <v>23872010.973070145</v>
      </c>
      <c r="Z21" s="73">
        <f t="shared" si="1"/>
        <v>23711249.975256354</v>
      </c>
      <c r="AA21" s="73">
        <f t="shared" si="1"/>
        <v>23544006.016083449</v>
      </c>
      <c r="AB21" s="73">
        <f t="shared" si="1"/>
        <v>23370017.659080133</v>
      </c>
      <c r="AC21" s="73">
        <f t="shared" si="1"/>
        <v>123043978.50709291</v>
      </c>
    </row>
    <row r="32" spans="3:29" x14ac:dyDescent="0.25">
      <c r="F32" s="14" t="s">
        <v>55</v>
      </c>
    </row>
    <row r="33" spans="6:6" x14ac:dyDescent="0.25">
      <c r="F33" s="15"/>
    </row>
    <row r="34" spans="6:6" x14ac:dyDescent="0.25">
      <c r="F34" s="15">
        <f>12*'Bank Loan &amp; Payment Plan'!D37</f>
        <v>26145876.263068207</v>
      </c>
    </row>
    <row r="35" spans="6:6" x14ac:dyDescent="0.25">
      <c r="F35" s="15">
        <f>12*'Bank Loan &amp; Payment Plan'!D38</f>
        <v>26145876.263068207</v>
      </c>
    </row>
    <row r="36" spans="6:6" x14ac:dyDescent="0.25">
      <c r="F36" s="15">
        <f>12*'Bank Loan &amp; Payment Plan'!D39</f>
        <v>26145876.263068207</v>
      </c>
    </row>
    <row r="37" spans="6:6" x14ac:dyDescent="0.25">
      <c r="F37" s="15">
        <f>12*'Bank Loan &amp; Payment Plan'!D40</f>
        <v>26145876.263068207</v>
      </c>
    </row>
    <row r="38" spans="6:6" x14ac:dyDescent="0.25">
      <c r="F38" s="15">
        <f>12*'Bank Loan &amp; Payment Plan'!D41</f>
        <v>26145876.263068207</v>
      </c>
    </row>
    <row r="39" spans="6:6" x14ac:dyDescent="0.25">
      <c r="F39" s="15">
        <f>12*'Bank Loan &amp; Payment Plan'!D96</f>
        <v>27341544.721122563</v>
      </c>
    </row>
    <row r="40" spans="6:6" x14ac:dyDescent="0.25">
      <c r="F40" s="15">
        <f>12*'Bank Loan &amp; Payment Plan'!D97</f>
        <v>27341544.721122563</v>
      </c>
    </row>
    <row r="41" spans="6:6" x14ac:dyDescent="0.25">
      <c r="F41" s="15">
        <f>12*'Bank Loan &amp; Payment Plan'!D98</f>
        <v>27341544.721122563</v>
      </c>
    </row>
    <row r="42" spans="6:6" x14ac:dyDescent="0.25">
      <c r="F42" s="15">
        <f>12*'Bank Loan &amp; Payment Plan'!D99</f>
        <v>27341544.721122563</v>
      </c>
    </row>
    <row r="43" spans="6:6" x14ac:dyDescent="0.25">
      <c r="F43" s="15">
        <f>12*'Bank Loan &amp; Payment Plan'!D100</f>
        <v>27341544.721122563</v>
      </c>
    </row>
    <row r="44" spans="6:6" x14ac:dyDescent="0.25">
      <c r="F44" s="15">
        <f>12*'Bank Loan &amp; Payment Plan'!D162</f>
        <v>27718723.315138623</v>
      </c>
    </row>
    <row r="45" spans="6:6" x14ac:dyDescent="0.25">
      <c r="F45" s="15">
        <f>12*'Bank Loan &amp; Payment Plan'!D163</f>
        <v>27718723.315138623</v>
      </c>
    </row>
    <row r="46" spans="6:6" x14ac:dyDescent="0.25">
      <c r="F46" s="15">
        <f>12*'Bank Loan &amp; Payment Plan'!D164</f>
        <v>27718723.315138623</v>
      </c>
    </row>
    <row r="47" spans="6:6" x14ac:dyDescent="0.25">
      <c r="F47" s="15">
        <f>12*'Bank Loan &amp; Payment Plan'!D165</f>
        <v>27718723.315138623</v>
      </c>
    </row>
    <row r="48" spans="6:6" x14ac:dyDescent="0.25">
      <c r="F48" s="15">
        <f>12*'Bank Loan &amp; Payment Plan'!D166</f>
        <v>27718723.315138623</v>
      </c>
    </row>
    <row r="49" spans="6:6" x14ac:dyDescent="0.25">
      <c r="F49" s="15">
        <f>12*'Bank Loan &amp; Payment Plan'!D236</f>
        <v>28060164.490686998</v>
      </c>
    </row>
    <row r="50" spans="6:6" x14ac:dyDescent="0.25">
      <c r="F50" s="15">
        <f>12*'Bank Loan &amp; Payment Plan'!D237</f>
        <v>28060164.490686998</v>
      </c>
    </row>
    <row r="51" spans="6:6" x14ac:dyDescent="0.25">
      <c r="F51" s="15">
        <f>12*'Bank Loan &amp; Payment Plan'!D238</f>
        <v>28060164.490686998</v>
      </c>
    </row>
    <row r="52" spans="6:6" x14ac:dyDescent="0.25">
      <c r="F52" s="15">
        <f>12*'Bank Loan &amp; Payment Plan'!D239</f>
        <v>28060164.490686998</v>
      </c>
    </row>
    <row r="53" spans="6:6" x14ac:dyDescent="0.25">
      <c r="F53" s="15">
        <f>12*'Bank Loan &amp; Payment Plan'!D240</f>
        <v>28060164.490686998</v>
      </c>
    </row>
    <row r="54" spans="6:6" x14ac:dyDescent="0.25">
      <c r="F54" s="15">
        <f>12*'Bank Loan &amp; Payment Plan'!D241</f>
        <v>28060164.490686998</v>
      </c>
    </row>
    <row r="55" spans="6:6" x14ac:dyDescent="0.25">
      <c r="F55" s="15">
        <f>12*'Bank Loan &amp; Payment Plan'!D242</f>
        <v>28060164.490686998</v>
      </c>
    </row>
    <row r="56" spans="6:6" x14ac:dyDescent="0.25">
      <c r="F56" s="15">
        <f>12*'Bank Loan &amp; Payment Plan'!D243</f>
        <v>28060164.490686998</v>
      </c>
    </row>
    <row r="57" spans="6:6" x14ac:dyDescent="0.25">
      <c r="F57" s="15">
        <f>12*'Bank Loan &amp; Payment Plan'!D244</f>
        <v>28060164.490686998</v>
      </c>
    </row>
    <row r="58" spans="6:6" x14ac:dyDescent="0.25">
      <c r="F58" s="15">
        <f>12*'Bank Loan &amp; Payment Plan'!D245</f>
        <v>28060164.490686998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E57F79D29B640AD9355B4736279D5" ma:contentTypeVersion="11" ma:contentTypeDescription="Create a new document." ma:contentTypeScope="" ma:versionID="bff2f34d1d717aa1faabafb5b6b6a296">
  <xsd:schema xmlns:xsd="http://www.w3.org/2001/XMLSchema" xmlns:xs="http://www.w3.org/2001/XMLSchema" xmlns:p="http://schemas.microsoft.com/office/2006/metadata/properties" xmlns:ns3="43d13c64-ed2f-40ef-8eb0-7b562d1a4ad0" xmlns:ns4="c9ea9661-db63-40bf-aeca-5caa44703905" targetNamespace="http://schemas.microsoft.com/office/2006/metadata/properties" ma:root="true" ma:fieldsID="15c42682ae345bb35f2ccf357f221725" ns3:_="" ns4:_="">
    <xsd:import namespace="43d13c64-ed2f-40ef-8eb0-7b562d1a4ad0"/>
    <xsd:import namespace="c9ea9661-db63-40bf-aeca-5caa447039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13c64-ed2f-40ef-8eb0-7b562d1a4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a9661-db63-40bf-aeca-5caa447039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D44BE-027C-423D-A834-D2E52F2059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EC9F66-0475-4FEA-A025-6DEB2ED9A5D1}">
  <ds:schemaRefs>
    <ds:schemaRef ds:uri="43d13c64-ed2f-40ef-8eb0-7b562d1a4ad0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9ea9661-db63-40bf-aeca-5caa44703905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3E0DAA-B7C6-4754-9726-D4C48F868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13c64-ed2f-40ef-8eb0-7b562d1a4ad0"/>
    <ds:schemaRef ds:uri="c9ea9661-db63-40bf-aeca-5caa44703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HomePage</vt:lpstr>
      <vt:lpstr>Investment Needed for Wind Turb</vt:lpstr>
      <vt:lpstr> Cost Basis of The Wind Farm</vt:lpstr>
      <vt:lpstr>Annual O&amp;M Payments</vt:lpstr>
      <vt:lpstr>Bank Loan &amp; Payment Plan</vt:lpstr>
      <vt:lpstr>Depreciation</vt:lpstr>
      <vt:lpstr>Equivalent&amp;PerU Costs </vt:lpstr>
      <vt:lpstr>Annual Revenues</vt:lpstr>
      <vt:lpstr>Net Income Statement</vt:lpstr>
      <vt:lpstr>Cash Flow Statement</vt:lpstr>
      <vt:lpstr>Decision Table</vt:lpstr>
      <vt:lpstr>Cashflow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2021-07-11T21:22:03Z</dcterms:created>
  <dcterms:modified xsi:type="dcterms:W3CDTF">2021-07-21T22:12:26Z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0x010100D8BE57F79D29B640AD9355B4736279D5</vt:lpwstr>
  </property>
</Properties>
</file>